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embeddings/oleObject2.bin" ContentType="application/vnd.openxmlformats-officedocument.oleObject"/>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embeddings/oleObject4.bin" ContentType="application/vnd.openxmlformats-officedocument.oleObject"/>
  <Override PartName="/xl/ctrlProps/ctrlProp114.xml" ContentType="application/vnd.ms-excel.controlproperties+xml"/>
  <Override PartName="/xl/ctrlProps/ctrlProp115.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116.xml" ContentType="application/vnd.ms-excel.controlproperties+xml"/>
  <Override PartName="/xl/ctrlProps/ctrlProp117.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11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threadedComments/threadedComment1.xml" ContentType="application/vnd.ms-excel.threaded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8" Type="http://schemas.openxmlformats.org/officeDocument/2006/relationships/custom-properties" Target="docProps/custom.xml"/><Relationship Id="rId7" Type="http://schemas.openxmlformats.org/officeDocument/2006/relationships/extended-properties" Target="docProps/app.xml"/><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package/2006/relationships/metadata/core-properties" Target="docProps/core.xml"/><Relationship Id="rId5" Type="http://schemas.microsoft.com/office/2006/relationships/ui/userCustomization" Target="userCustomization/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codeName="{E757BCB4-07E6-AE0B-56E0-F0EEF7A6E26C}"/>
  <workbookPr codeName="ThisWorkbook"/>
  <mc:AlternateContent xmlns:mc="http://schemas.openxmlformats.org/markup-compatibility/2006">
    <mc:Choice Requires="x15">
      <x15ac:absPath xmlns:x15ac="http://schemas.microsoft.com/office/spreadsheetml/2010/11/ac" url="C:\Users\36717\Downloads\"/>
    </mc:Choice>
  </mc:AlternateContent>
  <xr:revisionPtr revIDLastSave="0" documentId="13_ncr:1_{99948DD4-3C02-49E0-A72A-55883C51F30B}" xr6:coauthVersionLast="47" xr6:coauthVersionMax="47" xr10:uidLastSave="{00000000-0000-0000-0000-000000000000}"/>
  <bookViews>
    <workbookView xWindow="20910" yWindow="-16200" windowWidth="21420" windowHeight="15585" tabRatio="803" xr2:uid="{00000000-000D-0000-FFFF-FFFF00000000}"/>
  </bookViews>
  <sheets>
    <sheet name="Getting Started" sheetId="24" r:id="rId1"/>
    <sheet name="Inputs" sheetId="10" r:id="rId2"/>
    <sheet name="Results" sheetId="11" r:id="rId3"/>
    <sheet name="SubThermalCalculator" sheetId="17" r:id="rId4"/>
    <sheet name="SubGenSources" sheetId="20" r:id="rId5"/>
    <sheet name="Biomass and Coal Data" sheetId="25" r:id="rId6"/>
    <sheet name="Maps" sheetId="27" r:id="rId7"/>
    <sheet name="Lists" sheetId="1" state="veryHidden" r:id="rId8"/>
    <sheet name="STMTech" sheetId="15" state="veryHidden" r:id="rId9"/>
    <sheet name="CHPTech" sheetId="13" state="veryHidden" r:id="rId10"/>
    <sheet name="EGRID" sheetId="16" state="veryHidden" r:id="rId11"/>
    <sheet name="Profiles" sheetId="23" state="veryHidden" r:id="rId12"/>
    <sheet name="Factors" sheetId="14" state="veryHidden" r:id="rId13"/>
    <sheet name="Calc1" sheetId="9" state="veryHidden" r:id="rId14"/>
  </sheets>
  <functionGroups builtInGroupCount="19"/>
  <externalReferences>
    <externalReference r:id="rId15"/>
  </externalReferences>
  <definedNames>
    <definedName name="_xlnm._FilterDatabase" localSheetId="10" hidden="1">EGRID!$A$7:$DI$42</definedName>
    <definedName name="allcheck">Inputs!$E$1</definedName>
    <definedName name="allcheck1">Inputs!$F$9</definedName>
    <definedName name="allcheck10">Inputs!$F$20</definedName>
    <definedName name="allcheck100">Inputs!$F$148</definedName>
    <definedName name="allcheck11">Inputs!$F$23</definedName>
    <definedName name="allcheck12">Inputs!$F$26</definedName>
    <definedName name="allcheck13">Inputs!$F$27</definedName>
    <definedName name="allcheck14">Inputs!$F$29</definedName>
    <definedName name="allcheck15">Inputs!$F$30</definedName>
    <definedName name="allcheck16">Inputs!$F$33</definedName>
    <definedName name="allcheck18">Inputs!$F$34</definedName>
    <definedName name="allcheck19">Inputs!$F$35</definedName>
    <definedName name="allcheck2">Inputs!$F$11</definedName>
    <definedName name="allcheck20">Inputs!$F$38</definedName>
    <definedName name="allcheck21">Inputs!$F$39</definedName>
    <definedName name="allcheck22">Inputs!$F$40</definedName>
    <definedName name="allcheck23">Inputs!$F$41</definedName>
    <definedName name="allcheck24">Inputs!$F$43</definedName>
    <definedName name="allcheck25">Inputs!$F$161</definedName>
    <definedName name="allcheck26">Inputs!$F$163</definedName>
    <definedName name="allcheck27">Inputs!$F$165</definedName>
    <definedName name="allcheck29">Inputs!$F$164</definedName>
    <definedName name="allcheck4">Inputs!$F$12</definedName>
    <definedName name="allcheck5">Inputs!$F$15</definedName>
    <definedName name="allcheck6">Inputs!$F$17</definedName>
    <definedName name="allcheck7">Inputs!$F$16</definedName>
    <definedName name="allcheck8">Inputs!$F$18</definedName>
    <definedName name="allcheck9">Inputs!$F$19</definedName>
    <definedName name="allchecknew">Inputs!$F$1</definedName>
    <definedName name="allchecknote1">Inputs!$E$4</definedName>
    <definedName name="allchecknote2">Inputs!$E$5</definedName>
    <definedName name="avert_lkup">Lists!$B$67:$B$80</definedName>
    <definedName name="boilereff">Inputs!$B$59</definedName>
    <definedName name="boilereffdefault">STMTech!$C$23</definedName>
    <definedName name="btusteamperRT">Inputs!#REF!</definedName>
    <definedName name="calcbtu">SubThermalCalculator!$B$23</definedName>
    <definedName name="calckw">SubThermalCalculator!$B$24</definedName>
    <definedName name="caphigh">CHPTech!$B$9</definedName>
    <definedName name="caplow">CHPTech!$B$8</definedName>
    <definedName name="cars">Factors!$A$8</definedName>
    <definedName name="cbtu">Calc1!$B$68</definedName>
    <definedName name="cbtuperhour">Calc1!$B$54</definedName>
    <definedName name="ccap">Calc1!$B$50</definedName>
    <definedName name="cco2rate">Calc1!$B$90</definedName>
    <definedName name="cco2tons">Calc1!$B$89</definedName>
    <definedName name="cfuel">Calc1!$C$56</definedName>
    <definedName name="ch4coal">Factors!$A$58</definedName>
    <definedName name="ch4gas">Factors!$A$41</definedName>
    <definedName name="ch4GWP">Factors!$B$103</definedName>
    <definedName name="ch4oil">Factors!$A$30</definedName>
    <definedName name="CH4wood">Factors!$A$64</definedName>
    <definedName name="chglb">Calc1!#REF!</definedName>
    <definedName name="chgrate">Calc1!#REF!</definedName>
    <definedName name="chours">Calc1!$B$51</definedName>
    <definedName name="chpcapinput">Inputs!$B$9</definedName>
    <definedName name="chpco2default">CHPTech!$B$23</definedName>
    <definedName name="chpduct1">Inputs!$B$80</definedName>
    <definedName name="chpduct1default">CHPTech!$B$222</definedName>
    <definedName name="chpduct2">Inputs!$B$85</definedName>
    <definedName name="chpduct2default">CHPTech!$B$223</definedName>
    <definedName name="chpduct3">Inputs!$B$187</definedName>
    <definedName name="chpduct4">Inputs!$B$188</definedName>
    <definedName name="chpeffdefault1">CHPTech!$B$13</definedName>
    <definedName name="chpeffdefault2">CHPTech!$B$14</definedName>
    <definedName name="chpeffdefault3">CHPTech!$B$15</definedName>
    <definedName name="chpeffinput1">Inputs!$B$65</definedName>
    <definedName name="chpeffinput2">Inputs!$B$66</definedName>
    <definedName name="chpeffinput3">Inputs!$B$67</definedName>
    <definedName name="chpfuelinput">Inputs!$B$40</definedName>
    <definedName name="chpheatcoolboth">Inputs!$B$28</definedName>
    <definedName name="chpheatcoolsimultaneous">Inputs!$B$36</definedName>
    <definedName name="chphoursinput" localSheetId="11">Inputs!$B$65</definedName>
    <definedName name="chphoursinput">Inputs!$B$18</definedName>
    <definedName name="CHPname">Calc1!$C$49</definedName>
    <definedName name="chpnoxdefault1">CHPTech!$B$17</definedName>
    <definedName name="chpnoxdefault2">CHPTech!$B$18</definedName>
    <definedName name="chpnoxdefault3">CHPTech!$B$19</definedName>
    <definedName name="chpnoxdefault4">CHPTech!$B$20</definedName>
    <definedName name="chpnoxgmhphrhigh">Factors!$A$82</definedName>
    <definedName name="chpnoxgmhphrlow">Factors!$A$81</definedName>
    <definedName name="chpnoxinput1">Inputs!$B$178</definedName>
    <definedName name="chpnoxinput2">Inputs!$B$179</definedName>
    <definedName name="chpnoxinput3">Inputs!$B$180</definedName>
    <definedName name="chpnoxinput4">Inputs!$B$181</definedName>
    <definedName name="chpnoxlbhigh">Factors!$A$84</definedName>
    <definedName name="chpnoxlblow">Factors!$A$83</definedName>
    <definedName name="chpnoxlbmwhhigh">Factors!$A$86</definedName>
    <definedName name="chpnoxlbmwhlow">Factors!$A$85</definedName>
    <definedName name="chpnoxppmhigh">Factors!$A$80</definedName>
    <definedName name="chpnoxppmlow">Factors!$A$79</definedName>
    <definedName name="chpnumunits">Inputs!$B$13</definedName>
    <definedName name="chpphdefault">CHPTech!$B$16</definedName>
    <definedName name="chpphinput">Inputs!$B$75</definedName>
    <definedName name="chpresults">Results!$A$5</definedName>
    <definedName name="chpsulfurinput1">Inputs!$B$166</definedName>
    <definedName name="chpsulfurinput2">Inputs!$B$167</definedName>
    <definedName name="chptechcaphigh">Factors!$A$70</definedName>
    <definedName name="chptechcaplow">Factors!$A$69</definedName>
    <definedName name="chptechinput">Inputs!$B$4</definedName>
    <definedName name="chr">Calc1!$B$65</definedName>
    <definedName name="cMWh">Calc1!$B$59</definedName>
    <definedName name="cnoxrate">Calc1!$B$76</definedName>
    <definedName name="cnoxtons">Calc1!$B$78</definedName>
    <definedName name="co2coal">Factors!$A$56</definedName>
    <definedName name="co2gas">Factors!$A$37</definedName>
    <definedName name="co2input">Inputs!$B$171</definedName>
    <definedName name="co2oil">Factors!$A$21</definedName>
    <definedName name="co2propane">Factors!$A$46</definedName>
    <definedName name="co2q">Inputs!$A$213</definedName>
    <definedName name="co2qi">Inputs!$A$217</definedName>
    <definedName name="CO2tocarbon">Factors!$A$5</definedName>
    <definedName name="co2wood">Factors!$A$62</definedName>
    <definedName name="coolavailableMMBtu">Calc1!$B$124</definedName>
    <definedName name="coolavailablemmbturaw">Calc1!$B$123</definedName>
    <definedName name="coolavailabletons">Calc1!$B$122</definedName>
    <definedName name="coolavailabletonsraw">Calc1!$B$121</definedName>
    <definedName name="coolbtuton">Factors!$A$9</definedName>
    <definedName name="coolcheck">Calc1!#REF!</definedName>
    <definedName name="cooldisp1">Inputs!$B$111</definedName>
    <definedName name="cooldisp2">Inputs!$B$114</definedName>
    <definedName name="cooldisp3">Inputs!$B$115</definedName>
    <definedName name="cooldoublecop">Lists!$D$145</definedName>
    <definedName name="coolhours">Inputs!$B$32</definedName>
    <definedName name="coolinput1">Inputs!$A$95</definedName>
    <definedName name="coolinput1a">Inputs!$B$94</definedName>
    <definedName name="coolinput2a">Inputs!$B$106</definedName>
    <definedName name="coolinput2b">Inputs!$B$107</definedName>
    <definedName name="coolinput3">Inputs!$B$98</definedName>
    <definedName name="coolinput3a">Inputs!$B$100</definedName>
    <definedName name="coolpercent">Inputs!$B$33</definedName>
    <definedName name="Coolsinglecop">Lists!$D$144</definedName>
    <definedName name="cpercent">Calc1!$B$52</definedName>
    <definedName name="cso2rate">Calc1!$B$87</definedName>
    <definedName name="cso2tons">Calc1!$B$86</definedName>
    <definedName name="dech4rate">Calc1!$E$145</definedName>
    <definedName name="deco2rate">Calc1!$B$147</definedName>
    <definedName name="deco2tons">Calc1!$B$158</definedName>
    <definedName name="deheatrate">Calc1!$B$148</definedName>
    <definedName name="dehglb">Calc1!#REF!</definedName>
    <definedName name="dehgrate">Calc1!#REF!</definedName>
    <definedName name="deinput">Inputs!$B$144</definedName>
    <definedName name="deinput1" localSheetId="11">Inputs!$B$124</definedName>
    <definedName name="deinput1">Inputs!$B$144</definedName>
    <definedName name="deinput2">Inputs!$B$149</definedName>
    <definedName name="deinput3" localSheetId="11">Inputs!#REF!</definedName>
    <definedName name="deinput3">Inputs!$B$154</definedName>
    <definedName name="den2orate">Calc1!$E$146</definedName>
    <definedName name="denoxrate">Calc1!$B$145</definedName>
    <definedName name="denoxtons">Calc1!$B$156</definedName>
    <definedName name="depastearea1">#REF!</definedName>
    <definedName name="depastearea2">#REF!</definedName>
    <definedName name="depastearea3">#REF!</definedName>
    <definedName name="depastetarget1" localSheetId="11">Profiles!#REF!</definedName>
    <definedName name="depastetarget1">#REF!</definedName>
    <definedName name="depastetarget2" localSheetId="11">Profiles!#REF!</definedName>
    <definedName name="depastetarget2">#REF!</definedName>
    <definedName name="depastetarget3" localSheetId="11">Profiles!#REF!</definedName>
    <definedName name="depastetarget3">#REF!</definedName>
    <definedName name="deso2rate">Calc1!$B$146</definedName>
    <definedName name="deso2tons">Calc1!$B$157</definedName>
    <definedName name="dispboilerfuel">Inputs!$B$139</definedName>
    <definedName name="dispgridelec">Inputs!$B$24</definedName>
    <definedName name="distdensity">Factors!$A$18</definedName>
    <definedName name="dsbtu">Calc1!$B$176</definedName>
    <definedName name="dsbtuout">Calc1!$B$169</definedName>
    <definedName name="dsco2tons">Calc1!$B$185</definedName>
    <definedName name="dshglb">Calc1!#REF!</definedName>
    <definedName name="dsnoxtons">Calc1!$B$183</definedName>
    <definedName name="dsso2tons">Calc1!$B$181</definedName>
    <definedName name="ducthours">Calc1!$B$106</definedName>
    <definedName name="ducthours1">Inputs!$B$89</definedName>
    <definedName name="ductpercent">Inputs!$B$90</definedName>
    <definedName name="effhhvhigh">Factors!$A$74</definedName>
    <definedName name="effhhvlow">Factors!$A$73</definedName>
    <definedName name="efflhvhigh">Factors!$A$76</definedName>
    <definedName name="efflhvlow">Factors!$A$75</definedName>
    <definedName name="effpercenthigh">Factors!$A$72</definedName>
    <definedName name="effpercentlow">Factors!$A$71</definedName>
    <definedName name="egrid_lkup">Lists!$B$81:$B$116</definedName>
    <definedName name="eGridMap">Maps!$A$2</definedName>
    <definedName name="eGridMap1">Maps!$B$1</definedName>
    <definedName name="eGridNERCMap">Maps!$A$63</definedName>
    <definedName name="energysavingsinputs">Inputs!$A$2</definedName>
    <definedName name="ftmatchhigh">Factors!$C$111</definedName>
    <definedName name="ftmatchlow">Factors!$B$111</definedName>
    <definedName name="fuel">Lists!$A$4:$A$11</definedName>
    <definedName name="fuels">Lists!$A$120:$A$126</definedName>
    <definedName name="fueltechmatch">Factors!$A$108</definedName>
    <definedName name="galvehicle">Factors!$A$12</definedName>
    <definedName name="genco21">SubGenSources!$E$25</definedName>
    <definedName name="genco22">SubGenSources!$E$26</definedName>
    <definedName name="genco23">SubGenSources!$E$27</definedName>
    <definedName name="genhg1">SubGenSources!#REF!</definedName>
    <definedName name="genhg2">SubGenSources!#REF!</definedName>
    <definedName name="genhg3">SubGenSources!#REF!</definedName>
    <definedName name="gennox1">SubGenSources!$C$25</definedName>
    <definedName name="gennox2">SubGenSources!$C$26</definedName>
    <definedName name="gennox3">SubGenSources!$C$27</definedName>
    <definedName name="genpastearea">SubGenSources!$C$25:$E$27</definedName>
    <definedName name="genpastearea2">SubGenSources!$F$25:$F$27</definedName>
    <definedName name="genpastetarget" localSheetId="11">Profiles!$H$25:$J$27</definedName>
    <definedName name="genpastetarget">#REF!</definedName>
    <definedName name="genpastetarget2">Profiles!$C$25:$C$27</definedName>
    <definedName name="genso21">SubGenSources!$D$25</definedName>
    <definedName name="genso22">SubGenSources!$D$26</definedName>
    <definedName name="genso23">SubGenSources!$D$27</definedName>
    <definedName name="gmhphrlbMWh">Factors!$A$4</definedName>
    <definedName name="gridloss">Lists!$G$66</definedName>
    <definedName name="gridregion">Lists!$F$66</definedName>
    <definedName name="heatcontentcoal">Factors!$A$57</definedName>
    <definedName name="heatcontentoil">Factors!$A$29</definedName>
    <definedName name="heatcontentwood">Factors!$A$63</definedName>
    <definedName name="heatinput1">Inputs!$B$45</definedName>
    <definedName name="heatinput2">Inputs!$B$46</definedName>
    <definedName name="heatinput3">Inputs!$B$47</definedName>
    <definedName name="heatq">Inputs!$A$214</definedName>
    <definedName name="heatqi">Inputs!$A$218</definedName>
    <definedName name="Hgcoal" localSheetId="11">Factors!#REF!</definedName>
    <definedName name="Hgcoal">Factors!#REF!</definedName>
    <definedName name="hgcoalbtu">Factors!#REF!</definedName>
    <definedName name="hginput">Inputs!$B$44</definedName>
    <definedName name="hgq">Inputs!#REF!</definedName>
    <definedName name="hgqi">Inputs!#REF!</definedName>
    <definedName name="homes">Factors!$A$7</definedName>
    <definedName name="homes2">Factors!$A$10</definedName>
    <definedName name="inputophours">Inputs!$B$20</definedName>
    <definedName name="inputoppercent">Inputs!$B$21</definedName>
    <definedName name="kWhtoMMBtu">Factors!$A$11</definedName>
    <definedName name="lbsteamperhr">Inputs!$B$52</definedName>
    <definedName name="lbsteamperRT">Inputs!#REF!</definedName>
    <definedName name="lbtobtusteam">Factors!$A$94</definedName>
    <definedName name="list6a">Lists!$A$66:$A$117</definedName>
    <definedName name="ListA1">Lists!$B$4:$B$13</definedName>
    <definedName name="lista1a">Lists!$A$4:$A$13</definedName>
    <definedName name="lista1c">Lists!$C$4:$C$13</definedName>
    <definedName name="lista6">Lists!$B$120:$B$127</definedName>
    <definedName name="lista6a">Lists!$A$120:$A$127</definedName>
    <definedName name="lista6c">Lists!$C$120:$C$127</definedName>
    <definedName name="lista6d">Lists!$D$120:$D$127</definedName>
    <definedName name="lista6e">Lists!$E$120:$E$127</definedName>
    <definedName name="lista6f">Lists!$F$120:$F$127</definedName>
    <definedName name="lista7">Lists!$B$131:$B$137</definedName>
    <definedName name="lista7a">Lists!$A$131:$A$137</definedName>
    <definedName name="lista7c">Lists!$C$131:$C$137</definedName>
    <definedName name="lista7d">Lists!$D$131:$D$137</definedName>
    <definedName name="lista7e">Lists!$E$131:$E$137</definedName>
    <definedName name="lista7f">Lists!$F$131:$F$137</definedName>
    <definedName name="lista8">Lists!$B$140:$B$141</definedName>
    <definedName name="lista8a">Lists!$A$140:$A$141</definedName>
    <definedName name="lista9">Lists!$B$144:$B$146</definedName>
    <definedName name="lista9a">Lists!$A$144:$A$146</definedName>
    <definedName name="lista9e">Lists!$E$144:$E$146</definedName>
    <definedName name="listb3">Lists!$B$18:$B$22</definedName>
    <definedName name="listb3_1">Lists!$C$18</definedName>
    <definedName name="listb3_2">Lists!$C$19</definedName>
    <definedName name="listb3_3">Lists!$C$20</definedName>
    <definedName name="listb3_4">Lists!$C$21</definedName>
    <definedName name="listb3a">Lists!$A$18:$A$22</definedName>
    <definedName name="listb3c">Lists!$C$18:$C$22</definedName>
    <definedName name="listb5" localSheetId="11">Lists!$B$32:$B$46</definedName>
    <definedName name="listb5">Lists!$B$25:$B$41</definedName>
    <definedName name="listb5a" localSheetId="11">Lists!$A$28:$A$46</definedName>
    <definedName name="listb5a">Lists!$A$25:$A$41</definedName>
    <definedName name="listb5c" localSheetId="11">Lists!$C$32:$C$46</definedName>
    <definedName name="listb5c">Lists!$C$25:$C$41</definedName>
    <definedName name="listb5d" localSheetId="11">Lists!$D$32:$D$46</definedName>
    <definedName name="listb5d">Lists!$D$25:$D$41</definedName>
    <definedName name="listb5e">Lists!$E$25:$E$41</definedName>
    <definedName name="listb6">Lists!$B$66:$B$116</definedName>
    <definedName name="listb6a">Lists!$A$66:$A$117</definedName>
    <definedName name="listb7">Lists!$B$183:$B$189</definedName>
    <definedName name="listb7_1">Lists!$C$183</definedName>
    <definedName name="listb7_2">Lists!$C$184</definedName>
    <definedName name="listb7_3">Lists!$C$185</definedName>
    <definedName name="listb7_4">Lists!$C$186</definedName>
    <definedName name="listb7_5">Lists!$C$187</definedName>
    <definedName name="listb7_6">Lists!$C$188</definedName>
    <definedName name="listb7_7">Lists!$C$189</definedName>
    <definedName name="listb7a">Lists!$A$183:$A$189</definedName>
    <definedName name="listb7c">Lists!$C$183:$C$189</definedName>
    <definedName name="listb8">Lists!$B$44:$B$48</definedName>
    <definedName name="listb8a">Lists!$A$44:$A$48</definedName>
    <definedName name="listc4">Lists!$B$149:$B$150</definedName>
    <definedName name="listc4a">Lists!$A$149:$A$150</definedName>
    <definedName name="listd2">Lists!$B$51:$B$62</definedName>
    <definedName name="listd2a">Lists!$A$51:$A$62</definedName>
    <definedName name="listd2c">Lists!$C$51:$C$62</definedName>
    <definedName name="listd2d">Lists!$D$51:$D$62</definedName>
    <definedName name="listd2e">Lists!$E$51:$E$62</definedName>
    <definedName name="listd2f">Lists!$F$51:$F$62</definedName>
    <definedName name="listh1">Lists!$B$153:$B$155</definedName>
    <definedName name="listh1a">Lists!$A$153:$A$155</definedName>
    <definedName name="listh2">Lists!$B$158:$B$159</definedName>
    <definedName name="listh2a">Lists!$A$158:$A$159</definedName>
    <definedName name="listh3">Lists!$B$162:$B$180</definedName>
    <definedName name="listh3a">Lists!$A$162:$A$175</definedName>
    <definedName name="lossinput">Inputs!$B$155</definedName>
    <definedName name="mmbtugalgas">Factors!$A$13</definedName>
    <definedName name="mmbtusteamperhr">Inputs!$B$53</definedName>
    <definedName name="n2ocoal">Factors!$A$59</definedName>
    <definedName name="n2ogas">Factors!$A$42</definedName>
    <definedName name="n2oGWP">Factors!$B$104</definedName>
    <definedName name="n2ooil">Factors!$A$31</definedName>
    <definedName name="N2Owood">Factors!$A$65</definedName>
    <definedName name="NERCMap1">Maps!$B$89</definedName>
    <definedName name="NERCMapLink">Maps!$A$90</definedName>
    <definedName name="next100note">Inputs!$A$149</definedName>
    <definedName name="next10note">Inputs!$C$64</definedName>
    <definedName name="next11note">Inputs!$C$76</definedName>
    <definedName name="next12note">Inputs!$C$177</definedName>
    <definedName name="next13note">Inputs!$B$79</definedName>
    <definedName name="next14note">Inputs!$C$83</definedName>
    <definedName name="next15note">Inputs!$C$89</definedName>
    <definedName name="next16note">Inputs!$C$186</definedName>
    <definedName name="next18note">Inputs!$B$99</definedName>
    <definedName name="next19note">Inputs!$C$105</definedName>
    <definedName name="next1anote">Inputs!$B$5</definedName>
    <definedName name="next1note">Inputs!$C$1</definedName>
    <definedName name="next20note">Inputs!$C$113</definedName>
    <definedName name="next21note">Inputs!$C$119</definedName>
    <definedName name="next22note">Inputs!$C$200</definedName>
    <definedName name="next23note">Inputs!$B$137</definedName>
    <definedName name="next24note">Inputs!$C$126</definedName>
    <definedName name="next25note">Inputs!$B$131</definedName>
    <definedName name="next26note">Inputs!$C$207</definedName>
    <definedName name="next27note">Inputs!$B$172</definedName>
    <definedName name="next29note">Inputs!$C$155</definedName>
    <definedName name="next2note">Inputs!$A$9</definedName>
    <definedName name="next4note">Inputs!$C$18</definedName>
    <definedName name="next5anote">Inputs!$C$34</definedName>
    <definedName name="next5note">Inputs!$C$30</definedName>
    <definedName name="next6note">Inputs!$A$42</definedName>
    <definedName name="next7note">Inputs!$C$166</definedName>
    <definedName name="next8note">Inputs!$B$51</definedName>
    <definedName name="next9note">Inputs!$C$44</definedName>
    <definedName name="ngbtu">Factors!$A$35</definedName>
    <definedName name="ngdensity">Factors!$A$34</definedName>
    <definedName name="ngsulfur">Factors!$A$36</definedName>
    <definedName name="oph5c">Lists!#REF!</definedName>
    <definedName name="oph5ca">Lists!#REF!</definedName>
    <definedName name="oph5n">Lists!#REF!</definedName>
    <definedName name="oph5na">Lists!#REF!</definedName>
    <definedName name="oph5p">Lists!#REF!</definedName>
    <definedName name="oph5pa">Lists!#REF!</definedName>
    <definedName name="oph6c">Lists!#REF!</definedName>
    <definedName name="oph6ca">Lists!#REF!</definedName>
    <definedName name="oph6n">Lists!#REF!</definedName>
    <definedName name="oph6na">Lists!#REF!</definedName>
    <definedName name="oph6p">Lists!#REF!</definedName>
    <definedName name="oph6pa">Lists!#REF!</definedName>
    <definedName name="oph7c">Lists!#REF!</definedName>
    <definedName name="oph7ca">Lists!#REF!</definedName>
    <definedName name="oph7n">Lists!#REF!</definedName>
    <definedName name="oph7na">Lists!#REF!</definedName>
    <definedName name="oph7p">Lists!#REF!</definedName>
    <definedName name="oph7pa">Lists!#REF!</definedName>
    <definedName name="oppastetarget" localSheetId="11">Profiles!#REF!</definedName>
    <definedName name="oppastetarget">#REF!</definedName>
    <definedName name="ops5c">Lists!#REF!</definedName>
    <definedName name="ops5ca">Lists!#REF!</definedName>
    <definedName name="ops5n">Lists!#REF!</definedName>
    <definedName name="ops5na">Lists!#REF!</definedName>
    <definedName name="ops5p">Lists!#REF!</definedName>
    <definedName name="ops5pa">Lists!#REF!</definedName>
    <definedName name="ops6c">Lists!#REF!</definedName>
    <definedName name="ops6ca">Lists!#REF!</definedName>
    <definedName name="ops6n">Lists!#REF!</definedName>
    <definedName name="ops6na">Lists!#REF!</definedName>
    <definedName name="ops6p">Lists!#REF!</definedName>
    <definedName name="ops6pa">Lists!#REF!</definedName>
    <definedName name="ops7c">Lists!#REF!</definedName>
    <definedName name="ops7ca">Lists!#REF!</definedName>
    <definedName name="ops7n">Lists!#REF!</definedName>
    <definedName name="ops7na">Lists!#REF!</definedName>
    <definedName name="ops7p">Lists!#REF!</definedName>
    <definedName name="ops7pa">Lists!#REF!</definedName>
    <definedName name="opw5c">Lists!#REF!</definedName>
    <definedName name="opw5ca">Lists!#REF!</definedName>
    <definedName name="opw5n">Lists!#REF!</definedName>
    <definedName name="opw5na">Lists!#REF!</definedName>
    <definedName name="opw5p">Lists!#REF!</definedName>
    <definedName name="opw5pa">Lists!#REF!</definedName>
    <definedName name="opw6c">Lists!#REF!</definedName>
    <definedName name="opw6ca">Lists!#REF!</definedName>
    <definedName name="opw6n">Lists!#REF!</definedName>
    <definedName name="opw6na">Lists!#REF!</definedName>
    <definedName name="opw6p">Lists!#REF!</definedName>
    <definedName name="opw6pa">Lists!#REF!</definedName>
    <definedName name="opw7c">Lists!#REF!</definedName>
    <definedName name="opw7ca">Lists!#REF!</definedName>
    <definedName name="opw7n">Lists!#REF!</definedName>
    <definedName name="opw7na">Lists!#REF!</definedName>
    <definedName name="opw7p">Lists!#REF!</definedName>
    <definedName name="opw7pa">Lists!#REF!</definedName>
    <definedName name="phhigh">Factors!$A$78</definedName>
    <definedName name="phlow">Factors!$A$77</definedName>
    <definedName name="ppmbtu" localSheetId="11">Factors!$A$39</definedName>
    <definedName name="ppmbtu">Factors!$A$39</definedName>
    <definedName name="ppmbtu3">Factors!$A$40</definedName>
    <definedName name="ppmbtud">Factors!$A$23</definedName>
    <definedName name="ppmbtud3">Factors!$A$24</definedName>
    <definedName name="ppmbtudlhv">Factors!$A$22</definedName>
    <definedName name="ppmbtulhv">Factors!$A$38</definedName>
    <definedName name="preset10">Inputs!$A$64</definedName>
    <definedName name="preset12">Inputs!$A$176</definedName>
    <definedName name="preset13">Inputs!$A$80</definedName>
    <definedName name="preset15">Inputs!$C$90</definedName>
    <definedName name="preset16">Inputs!$A$187</definedName>
    <definedName name="preset16a">Inputs!$A$186</definedName>
    <definedName name="preset18">Inputs!$C$98</definedName>
    <definedName name="preset19">Inputs!$C$103</definedName>
    <definedName name="preset20">Inputs!$C$112</definedName>
    <definedName name="preset22">Inputs!$A$199</definedName>
    <definedName name="preset7">Inputs!$A$164</definedName>
    <definedName name="_xlnm.Print_Area" localSheetId="9">CHPTech!$A:$K</definedName>
    <definedName name="_xlnm.Print_Area" localSheetId="0">'Getting Started'!$B$2:$G$113</definedName>
    <definedName name="_xlnm.Print_Area" localSheetId="1">Inputs!$A$1:$C$156</definedName>
    <definedName name="_xlnm.Print_Area" localSheetId="7">Lists!$A$1:$E$49</definedName>
    <definedName name="_xlnm.Print_Area" localSheetId="2">Results!$A$1:$G$168</definedName>
    <definedName name="_xlnm.Print_Titles" localSheetId="1">Inputs!$1:$1</definedName>
    <definedName name="_xlnm.Print_Titles" localSheetId="2">Results!$1:$5</definedName>
    <definedName name="profilea1">Profiles!$A$1</definedName>
    <definedName name="propDensity">Factors!$A$49</definedName>
    <definedName name="questionNum">Factors!$A$99</definedName>
    <definedName name="steamdefault1">CHPTech!#REF!</definedName>
    <definedName name="steamdefault2">CHPTech!#REF!</definedName>
    <definedName name="steamdefault3">CHPTech!#REF!</definedName>
    <definedName name="steamdefault4">CHPTech!#REF!</definedName>
    <definedName name="stmco2input">Inputs!$B$192</definedName>
    <definedName name="stmeff">Inputs!$B$130</definedName>
    <definedName name="stmeffdefault1">STMTech!$C$4</definedName>
    <definedName name="stmeffelec">Factors!$A$91</definedName>
    <definedName name="stmeffelecnew">[1]Factors!$A$71</definedName>
    <definedName name="stmeffhigh">Factors!$A$90</definedName>
    <definedName name="stmeffhighnew">[1]Factors!$A$70</definedName>
    <definedName name="stmefflow">Factors!$A$89</definedName>
    <definedName name="stmefflow2">[1]Factors!$A$69</definedName>
    <definedName name="stmheatinput1">Inputs!$B$123</definedName>
    <definedName name="stmheatinput2">Inputs!$B$124</definedName>
    <definedName name="stmheatinput3">Inputs!$B$125</definedName>
    <definedName name="stmhginput">Inputs!#REF!</definedName>
    <definedName name="stminput1">Inputs!$B$119</definedName>
    <definedName name="stminput1new">[1]Inputs!$B$75</definedName>
    <definedName name="stmnoxdefault">STMTech!$D$4</definedName>
    <definedName name="stmnoxinput">Inputs!$B$206</definedName>
    <definedName name="stmsulfurinput1">Inputs!$B$200</definedName>
    <definedName name="stmsulfurinput2">Inputs!$B$201</definedName>
    <definedName name="sulfurcoalpercenthigh" localSheetId="11">Factors!#REF!</definedName>
    <definedName name="sulfurcoalpercenthigh">Factors!#REF!</definedName>
    <definedName name="sulfurcoalppmhigh" localSheetId="11">Factors!#REF!</definedName>
    <definedName name="sulfurcoalppmhigh">Factors!#REF!</definedName>
    <definedName name="sulfurpercenthigh">Factors!$A$26</definedName>
    <definedName name="sulfurpercentlow">Factors!$A$25</definedName>
    <definedName name="sulfurppmhigh">Factors!$A$28</definedName>
    <definedName name="sulfurppmlow">Factors!$A$27</definedName>
    <definedName name="tcbtuinput">SubThermalCalculator!$B$8</definedName>
    <definedName name="tcbtuinput2">SubThermalCalculator!$B$16</definedName>
    <definedName name="tcbtulbinput">SubThermalCalculator!$B$12</definedName>
    <definedName name="tceffinput">SubThermalCalculator!$B$17</definedName>
    <definedName name="tclbinput">SubThermalCalculator!$B$11</definedName>
    <definedName name="tcph">SubThermalCalculator!$B$26</definedName>
    <definedName name="tctitle">SubThermalCalculator!$B$1</definedName>
    <definedName name="techfuelmatch">Inputs!$C$42</definedName>
    <definedName name="thermutil">Inputs!$B$136</definedName>
    <definedName name="tonnes">Factors!$A$6</definedName>
    <definedName name="wasteheat">Lists!$A$127</definedName>
    <definedName name="whptherminput">Inputs!$B$76</definedName>
  </definedName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K7" i="16" l="1"/>
  <c r="DL7" i="16"/>
  <c r="DM7" i="16"/>
  <c r="DN7" i="16"/>
  <c r="DO7" i="16"/>
  <c r="DP7" i="16"/>
  <c r="DK8" i="16"/>
  <c r="DL8" i="16"/>
  <c r="DM8" i="16"/>
  <c r="DN8" i="16"/>
  <c r="DO8" i="16"/>
  <c r="DP8" i="16"/>
  <c r="DK9" i="16"/>
  <c r="DL9" i="16"/>
  <c r="DM9" i="16"/>
  <c r="DN9" i="16"/>
  <c r="DO9" i="16"/>
  <c r="DP9" i="16"/>
  <c r="DK10" i="16"/>
  <c r="DL10" i="16"/>
  <c r="DM10" i="16"/>
  <c r="DN10" i="16"/>
  <c r="DO10" i="16"/>
  <c r="DP10" i="16"/>
  <c r="DK11" i="16"/>
  <c r="DL11" i="16"/>
  <c r="DM11" i="16"/>
  <c r="DN11" i="16"/>
  <c r="DO11" i="16"/>
  <c r="DP11" i="16"/>
  <c r="DK12" i="16"/>
  <c r="DL12" i="16"/>
  <c r="DM12" i="16"/>
  <c r="DN12" i="16"/>
  <c r="DO12" i="16"/>
  <c r="DP12" i="16"/>
  <c r="DK13" i="16"/>
  <c r="DL13" i="16"/>
  <c r="DM13" i="16"/>
  <c r="DN13" i="16"/>
  <c r="DO13" i="16"/>
  <c r="DP13" i="16"/>
  <c r="DK14" i="16"/>
  <c r="DL14" i="16"/>
  <c r="DM14" i="16"/>
  <c r="DN14" i="16"/>
  <c r="DO14" i="16"/>
  <c r="DP14" i="16"/>
  <c r="DK15" i="16"/>
  <c r="DL15" i="16"/>
  <c r="DM15" i="16"/>
  <c r="DN15" i="16"/>
  <c r="DO15" i="16"/>
  <c r="DP15" i="16"/>
  <c r="DK16" i="16"/>
  <c r="DL16" i="16"/>
  <c r="DM16" i="16"/>
  <c r="DN16" i="16"/>
  <c r="DO16" i="16"/>
  <c r="DP16" i="16"/>
  <c r="DK17" i="16"/>
  <c r="DL17" i="16"/>
  <c r="DM17" i="16"/>
  <c r="DN17" i="16"/>
  <c r="DO17" i="16"/>
  <c r="DP17" i="16"/>
  <c r="DK18" i="16"/>
  <c r="DL18" i="16"/>
  <c r="DM18" i="16"/>
  <c r="DN18" i="16"/>
  <c r="DO18" i="16"/>
  <c r="DP18" i="16"/>
  <c r="DK19" i="16"/>
  <c r="DL19" i="16"/>
  <c r="DM19" i="16"/>
  <c r="DN19" i="16"/>
  <c r="DO19" i="16"/>
  <c r="DP19" i="16"/>
  <c r="DK20" i="16"/>
  <c r="DL20" i="16"/>
  <c r="DM20" i="16"/>
  <c r="DN20" i="16"/>
  <c r="DO20" i="16"/>
  <c r="DP20" i="16"/>
  <c r="DK21" i="16"/>
  <c r="DL21" i="16"/>
  <c r="DM21" i="16"/>
  <c r="DN21" i="16"/>
  <c r="DO21" i="16"/>
  <c r="DP21" i="16"/>
  <c r="DK22" i="16"/>
  <c r="DL22" i="16"/>
  <c r="DM22" i="16"/>
  <c r="DN22" i="16"/>
  <c r="DO22" i="16"/>
  <c r="DP22" i="16"/>
  <c r="DK23" i="16"/>
  <c r="DL23" i="16"/>
  <c r="DM23" i="16"/>
  <c r="DN23" i="16"/>
  <c r="DO23" i="16"/>
  <c r="DP23" i="16"/>
  <c r="DK24" i="16"/>
  <c r="DL24" i="16"/>
  <c r="DM24" i="16"/>
  <c r="DN24" i="16"/>
  <c r="DO24" i="16"/>
  <c r="DP24" i="16"/>
  <c r="DK25" i="16"/>
  <c r="DL25" i="16"/>
  <c r="DM25" i="16"/>
  <c r="DN25" i="16"/>
  <c r="DO25" i="16"/>
  <c r="DP25" i="16"/>
  <c r="DK26" i="16"/>
  <c r="DL26" i="16"/>
  <c r="DM26" i="16"/>
  <c r="DN26" i="16"/>
  <c r="DO26" i="16"/>
  <c r="DP26" i="16"/>
  <c r="DK27" i="16"/>
  <c r="DL27" i="16"/>
  <c r="DM27" i="16"/>
  <c r="DN27" i="16"/>
  <c r="DO27" i="16"/>
  <c r="DP27" i="16"/>
  <c r="DK28" i="16"/>
  <c r="DL28" i="16"/>
  <c r="DM28" i="16"/>
  <c r="DN28" i="16"/>
  <c r="DO28" i="16"/>
  <c r="DP28" i="16"/>
  <c r="DK29" i="16"/>
  <c r="DL29" i="16"/>
  <c r="DM29" i="16"/>
  <c r="DN29" i="16"/>
  <c r="DO29" i="16"/>
  <c r="DP29" i="16"/>
  <c r="DK30" i="16"/>
  <c r="DL30" i="16"/>
  <c r="DM30" i="16"/>
  <c r="DN30" i="16"/>
  <c r="DO30" i="16"/>
  <c r="DP30" i="16"/>
  <c r="DK31" i="16"/>
  <c r="DL31" i="16"/>
  <c r="DM31" i="16"/>
  <c r="DN31" i="16"/>
  <c r="DO31" i="16"/>
  <c r="DP31" i="16"/>
  <c r="DK32" i="16"/>
  <c r="DL32" i="16"/>
  <c r="DM32" i="16"/>
  <c r="DN32" i="16"/>
  <c r="DO32" i="16"/>
  <c r="DP32" i="16"/>
  <c r="DK33" i="16"/>
  <c r="DL33" i="16"/>
  <c r="DM33" i="16"/>
  <c r="DN33" i="16"/>
  <c r="DO33" i="16"/>
  <c r="DP33" i="16"/>
  <c r="DK34" i="16"/>
  <c r="DL34" i="16"/>
  <c r="DM34" i="16"/>
  <c r="DN34" i="16"/>
  <c r="DO34" i="16"/>
  <c r="DP34" i="16"/>
  <c r="DK35" i="16"/>
  <c r="DL35" i="16"/>
  <c r="DM35" i="16"/>
  <c r="DN35" i="16"/>
  <c r="DO35" i="16"/>
  <c r="DP35" i="16"/>
  <c r="DK36" i="16"/>
  <c r="DL36" i="16"/>
  <c r="DM36" i="16"/>
  <c r="DN36" i="16"/>
  <c r="DO36" i="16"/>
  <c r="DP36" i="16"/>
  <c r="DK37" i="16"/>
  <c r="DL37" i="16"/>
  <c r="DM37" i="16"/>
  <c r="DN37" i="16"/>
  <c r="DO37" i="16"/>
  <c r="DP37" i="16"/>
  <c r="DK38" i="16"/>
  <c r="DL38" i="16"/>
  <c r="DM38" i="16"/>
  <c r="DN38" i="16"/>
  <c r="DO38" i="16"/>
  <c r="DP38" i="16"/>
  <c r="DK39" i="16"/>
  <c r="DL39" i="16"/>
  <c r="DM39" i="16"/>
  <c r="DN39" i="16"/>
  <c r="DO39" i="16"/>
  <c r="DP39" i="16"/>
  <c r="DK40" i="16"/>
  <c r="DL40" i="16"/>
  <c r="DM40" i="16"/>
  <c r="DN40" i="16"/>
  <c r="DO40" i="16"/>
  <c r="DP40" i="16"/>
  <c r="DK41" i="16"/>
  <c r="DL41" i="16"/>
  <c r="DM41" i="16"/>
  <c r="DN41" i="16"/>
  <c r="DO41" i="16"/>
  <c r="DP41" i="16"/>
  <c r="DK42" i="16"/>
  <c r="DL42" i="16"/>
  <c r="DM42" i="16"/>
  <c r="DN42" i="16"/>
  <c r="DO42" i="16"/>
  <c r="DP42" i="16"/>
  <c r="DK43" i="16"/>
  <c r="DL43" i="16"/>
  <c r="DM43" i="16"/>
  <c r="DN43" i="16"/>
  <c r="DO43" i="16"/>
  <c r="DP43" i="16"/>
  <c r="I58" i="16" l="1"/>
  <c r="I57" i="16"/>
  <c r="I56" i="16"/>
  <c r="I59" i="16"/>
  <c r="I60" i="16"/>
  <c r="I48" i="16"/>
  <c r="I50" i="16"/>
  <c r="I53" i="16"/>
  <c r="I55" i="16"/>
  <c r="I47" i="16"/>
  <c r="J17" i="23" l="1"/>
  <c r="I17" i="23"/>
  <c r="H17" i="23"/>
  <c r="J16" i="23"/>
  <c r="I16" i="23"/>
  <c r="H16" i="23"/>
  <c r="J15" i="23"/>
  <c r="I15" i="23"/>
  <c r="H15" i="23"/>
  <c r="L14" i="23"/>
  <c r="K14" i="23"/>
  <c r="J14" i="23"/>
  <c r="I14" i="23"/>
  <c r="H14" i="23"/>
  <c r="L13" i="23"/>
  <c r="K13" i="23"/>
  <c r="J13" i="23"/>
  <c r="I13" i="23"/>
  <c r="H13" i="23"/>
  <c r="L12" i="23"/>
  <c r="K12" i="23"/>
  <c r="J12" i="23"/>
  <c r="I12" i="23"/>
  <c r="H12" i="23"/>
  <c r="F17" i="23"/>
  <c r="D17" i="23"/>
  <c r="F16" i="23"/>
  <c r="F15" i="23"/>
  <c r="E15" i="23"/>
  <c r="F13" i="23"/>
  <c r="E13" i="23"/>
  <c r="F12" i="23"/>
  <c r="E12" i="23"/>
  <c r="E16" i="23"/>
  <c r="E17" i="23"/>
  <c r="D16" i="23"/>
  <c r="D15" i="23"/>
  <c r="D13" i="23"/>
  <c r="D12" i="23"/>
  <c r="C17" i="23"/>
  <c r="C16" i="23"/>
  <c r="C15" i="23"/>
  <c r="C14" i="23"/>
  <c r="C13" i="23"/>
  <c r="C12" i="23"/>
  <c r="A8" i="20"/>
  <c r="A7" i="20"/>
  <c r="A9" i="20"/>
  <c r="A10" i="20"/>
  <c r="A11" i="20"/>
  <c r="A12" i="20"/>
  <c r="A13" i="20"/>
  <c r="A14" i="20"/>
  <c r="A15" i="20"/>
  <c r="A16" i="20"/>
  <c r="A17" i="20"/>
  <c r="A18" i="20"/>
  <c r="C150" i="10"/>
  <c r="A154" i="10"/>
  <c r="B156" i="10"/>
  <c r="D13" i="20"/>
  <c r="D14" i="20"/>
  <c r="D15" i="20"/>
  <c r="D16" i="20"/>
  <c r="D17" i="20"/>
  <c r="D18" i="20"/>
  <c r="D19" i="20"/>
  <c r="E13" i="20"/>
  <c r="E14" i="20"/>
  <c r="E15" i="20"/>
  <c r="E16" i="20"/>
  <c r="E17" i="20"/>
  <c r="E18" i="20"/>
  <c r="E19" i="20"/>
  <c r="A6" i="20"/>
  <c r="F17" i="20"/>
  <c r="J11" i="23" l="1"/>
  <c r="I11" i="23"/>
  <c r="H11" i="23"/>
  <c r="C6" i="20" s="1"/>
  <c r="A95" i="1"/>
  <c r="A96" i="1" s="1"/>
  <c r="A97" i="1" s="1"/>
  <c r="D108" i="1"/>
  <c r="D81" i="1"/>
  <c r="O18" i="23"/>
  <c r="D6" i="20" l="1"/>
  <c r="E6" i="20"/>
  <c r="F19" i="20"/>
  <c r="J58" i="16"/>
  <c r="J56" i="16"/>
  <c r="J57" i="16"/>
  <c r="J59" i="16"/>
  <c r="J60" i="16"/>
  <c r="J55" i="16"/>
  <c r="J53" i="16"/>
  <c r="J50" i="16"/>
  <c r="J48" i="16"/>
  <c r="J47" i="16"/>
  <c r="Q51" i="16"/>
  <c r="P51" i="16"/>
  <c r="C82" i="11"/>
  <c r="A81" i="11"/>
  <c r="E9" i="10"/>
  <c r="R52" i="16"/>
  <c r="Q52" i="16"/>
  <c r="Q54" i="16"/>
  <c r="R54" i="16"/>
  <c r="P54" i="16"/>
  <c r="I54" i="16" s="1"/>
  <c r="P52" i="16"/>
  <c r="Q49" i="16"/>
  <c r="P49" i="16"/>
  <c r="I24" i="23"/>
  <c r="I51" i="16" l="1"/>
  <c r="K11" i="23" s="1"/>
  <c r="I49" i="16"/>
  <c r="I52" i="16"/>
  <c r="J51" i="16"/>
  <c r="L11" i="23" s="1"/>
  <c r="J49" i="16"/>
  <c r="J52" i="16"/>
  <c r="J54" i="16"/>
  <c r="E7" i="10" l="1"/>
  <c r="B127" i="9" l="1"/>
  <c r="K50" i="16" l="1"/>
  <c r="K53" i="16"/>
  <c r="K51" i="16"/>
  <c r="C11" i="23" s="1"/>
  <c r="F6" i="20" s="1"/>
  <c r="K47" i="16"/>
  <c r="K55" i="16"/>
  <c r="K58" i="16"/>
  <c r="K60" i="16"/>
  <c r="K59" i="16" l="1"/>
  <c r="K57" i="16"/>
  <c r="K56" i="16"/>
  <c r="K48" i="16"/>
  <c r="K49" i="16"/>
  <c r="K52" i="16"/>
  <c r="K54" i="16"/>
  <c r="C59" i="10" l="1"/>
  <c r="G207" i="10" l="1"/>
  <c r="G206" i="10"/>
  <c r="G205" i="10"/>
  <c r="G204" i="10"/>
  <c r="G203" i="10"/>
  <c r="G202" i="10"/>
  <c r="G201" i="10"/>
  <c r="G200" i="10"/>
  <c r="G199" i="10"/>
  <c r="G198" i="10"/>
  <c r="G197" i="10"/>
  <c r="G196" i="10"/>
  <c r="G195" i="10"/>
  <c r="G194" i="10"/>
  <c r="G193" i="10"/>
  <c r="G192" i="10"/>
  <c r="G191" i="10"/>
  <c r="G190" i="10"/>
  <c r="G189" i="10"/>
  <c r="G188" i="10"/>
  <c r="G187" i="10"/>
  <c r="G186" i="10"/>
  <c r="G185" i="10"/>
  <c r="G184" i="10"/>
  <c r="G183" i="10"/>
  <c r="G182" i="10"/>
  <c r="G181" i="10"/>
  <c r="G180" i="10"/>
  <c r="G179" i="10"/>
  <c r="G178" i="10"/>
  <c r="G177" i="10"/>
  <c r="G176" i="10"/>
  <c r="G175" i="10"/>
  <c r="G174" i="10"/>
  <c r="G173" i="10"/>
  <c r="G172" i="10"/>
  <c r="G171" i="10"/>
  <c r="G170" i="10"/>
  <c r="G169" i="10"/>
  <c r="G168" i="10"/>
  <c r="G167" i="10"/>
  <c r="G166" i="10"/>
  <c r="G165" i="10"/>
  <c r="G164" i="10"/>
  <c r="G163" i="10"/>
  <c r="G162" i="10"/>
  <c r="G161" i="10"/>
  <c r="G160" i="10"/>
  <c r="G159" i="10"/>
  <c r="G158" i="10"/>
  <c r="G157" i="10"/>
  <c r="G156" i="10"/>
  <c r="G155" i="10"/>
  <c r="G154" i="10"/>
  <c r="G153" i="10"/>
  <c r="G152" i="10"/>
  <c r="G151" i="10"/>
  <c r="G150" i="10"/>
  <c r="G149" i="10"/>
  <c r="G148" i="10"/>
  <c r="G147" i="10"/>
  <c r="G146" i="10"/>
  <c r="G145" i="10"/>
  <c r="G144" i="10"/>
  <c r="G143" i="10"/>
  <c r="G142" i="10"/>
  <c r="G141" i="10"/>
  <c r="G140" i="10"/>
  <c r="G139" i="10"/>
  <c r="G138" i="10"/>
  <c r="G137" i="10"/>
  <c r="G136" i="10"/>
  <c r="G135" i="10"/>
  <c r="G134" i="10"/>
  <c r="G133" i="10"/>
  <c r="G132" i="10"/>
  <c r="G131" i="10"/>
  <c r="G130" i="10"/>
  <c r="G129" i="10"/>
  <c r="G128" i="10"/>
  <c r="G127" i="10"/>
  <c r="G126" i="10"/>
  <c r="G125" i="10"/>
  <c r="G124" i="10"/>
  <c r="G123" i="10"/>
  <c r="G122" i="10"/>
  <c r="G121" i="10"/>
  <c r="G120" i="10"/>
  <c r="G119" i="10"/>
  <c r="G118" i="10"/>
  <c r="G117" i="10"/>
  <c r="G116" i="10"/>
  <c r="G115" i="10"/>
  <c r="G114" i="10"/>
  <c r="G113" i="10"/>
  <c r="G112" i="10"/>
  <c r="G111" i="10"/>
  <c r="G110" i="10"/>
  <c r="G109" i="10"/>
  <c r="G108" i="10"/>
  <c r="G107" i="10"/>
  <c r="G106" i="10"/>
  <c r="G105" i="10"/>
  <c r="G104" i="10"/>
  <c r="G103" i="10"/>
  <c r="G102" i="10"/>
  <c r="G101" i="10"/>
  <c r="G100" i="10"/>
  <c r="G99" i="10"/>
  <c r="G98" i="10"/>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G38"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G11" i="10"/>
  <c r="G10" i="10"/>
  <c r="G9" i="10"/>
  <c r="F1" i="10" l="1"/>
  <c r="E4" i="10" s="1"/>
  <c r="E7" i="20"/>
  <c r="G1" i="10" l="1"/>
  <c r="D12" i="20"/>
  <c r="D8" i="20"/>
  <c r="B109" i="9" l="1"/>
  <c r="C91" i="11" l="1"/>
  <c r="A77" i="10" l="1"/>
  <c r="C77" i="10" l="1"/>
  <c r="B64" i="10"/>
  <c r="C52" i="10"/>
  <c r="C53" i="10"/>
  <c r="B51" i="9"/>
  <c r="A88" i="10" s="1"/>
  <c r="B163" i="9" l="1"/>
  <c r="C42" i="10"/>
  <c r="B41" i="10" l="1"/>
  <c r="B186" i="10"/>
  <c r="B81" i="10" l="1"/>
  <c r="B155" i="9" l="1"/>
  <c r="B175" i="9" l="1"/>
  <c r="B85" i="11" l="1"/>
  <c r="B82" i="11"/>
  <c r="F8" i="20" l="1"/>
  <c r="F12" i="20"/>
  <c r="E12" i="20"/>
  <c r="E11" i="20"/>
  <c r="E10" i="20"/>
  <c r="E9" i="20"/>
  <c r="E8" i="20"/>
  <c r="D11" i="20"/>
  <c r="D10" i="20"/>
  <c r="D9" i="20"/>
  <c r="D7" i="20"/>
  <c r="C12" i="20"/>
  <c r="C8" i="20"/>
  <c r="B1" i="23"/>
  <c r="B40" i="11"/>
  <c r="B41" i="11"/>
  <c r="A67" i="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111" i="14"/>
  <c r="B111" i="14" s="1"/>
  <c r="C75" i="10"/>
  <c r="B164" i="9"/>
  <c r="B188" i="9"/>
  <c r="B190" i="9" s="1"/>
  <c r="B191" i="9" s="1"/>
  <c r="A95" i="10"/>
  <c r="B94" i="10" s="1"/>
  <c r="K7" i="13"/>
  <c r="H30" i="15"/>
  <c r="H29" i="15"/>
  <c r="H28" i="15"/>
  <c r="H27" i="15"/>
  <c r="H26" i="15"/>
  <c r="G30" i="15"/>
  <c r="G29" i="15"/>
  <c r="G28" i="15"/>
  <c r="G27" i="15"/>
  <c r="G26" i="15"/>
  <c r="G32" i="15"/>
  <c r="I29" i="15"/>
  <c r="I28" i="15"/>
  <c r="I27" i="15"/>
  <c r="I26" i="15"/>
  <c r="I30" i="15"/>
  <c r="I31" i="15"/>
  <c r="H31" i="15"/>
  <c r="G31" i="15"/>
  <c r="C125" i="1"/>
  <c r="C136" i="1"/>
  <c r="G190" i="13"/>
  <c r="F190" i="13"/>
  <c r="E190" i="13"/>
  <c r="D190" i="13"/>
  <c r="C190" i="13"/>
  <c r="G187" i="13"/>
  <c r="F187" i="13"/>
  <c r="E187" i="13"/>
  <c r="D187" i="13"/>
  <c r="C187" i="13"/>
  <c r="G183" i="13"/>
  <c r="F183" i="13"/>
  <c r="E183" i="13"/>
  <c r="D183" i="13"/>
  <c r="C183" i="13"/>
  <c r="G142" i="13"/>
  <c r="F142" i="13"/>
  <c r="E142" i="13"/>
  <c r="D142" i="13"/>
  <c r="C142" i="13"/>
  <c r="G140" i="13"/>
  <c r="G139" i="13" s="1"/>
  <c r="F140" i="13"/>
  <c r="F139" i="13" s="1"/>
  <c r="E140" i="13"/>
  <c r="E139" i="13" s="1"/>
  <c r="D140" i="13"/>
  <c r="D139" i="13" s="1"/>
  <c r="C140" i="13"/>
  <c r="C139" i="13" s="1"/>
  <c r="G135" i="13"/>
  <c r="F135" i="13"/>
  <c r="E135" i="13"/>
  <c r="D135" i="13"/>
  <c r="C135" i="13"/>
  <c r="F115" i="13"/>
  <c r="E115" i="13"/>
  <c r="D115" i="13"/>
  <c r="C115" i="13"/>
  <c r="F111" i="13"/>
  <c r="E111" i="13"/>
  <c r="D111" i="13"/>
  <c r="C111" i="13"/>
  <c r="D85" i="13"/>
  <c r="E85" i="13"/>
  <c r="D92" i="13"/>
  <c r="D91" i="13" s="1"/>
  <c r="E92" i="13"/>
  <c r="E91" i="13" s="1"/>
  <c r="D94" i="13"/>
  <c r="E94" i="13"/>
  <c r="E63" i="13"/>
  <c r="D63" i="13"/>
  <c r="C63" i="13"/>
  <c r="I45" i="13"/>
  <c r="I39" i="13"/>
  <c r="H39" i="13"/>
  <c r="G39" i="13"/>
  <c r="F39" i="13"/>
  <c r="E39" i="13"/>
  <c r="D39" i="13"/>
  <c r="C39" i="13"/>
  <c r="E111" i="9"/>
  <c r="E110" i="9"/>
  <c r="L22" i="23"/>
  <c r="L23" i="23"/>
  <c r="L24" i="23"/>
  <c r="L21" i="23"/>
  <c r="L19" i="23"/>
  <c r="L20" i="23"/>
  <c r="L18" i="23"/>
  <c r="K22" i="23"/>
  <c r="K23" i="23"/>
  <c r="K24" i="23"/>
  <c r="K21" i="23"/>
  <c r="K19" i="23"/>
  <c r="K20" i="23"/>
  <c r="K18" i="23"/>
  <c r="J24" i="23"/>
  <c r="J23" i="23"/>
  <c r="J22" i="23"/>
  <c r="F22" i="23" s="1"/>
  <c r="J21" i="23"/>
  <c r="J20" i="23"/>
  <c r="F20" i="23" s="1"/>
  <c r="J19" i="23"/>
  <c r="F19" i="23" s="1"/>
  <c r="J18" i="23"/>
  <c r="D91" i="1"/>
  <c r="D109" i="1"/>
  <c r="D117" i="1"/>
  <c r="D110" i="1"/>
  <c r="D111" i="1"/>
  <c r="D112" i="1"/>
  <c r="D113" i="1"/>
  <c r="D114" i="1"/>
  <c r="D115" i="1"/>
  <c r="D116" i="1"/>
  <c r="D82" i="1"/>
  <c r="D83" i="1"/>
  <c r="D84" i="1"/>
  <c r="D85" i="1"/>
  <c r="D86" i="1"/>
  <c r="D87" i="1"/>
  <c r="D88" i="1"/>
  <c r="D89" i="1"/>
  <c r="D90" i="1"/>
  <c r="D92" i="1"/>
  <c r="D93" i="1"/>
  <c r="D94" i="1"/>
  <c r="D95" i="1"/>
  <c r="D96" i="1"/>
  <c r="D97" i="1"/>
  <c r="D98" i="1"/>
  <c r="D99" i="1"/>
  <c r="D100" i="1"/>
  <c r="D101" i="1"/>
  <c r="D102" i="1"/>
  <c r="D103" i="1"/>
  <c r="D104" i="1"/>
  <c r="D105" i="1"/>
  <c r="D106" i="1"/>
  <c r="D107" i="1"/>
  <c r="K16" i="23"/>
  <c r="B25" i="17"/>
  <c r="B13" i="17"/>
  <c r="B18" i="17"/>
  <c r="B50" i="9"/>
  <c r="B135" i="9"/>
  <c r="B136" i="9" s="1"/>
  <c r="B137" i="9" s="1"/>
  <c r="B230" i="13"/>
  <c r="D144" i="1" s="1"/>
  <c r="B105" i="9"/>
  <c r="B231" i="13"/>
  <c r="D145" i="1" s="1"/>
  <c r="B95" i="9"/>
  <c r="B94" i="9"/>
  <c r="B98" i="9"/>
  <c r="B61" i="9"/>
  <c r="B62" i="9"/>
  <c r="B63" i="9"/>
  <c r="A38" i="14"/>
  <c r="B64" i="9" s="1"/>
  <c r="A23" i="15"/>
  <c r="I23" i="15" s="1"/>
  <c r="B84" i="9"/>
  <c r="B80" i="9"/>
  <c r="B81" i="9"/>
  <c r="A4" i="15"/>
  <c r="E4" i="15" s="1"/>
  <c r="F136" i="1"/>
  <c r="F125" i="1"/>
  <c r="B151" i="13"/>
  <c r="B152" i="13"/>
  <c r="H8" i="13" s="1"/>
  <c r="B153" i="13"/>
  <c r="H9" i="13" s="1"/>
  <c r="A35" i="10"/>
  <c r="G10" i="15"/>
  <c r="G7" i="15"/>
  <c r="G8" i="15"/>
  <c r="B189" i="9"/>
  <c r="B152" i="9"/>
  <c r="I17" i="15"/>
  <c r="I16" i="15"/>
  <c r="G17" i="15"/>
  <c r="G16" i="15"/>
  <c r="E17" i="15"/>
  <c r="E16" i="15"/>
  <c r="C124" i="1"/>
  <c r="C135" i="1"/>
  <c r="F123" i="1"/>
  <c r="C123" i="1"/>
  <c r="G9" i="15"/>
  <c r="B134" i="9"/>
  <c r="C134" i="9" s="1"/>
  <c r="C178" i="9"/>
  <c r="C171" i="9"/>
  <c r="A18" i="14"/>
  <c r="B179" i="9"/>
  <c r="B172" i="9"/>
  <c r="B173" i="9"/>
  <c r="B70" i="9"/>
  <c r="B74" i="9"/>
  <c r="B71" i="9"/>
  <c r="B72" i="9"/>
  <c r="B73" i="9"/>
  <c r="B4" i="9"/>
  <c r="B59" i="11" s="1"/>
  <c r="B118" i="9"/>
  <c r="C118" i="9" s="1"/>
  <c r="B144" i="9"/>
  <c r="B143" i="9"/>
  <c r="C143" i="9" s="1"/>
  <c r="B178" i="9"/>
  <c r="C83" i="9"/>
  <c r="B83" i="9"/>
  <c r="C56" i="9"/>
  <c r="B57" i="11" s="1"/>
  <c r="B56" i="9"/>
  <c r="C49" i="9"/>
  <c r="B49" i="9"/>
  <c r="B171" i="9"/>
  <c r="B57" i="9"/>
  <c r="I87" i="13"/>
  <c r="E18" i="15"/>
  <c r="E7" i="15"/>
  <c r="D18" i="15"/>
  <c r="G181" i="13"/>
  <c r="F181" i="13"/>
  <c r="E181" i="13"/>
  <c r="D133" i="13"/>
  <c r="E133" i="13"/>
  <c r="F133" i="13"/>
  <c r="G133" i="13"/>
  <c r="F223" i="13"/>
  <c r="E223" i="13"/>
  <c r="D223" i="13"/>
  <c r="C223" i="13"/>
  <c r="B223" i="13" s="1"/>
  <c r="E167" i="13"/>
  <c r="F167" i="13"/>
  <c r="D167" i="13"/>
  <c r="B229" i="13"/>
  <c r="B221" i="13"/>
  <c r="B222" i="13"/>
  <c r="C167" i="13"/>
  <c r="B176" i="13"/>
  <c r="I8" i="13" s="1"/>
  <c r="B177" i="13"/>
  <c r="I9" i="13" s="1"/>
  <c r="B197" i="13"/>
  <c r="B173" i="13"/>
  <c r="B149" i="13"/>
  <c r="D181" i="13"/>
  <c r="C206" i="13"/>
  <c r="C214" i="13" s="1"/>
  <c r="C211" i="13"/>
  <c r="C210" i="13"/>
  <c r="C209" i="13"/>
  <c r="C208" i="13"/>
  <c r="C207" i="13"/>
  <c r="C205" i="13"/>
  <c r="C203" i="13"/>
  <c r="C181" i="13"/>
  <c r="B128" i="13"/>
  <c r="G8" i="13" s="1"/>
  <c r="B129" i="13"/>
  <c r="G9" i="13" s="1"/>
  <c r="C133" i="13"/>
  <c r="B80" i="13"/>
  <c r="E8" i="13" s="1"/>
  <c r="B81" i="13"/>
  <c r="E9" i="13" s="1"/>
  <c r="I94" i="13"/>
  <c r="I92" i="13"/>
  <c r="I91" i="13" s="1"/>
  <c r="I85" i="13"/>
  <c r="B56" i="13"/>
  <c r="D8" i="13" s="1"/>
  <c r="C71" i="13"/>
  <c r="B57" i="13"/>
  <c r="D9" i="13" s="1"/>
  <c r="D71" i="13"/>
  <c r="E71" i="13"/>
  <c r="C70" i="13"/>
  <c r="D70" i="13"/>
  <c r="E70" i="13"/>
  <c r="C68" i="13"/>
  <c r="C67" i="13" s="1"/>
  <c r="D68" i="13"/>
  <c r="D67" i="13" s="1"/>
  <c r="E68" i="13"/>
  <c r="E67" i="13" s="1"/>
  <c r="C61" i="13"/>
  <c r="D61" i="13"/>
  <c r="E61" i="13"/>
  <c r="B32" i="13"/>
  <c r="C8" i="13" s="1"/>
  <c r="B33" i="13"/>
  <c r="C9" i="13" s="1"/>
  <c r="C47" i="13"/>
  <c r="G47" i="13"/>
  <c r="C46" i="13"/>
  <c r="G46" i="13"/>
  <c r="C44" i="13"/>
  <c r="C43" i="13" s="1"/>
  <c r="G44" i="13"/>
  <c r="G43" i="13" s="1"/>
  <c r="C37" i="13"/>
  <c r="G37" i="13"/>
  <c r="B5" i="13"/>
  <c r="B104" i="13"/>
  <c r="F8" i="13" s="1"/>
  <c r="B105" i="13"/>
  <c r="F9" i="13" s="1"/>
  <c r="B29" i="13"/>
  <c r="E118" i="13"/>
  <c r="F118" i="13"/>
  <c r="E109" i="13"/>
  <c r="F109" i="13"/>
  <c r="D118" i="13"/>
  <c r="D109" i="13"/>
  <c r="C92" i="13"/>
  <c r="C91" i="13" s="1"/>
  <c r="C118" i="13"/>
  <c r="C109" i="13"/>
  <c r="F92" i="13"/>
  <c r="F91" i="13" s="1"/>
  <c r="H92" i="13"/>
  <c r="H91" i="13" s="1"/>
  <c r="H94" i="13"/>
  <c r="G94" i="13"/>
  <c r="F94" i="13"/>
  <c r="G92" i="13"/>
  <c r="G91" i="13" s="1"/>
  <c r="H85" i="13"/>
  <c r="G85" i="13"/>
  <c r="F85" i="13"/>
  <c r="B125" i="13"/>
  <c r="B101" i="13"/>
  <c r="B77" i="13"/>
  <c r="B53" i="13"/>
  <c r="D47" i="13"/>
  <c r="D46" i="13"/>
  <c r="D44" i="13"/>
  <c r="D43" i="13" s="1"/>
  <c r="D37" i="13"/>
  <c r="I47" i="13"/>
  <c r="I46" i="13"/>
  <c r="I44" i="13"/>
  <c r="I43" i="13" s="1"/>
  <c r="I37" i="13"/>
  <c r="F47" i="13"/>
  <c r="H47" i="13"/>
  <c r="E47" i="13"/>
  <c r="E46" i="13"/>
  <c r="E44" i="13"/>
  <c r="E43" i="13" s="1"/>
  <c r="E37" i="13"/>
  <c r="C94" i="13"/>
  <c r="C85" i="13"/>
  <c r="F44" i="13"/>
  <c r="F43" i="13" s="1"/>
  <c r="H44" i="13"/>
  <c r="H43" i="13" s="1"/>
  <c r="F46" i="13"/>
  <c r="H46" i="13"/>
  <c r="F37" i="13"/>
  <c r="H37" i="13"/>
  <c r="B31" i="13"/>
  <c r="B55" i="13"/>
  <c r="B103" i="13"/>
  <c r="B127" i="13"/>
  <c r="B79" i="13"/>
  <c r="B175" i="13"/>
  <c r="C199" i="13"/>
  <c r="B199" i="13"/>
  <c r="J7" i="13" s="1"/>
  <c r="E11" i="15"/>
  <c r="C166" i="13"/>
  <c r="I11" i="15"/>
  <c r="A6" i="14"/>
  <c r="A5" i="14"/>
  <c r="H7" i="14" s="1"/>
  <c r="A25" i="14"/>
  <c r="A74" i="14"/>
  <c r="A76" i="14" s="1"/>
  <c r="A73" i="14"/>
  <c r="A75" i="14" s="1"/>
  <c r="A214" i="10"/>
  <c r="F54" i="1"/>
  <c r="A218" i="10"/>
  <c r="C53" i="1"/>
  <c r="C54" i="1"/>
  <c r="C55" i="1"/>
  <c r="C51" i="1"/>
  <c r="C52" i="1"/>
  <c r="C120" i="1"/>
  <c r="A213" i="10" s="1"/>
  <c r="C121" i="1"/>
  <c r="C122" i="1"/>
  <c r="F58" i="1"/>
  <c r="C56" i="1"/>
  <c r="C57" i="1"/>
  <c r="C58" i="1"/>
  <c r="F134" i="1"/>
  <c r="C134" i="1"/>
  <c r="C133" i="1"/>
  <c r="C132" i="1"/>
  <c r="C131" i="1"/>
  <c r="C19" i="1"/>
  <c r="C18" i="1"/>
  <c r="C1" i="23"/>
  <c r="H24" i="23"/>
  <c r="H23" i="23"/>
  <c r="H22" i="23"/>
  <c r="D22" i="23" s="1"/>
  <c r="D21" i="23"/>
  <c r="E20" i="23"/>
  <c r="D20" i="23"/>
  <c r="E19" i="23"/>
  <c r="D19" i="23"/>
  <c r="D18" i="23"/>
  <c r="E24" i="23"/>
  <c r="E18" i="23"/>
  <c r="I21" i="23"/>
  <c r="I22" i="23"/>
  <c r="I23" i="23"/>
  <c r="E23" i="23" s="1"/>
  <c r="D145" i="11"/>
  <c r="C71" i="11"/>
  <c r="C73" i="11"/>
  <c r="C72" i="11"/>
  <c r="B79" i="11"/>
  <c r="I18" i="15"/>
  <c r="G11" i="15"/>
  <c r="I12" i="15"/>
  <c r="F12" i="15" s="1"/>
  <c r="I7" i="15"/>
  <c r="I10" i="15"/>
  <c r="F10" i="15" s="1"/>
  <c r="I8" i="15"/>
  <c r="F8" i="15" s="1"/>
  <c r="I9" i="15"/>
  <c r="F9" i="15" s="1"/>
  <c r="G12" i="15"/>
  <c r="I14" i="15"/>
  <c r="F14" i="15" s="1"/>
  <c r="I13" i="15"/>
  <c r="F13" i="15" s="1"/>
  <c r="G14" i="15"/>
  <c r="G13" i="15"/>
  <c r="F18" i="20"/>
  <c r="F16" i="20"/>
  <c r="F15" i="20"/>
  <c r="C15" i="20"/>
  <c r="F14" i="20"/>
  <c r="C14" i="20"/>
  <c r="F13" i="20"/>
  <c r="C13" i="20"/>
  <c r="D26" i="17"/>
  <c r="C26" i="17"/>
  <c r="C25" i="17"/>
  <c r="D25" i="17"/>
  <c r="C87" i="13"/>
  <c r="F87" i="13"/>
  <c r="E166" i="13"/>
  <c r="D166" i="13"/>
  <c r="F166" i="13"/>
  <c r="G87" i="13"/>
  <c r="H87" i="13"/>
  <c r="D87" i="13"/>
  <c r="E87" i="13"/>
  <c r="C10" i="13"/>
  <c r="C11" i="13"/>
  <c r="G4" i="23" l="1"/>
  <c r="C6" i="23"/>
  <c r="B147" i="9" s="1"/>
  <c r="C4" i="23"/>
  <c r="B145" i="9" s="1"/>
  <c r="G5" i="23"/>
  <c r="C5" i="23"/>
  <c r="B146" i="9" s="1"/>
  <c r="C7" i="23"/>
  <c r="F7" i="20"/>
  <c r="D24" i="23"/>
  <c r="C19" i="20"/>
  <c r="F24" i="23"/>
  <c r="A92" i="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217" i="10"/>
  <c r="C7" i="20"/>
  <c r="E21" i="23"/>
  <c r="B145" i="1"/>
  <c r="B95" i="10"/>
  <c r="B96" i="9"/>
  <c r="B101" i="9" s="1"/>
  <c r="B119" i="9"/>
  <c r="B138" i="9" s="1"/>
  <c r="B52" i="9"/>
  <c r="B59" i="9"/>
  <c r="A30" i="10"/>
  <c r="A216" i="10"/>
  <c r="F23" i="23"/>
  <c r="C16" i="20"/>
  <c r="B170" i="9"/>
  <c r="B106" i="9"/>
  <c r="B107" i="9" s="1"/>
  <c r="B56" i="11"/>
  <c r="B91" i="11"/>
  <c r="C124" i="11"/>
  <c r="B58" i="9"/>
  <c r="B23" i="17"/>
  <c r="B24" i="17" s="1"/>
  <c r="B26" i="17" s="1"/>
  <c r="B144" i="1"/>
  <c r="B126" i="9"/>
  <c r="B128" i="9" s="1"/>
  <c r="C9" i="20"/>
  <c r="F9" i="20"/>
  <c r="C11" i="20"/>
  <c r="F10" i="20"/>
  <c r="C10" i="20"/>
  <c r="C17" i="20"/>
  <c r="F7" i="15"/>
  <c r="B186" i="13"/>
  <c r="I18" i="13" s="1"/>
  <c r="B158" i="13"/>
  <c r="H14" i="13" s="1"/>
  <c r="G4" i="15"/>
  <c r="B184" i="9" s="1"/>
  <c r="F21" i="23"/>
  <c r="F11" i="15"/>
  <c r="F4" i="15" s="1"/>
  <c r="B82" i="13"/>
  <c r="E10" i="13" s="1"/>
  <c r="B39" i="13"/>
  <c r="C15" i="13" s="1"/>
  <c r="B30" i="13"/>
  <c r="C6" i="13" s="1"/>
  <c r="B90" i="13"/>
  <c r="E18" i="13" s="1"/>
  <c r="B86" i="13"/>
  <c r="E14" i="13" s="1"/>
  <c r="B37" i="13"/>
  <c r="C13" i="13" s="1"/>
  <c r="B47" i="13"/>
  <c r="C23" i="13" s="1"/>
  <c r="B87" i="13"/>
  <c r="E15" i="13" s="1"/>
  <c r="B83" i="13"/>
  <c r="E11" i="13" s="1"/>
  <c r="B85" i="13"/>
  <c r="E13" i="13" s="1"/>
  <c r="G23" i="15"/>
  <c r="B82" i="9"/>
  <c r="E22" i="23"/>
  <c r="F23" i="15"/>
  <c r="B165" i="13" s="1"/>
  <c r="H21" i="13" s="1"/>
  <c r="F18" i="23"/>
  <c r="C18" i="20"/>
  <c r="D23" i="23"/>
  <c r="B54" i="13"/>
  <c r="D6" i="13" s="1"/>
  <c r="B160" i="13"/>
  <c r="H16" i="13" s="1"/>
  <c r="B133" i="13"/>
  <c r="G13" i="13" s="1"/>
  <c r="B117" i="13"/>
  <c r="F21" i="13" s="1"/>
  <c r="B174" i="13"/>
  <c r="I6" i="13" s="1"/>
  <c r="L17" i="23"/>
  <c r="F11" i="20"/>
  <c r="B113" i="13"/>
  <c r="F17" i="13" s="1"/>
  <c r="L15" i="23"/>
  <c r="B76" i="11"/>
  <c r="B74" i="11"/>
  <c r="G161" i="11" s="1"/>
  <c r="K15" i="23"/>
  <c r="B119" i="13"/>
  <c r="F23" i="13" s="1"/>
  <c r="B114" i="13"/>
  <c r="F18" i="13" s="1"/>
  <c r="B109" i="13"/>
  <c r="F13" i="13" s="1"/>
  <c r="K17" i="23"/>
  <c r="B102" i="13"/>
  <c r="F6" i="13" s="1"/>
  <c r="B185" i="13"/>
  <c r="I17" i="13" s="1"/>
  <c r="B183" i="13"/>
  <c r="I15" i="13" s="1"/>
  <c r="L16" i="23"/>
  <c r="B164" i="13"/>
  <c r="H20" i="13" s="1"/>
  <c r="B141" i="13"/>
  <c r="G21" i="13" s="1"/>
  <c r="C23" i="15"/>
  <c r="B23" i="15"/>
  <c r="C4" i="15"/>
  <c r="B107" i="13"/>
  <c r="F11" i="13" s="1"/>
  <c r="E23" i="15"/>
  <c r="D23" i="15"/>
  <c r="B163" i="13" s="1"/>
  <c r="H19" i="13" s="1"/>
  <c r="B111" i="13"/>
  <c r="F15" i="13" s="1"/>
  <c r="B161" i="13"/>
  <c r="H17" i="13" s="1"/>
  <c r="C74" i="11"/>
  <c r="H23" i="15"/>
  <c r="I4" i="15"/>
  <c r="B179" i="13"/>
  <c r="I11" i="13" s="1"/>
  <c r="C212" i="13"/>
  <c r="C111" i="14"/>
  <c r="B95" i="13"/>
  <c r="E23" i="13" s="1"/>
  <c r="E7" i="13"/>
  <c r="B94" i="13"/>
  <c r="E22" i="13" s="1"/>
  <c r="G7" i="13"/>
  <c r="B89" i="13"/>
  <c r="E17" i="13" s="1"/>
  <c r="B92" i="13"/>
  <c r="E20" i="13" s="1"/>
  <c r="B110" i="13"/>
  <c r="F14" i="13" s="1"/>
  <c r="B88" i="13"/>
  <c r="E16" i="13" s="1"/>
  <c r="C7" i="13"/>
  <c r="B40" i="13"/>
  <c r="C16" i="13" s="1"/>
  <c r="B91" i="13"/>
  <c r="E19" i="13" s="1"/>
  <c r="B93" i="13"/>
  <c r="E21" i="13" s="1"/>
  <c r="B78" i="13"/>
  <c r="E6" i="13" s="1"/>
  <c r="B184" i="13"/>
  <c r="I16" i="13" s="1"/>
  <c r="B75" i="11"/>
  <c r="B191" i="13"/>
  <c r="I23" i="13" s="1"/>
  <c r="B65" i="13"/>
  <c r="D17" i="13" s="1"/>
  <c r="A76" i="11"/>
  <c r="B136" i="13"/>
  <c r="G16" i="13" s="1"/>
  <c r="B46" i="13"/>
  <c r="C22" i="13" s="1"/>
  <c r="B43" i="13"/>
  <c r="C19" i="13" s="1"/>
  <c r="D7" i="13"/>
  <c r="B190" i="13"/>
  <c r="I22" i="13" s="1"/>
  <c r="B41" i="13"/>
  <c r="C17" i="13" s="1"/>
  <c r="B77" i="11"/>
  <c r="B182" i="13"/>
  <c r="I14" i="13" s="1"/>
  <c r="B38" i="13"/>
  <c r="C14" i="13" s="1"/>
  <c r="B44" i="13"/>
  <c r="C20" i="13" s="1"/>
  <c r="C77" i="11"/>
  <c r="A75" i="11"/>
  <c r="I7" i="13"/>
  <c r="B201" i="13"/>
  <c r="J9" i="13" s="1"/>
  <c r="B9" i="13" s="1"/>
  <c r="B200" i="13"/>
  <c r="K4" i="15"/>
  <c r="E184" i="9" s="1"/>
  <c r="B4" i="15"/>
  <c r="J4" i="15"/>
  <c r="E182" i="9" s="1"/>
  <c r="B174" i="9"/>
  <c r="B73" i="11" s="1"/>
  <c r="D4" i="15"/>
  <c r="B182" i="9" s="1"/>
  <c r="B72" i="11" s="1"/>
  <c r="B138" i="13"/>
  <c r="G18" i="13" s="1"/>
  <c r="B137" i="13"/>
  <c r="G17" i="13" s="1"/>
  <c r="B142" i="13"/>
  <c r="G22" i="13" s="1"/>
  <c r="B135" i="13"/>
  <c r="G15" i="13" s="1"/>
  <c r="B143" i="13"/>
  <c r="G23" i="13" s="1"/>
  <c r="B126" i="13"/>
  <c r="G6" i="13" s="1"/>
  <c r="B134" i="13"/>
  <c r="G14" i="13" s="1"/>
  <c r="B139" i="13"/>
  <c r="G19" i="13" s="1"/>
  <c r="B131" i="13"/>
  <c r="G11" i="13" s="1"/>
  <c r="B130" i="13"/>
  <c r="G10" i="13" s="1"/>
  <c r="B140" i="13"/>
  <c r="G20" i="13" s="1"/>
  <c r="B58" i="13"/>
  <c r="D10" i="13" s="1"/>
  <c r="B66" i="13"/>
  <c r="D18" i="13" s="1"/>
  <c r="B64" i="13"/>
  <c r="D16" i="13" s="1"/>
  <c r="B70" i="13"/>
  <c r="D22" i="13" s="1"/>
  <c r="B67" i="13"/>
  <c r="D19" i="13" s="1"/>
  <c r="B69" i="13"/>
  <c r="D21" i="13" s="1"/>
  <c r="B59" i="13"/>
  <c r="D11" i="13" s="1"/>
  <c r="B68" i="13"/>
  <c r="D20" i="13" s="1"/>
  <c r="B61" i="13"/>
  <c r="D13" i="13" s="1"/>
  <c r="B166" i="13"/>
  <c r="H22" i="13" s="1"/>
  <c r="B159" i="13"/>
  <c r="H15" i="13" s="1"/>
  <c r="H7" i="13"/>
  <c r="B155" i="13"/>
  <c r="H11" i="13" s="1"/>
  <c r="B154" i="13"/>
  <c r="H10" i="13" s="1"/>
  <c r="B162" i="13"/>
  <c r="H18" i="13" s="1"/>
  <c r="B157" i="13"/>
  <c r="H13" i="13" s="1"/>
  <c r="B150" i="13"/>
  <c r="H6" i="13" s="1"/>
  <c r="B71" i="13"/>
  <c r="D23" i="13" s="1"/>
  <c r="B62" i="13"/>
  <c r="D14" i="13" s="1"/>
  <c r="B63" i="13"/>
  <c r="D15" i="13" s="1"/>
  <c r="B167" i="13"/>
  <c r="H23" i="13" s="1"/>
  <c r="B120" i="9"/>
  <c r="B28" i="9"/>
  <c r="B58" i="11" s="1"/>
  <c r="B188" i="13"/>
  <c r="I20" i="13" s="1"/>
  <c r="B187" i="13"/>
  <c r="I19" i="13" s="1"/>
  <c r="B189" i="13"/>
  <c r="I21" i="13" s="1"/>
  <c r="B112" i="13"/>
  <c r="F16" i="13" s="1"/>
  <c r="B118" i="13"/>
  <c r="F22" i="13" s="1"/>
  <c r="B181" i="13"/>
  <c r="I13" i="13" s="1"/>
  <c r="B115" i="13"/>
  <c r="F19" i="13" s="1"/>
  <c r="F7" i="13"/>
  <c r="B116" i="13"/>
  <c r="F20" i="13" s="1"/>
  <c r="B106" i="13"/>
  <c r="F10" i="13" s="1"/>
  <c r="B178" i="13"/>
  <c r="I10" i="13" s="1"/>
  <c r="B45" i="13"/>
  <c r="C21" i="13" s="1"/>
  <c r="B42" i="13"/>
  <c r="C18" i="13" s="1"/>
  <c r="E145" i="9" l="1"/>
  <c r="D117" i="11" s="1"/>
  <c r="F66" i="1"/>
  <c r="G66" i="1"/>
  <c r="B2" i="23"/>
  <c r="B81" i="11"/>
  <c r="E146" i="9"/>
  <c r="D118" i="11" s="1"/>
  <c r="B165" i="9"/>
  <c r="B150" i="9"/>
  <c r="B129" i="9"/>
  <c r="G160" i="11" s="1"/>
  <c r="B132" i="9"/>
  <c r="B130" i="9"/>
  <c r="B131" i="9" s="1"/>
  <c r="B168" i="9" s="1"/>
  <c r="D127" i="11"/>
  <c r="D116" i="11"/>
  <c r="D125" i="11"/>
  <c r="D114" i="11"/>
  <c r="D126" i="11"/>
  <c r="D115" i="11"/>
  <c r="B61" i="11"/>
  <c r="A90" i="10"/>
  <c r="B192" i="9"/>
  <c r="B151" i="9" s="1"/>
  <c r="B60" i="9"/>
  <c r="B100" i="9" s="1"/>
  <c r="A33" i="10"/>
  <c r="B7" i="13"/>
  <c r="B166" i="9"/>
  <c r="E112" i="9"/>
  <c r="E113" i="9"/>
  <c r="B112" i="9"/>
  <c r="B45" i="9" s="1"/>
  <c r="B22" i="9" s="1"/>
  <c r="C92" i="11" s="1"/>
  <c r="B31" i="9"/>
  <c r="B8" i="9" s="1"/>
  <c r="B202" i="13"/>
  <c r="J10" i="13" s="1"/>
  <c r="B10" i="13" s="1"/>
  <c r="B123" i="9"/>
  <c r="B121" i="9" s="1"/>
  <c r="B124" i="9"/>
  <c r="B198" i="13"/>
  <c r="J6" i="13" s="1"/>
  <c r="B6" i="13" s="1"/>
  <c r="B205" i="13"/>
  <c r="J13" i="13" s="1"/>
  <c r="B13" i="13" s="1"/>
  <c r="B206" i="13"/>
  <c r="J14" i="13" s="1"/>
  <c r="B14" i="13" s="1"/>
  <c r="B5" i="9"/>
  <c r="B60" i="11" s="1"/>
  <c r="B148" i="9"/>
  <c r="D121" i="11" s="1"/>
  <c r="B215" i="13"/>
  <c r="J23" i="13" s="1"/>
  <c r="B23" i="13" s="1"/>
  <c r="B203" i="13"/>
  <c r="J11" i="13" s="1"/>
  <c r="B11" i="13" s="1"/>
  <c r="B209" i="13"/>
  <c r="J17" i="13" s="1"/>
  <c r="B17" i="13" s="1"/>
  <c r="B212" i="13"/>
  <c r="J20" i="13" s="1"/>
  <c r="B20" i="13" s="1"/>
  <c r="B213" i="13"/>
  <c r="J21" i="13" s="1"/>
  <c r="B21" i="13" s="1"/>
  <c r="B210" i="13"/>
  <c r="J18" i="13" s="1"/>
  <c r="B18" i="13" s="1"/>
  <c r="B208" i="13"/>
  <c r="J16" i="13" s="1"/>
  <c r="B16" i="13" s="1"/>
  <c r="B211" i="13"/>
  <c r="J19" i="13" s="1"/>
  <c r="B19" i="13" s="1"/>
  <c r="J8" i="13"/>
  <c r="B8" i="13" s="1"/>
  <c r="B8" i="10" s="1"/>
  <c r="B214" i="13"/>
  <c r="J22" i="13" s="1"/>
  <c r="B22" i="13" s="1"/>
  <c r="B207" i="13"/>
  <c r="J15" i="13" s="1"/>
  <c r="B15" i="13" s="1"/>
  <c r="B167" i="9" l="1"/>
  <c r="B169" i="9" s="1"/>
  <c r="D170" i="9" s="1"/>
  <c r="B176" i="9" s="1"/>
  <c r="B110" i="11" s="1"/>
  <c r="C144" i="9"/>
  <c r="B84" i="11"/>
  <c r="D119" i="11"/>
  <c r="D120" i="11"/>
  <c r="B29" i="9"/>
  <c r="B6" i="9" s="1"/>
  <c r="B83" i="11" s="1"/>
  <c r="B149" i="9"/>
  <c r="B153" i="9" s="1"/>
  <c r="B64" i="11"/>
  <c r="C99" i="11" s="1"/>
  <c r="B122" i="9"/>
  <c r="B177" i="9" s="1"/>
  <c r="F23" i="9"/>
  <c r="C96" i="11" s="1"/>
  <c r="F46" i="9"/>
  <c r="F45" i="9"/>
  <c r="F22" i="9"/>
  <c r="C95" i="11" s="1"/>
  <c r="B68" i="11" l="1"/>
  <c r="B143" i="11"/>
  <c r="B117" i="11"/>
  <c r="B86" i="11"/>
  <c r="B147" i="11"/>
  <c r="C114" i="11"/>
  <c r="C118" i="11"/>
  <c r="C115" i="11"/>
  <c r="C121" i="11"/>
  <c r="C117" i="11"/>
  <c r="C116" i="11"/>
  <c r="C120" i="11" s="1"/>
  <c r="B146" i="11"/>
  <c r="B154" i="9"/>
  <c r="B159" i="9" s="1"/>
  <c r="C30" i="9" s="1"/>
  <c r="C7" i="9" s="1"/>
  <c r="A104" i="10"/>
  <c r="B118" i="11"/>
  <c r="B114" i="11"/>
  <c r="B116" i="11"/>
  <c r="B120" i="11" s="1"/>
  <c r="B115" i="11"/>
  <c r="B121" i="11"/>
  <c r="B66" i="11"/>
  <c r="G145" i="11" s="1"/>
  <c r="B149" i="11" l="1"/>
  <c r="E114" i="11"/>
  <c r="F114" i="11" s="1"/>
  <c r="C23" i="11" s="1"/>
  <c r="B156" i="9"/>
  <c r="C35" i="9" s="1"/>
  <c r="C119" i="11"/>
  <c r="E157" i="9"/>
  <c r="B157" i="9"/>
  <c r="C41" i="9" s="1"/>
  <c r="C18" i="9" s="1"/>
  <c r="C13" i="9" s="1"/>
  <c r="E156" i="9"/>
  <c r="B158" i="9"/>
  <c r="C37" i="9" s="1"/>
  <c r="B87" i="11"/>
  <c r="E118" i="11"/>
  <c r="F118" i="11" s="1"/>
  <c r="C27" i="11" s="1"/>
  <c r="E115" i="11"/>
  <c r="F115" i="11" s="1"/>
  <c r="C24" i="11" s="1"/>
  <c r="E117" i="11"/>
  <c r="E116" i="11"/>
  <c r="E121" i="11"/>
  <c r="F121" i="11" s="1"/>
  <c r="A144" i="11" s="1"/>
  <c r="B119" i="11"/>
  <c r="B67" i="11"/>
  <c r="B180" i="9"/>
  <c r="B181" i="9" s="1"/>
  <c r="B132" i="11" s="1"/>
  <c r="D30" i="9"/>
  <c r="D7" i="9" s="1"/>
  <c r="B185" i="9"/>
  <c r="B133" i="11" s="1"/>
  <c r="B183" i="9"/>
  <c r="B131" i="11" s="1"/>
  <c r="E185" i="9"/>
  <c r="E183" i="9"/>
  <c r="F117" i="11" l="1"/>
  <c r="C26" i="11" s="1"/>
  <c r="C40" i="9"/>
  <c r="C17" i="9" s="1"/>
  <c r="C12" i="9" s="1"/>
  <c r="C36" i="9"/>
  <c r="C42" i="9"/>
  <c r="C19" i="9" s="1"/>
  <c r="C14" i="9" s="1"/>
  <c r="B158" i="11"/>
  <c r="G155" i="11"/>
  <c r="A151" i="11"/>
  <c r="A152" i="11"/>
  <c r="B159" i="11"/>
  <c r="G156" i="11"/>
  <c r="A157" i="11"/>
  <c r="A156" i="11"/>
  <c r="B69" i="11"/>
  <c r="F116" i="11"/>
  <c r="C25" i="11" s="1"/>
  <c r="E120" i="11"/>
  <c r="F120" i="11" s="1"/>
  <c r="C29" i="11" s="1"/>
  <c r="E119" i="11"/>
  <c r="F119" i="11" s="1"/>
  <c r="C28" i="11" s="1"/>
  <c r="G157" i="11"/>
  <c r="B106" i="11"/>
  <c r="D26" i="11" s="1"/>
  <c r="B107" i="11"/>
  <c r="D27" i="11" s="1"/>
  <c r="D12" i="11"/>
  <c r="C12" i="11"/>
  <c r="D35" i="9"/>
  <c r="D40" i="9"/>
  <c r="D17" i="9" s="1"/>
  <c r="D12" i="9" s="1"/>
  <c r="D42" i="9"/>
  <c r="D19" i="9" s="1"/>
  <c r="D14" i="9" s="1"/>
  <c r="D37" i="9"/>
  <c r="D36" i="9"/>
  <c r="D41" i="9"/>
  <c r="D18" i="9" s="1"/>
  <c r="D13" i="9" s="1"/>
  <c r="A153" i="11" l="1"/>
  <c r="B105" i="11"/>
  <c r="D25" i="11" s="1"/>
  <c r="B103" i="11"/>
  <c r="D23" i="11" s="1"/>
  <c r="B104" i="11"/>
  <c r="D24" i="11" s="1"/>
  <c r="A163" i="11" l="1"/>
  <c r="A138" i="11"/>
  <c r="A164" i="11"/>
  <c r="A139" i="11"/>
  <c r="B108" i="11"/>
  <c r="D28" i="11" s="1"/>
  <c r="B109" i="11"/>
  <c r="D29" i="11" s="1"/>
  <c r="A165" i="11" l="1"/>
  <c r="A140" i="11"/>
  <c r="B65" i="9" l="1"/>
  <c r="B54" i="9" l="1"/>
  <c r="A84" i="10" s="1"/>
  <c r="B66" i="9"/>
  <c r="B75" i="9" s="1"/>
  <c r="B76" i="9" s="1"/>
  <c r="B78" i="9" s="1"/>
  <c r="B40" i="9" s="1"/>
  <c r="B62" i="11"/>
  <c r="B68" i="9"/>
  <c r="B35" i="9" l="1"/>
  <c r="B17" i="9"/>
  <c r="B12" i="9" s="1"/>
  <c r="B85" i="9"/>
  <c r="E87" i="9"/>
  <c r="F40" i="9" s="1"/>
  <c r="B30" i="9"/>
  <c r="B7" i="9" s="1"/>
  <c r="B63" i="11" s="1"/>
  <c r="B89" i="9"/>
  <c r="E88" i="9"/>
  <c r="F41" i="9" s="1"/>
  <c r="B92" i="11" l="1"/>
  <c r="D92" i="11" s="1"/>
  <c r="B90" i="9"/>
  <c r="B111" i="9" s="1"/>
  <c r="B114" i="9" s="1"/>
  <c r="B47" i="9" s="1"/>
  <c r="B24" i="9" s="1"/>
  <c r="C94" i="11" s="1"/>
  <c r="B42" i="9"/>
  <c r="B99" i="11"/>
  <c r="D99" i="11" s="1"/>
  <c r="B65" i="11"/>
  <c r="F35" i="9"/>
  <c r="F17" i="9"/>
  <c r="B95" i="11" s="1"/>
  <c r="D95" i="11" s="1"/>
  <c r="B26" i="11" s="1"/>
  <c r="F18" i="9"/>
  <c r="B96" i="11" s="1"/>
  <c r="D96" i="11" s="1"/>
  <c r="B27" i="11" s="1"/>
  <c r="F36" i="9"/>
  <c r="B86" i="9" l="1"/>
  <c r="C125" i="11"/>
  <c r="C98" i="11"/>
  <c r="C97" i="11"/>
  <c r="E26" i="11"/>
  <c r="F26" i="11" s="1"/>
  <c r="E27" i="11"/>
  <c r="F27" i="11" s="1"/>
  <c r="D144" i="11"/>
  <c r="B12" i="11"/>
  <c r="B19" i="9"/>
  <c r="B37" i="9"/>
  <c r="E138" i="11"/>
  <c r="B125" i="11"/>
  <c r="B23" i="11"/>
  <c r="D151" i="11"/>
  <c r="B41" i="9" l="1"/>
  <c r="B18" i="9" s="1"/>
  <c r="B93" i="11" s="1"/>
  <c r="B87" i="9"/>
  <c r="B110" i="9" s="1"/>
  <c r="B113" i="9" s="1"/>
  <c r="B46" i="9" s="1"/>
  <c r="B23" i="9" s="1"/>
  <c r="C93" i="11" s="1"/>
  <c r="E23" i="11"/>
  <c r="F23" i="11" s="1"/>
  <c r="B14" i="9"/>
  <c r="B94" i="11"/>
  <c r="E12" i="11"/>
  <c r="B13" i="9" l="1"/>
  <c r="B36" i="9"/>
  <c r="F12" i="11"/>
  <c r="E14" i="11"/>
  <c r="E13" i="11"/>
  <c r="B97" i="11"/>
  <c r="D97" i="11" s="1"/>
  <c r="B98" i="11"/>
  <c r="D98" i="11" s="1"/>
  <c r="B29" i="11" s="1"/>
  <c r="D94" i="11"/>
  <c r="C127" i="11"/>
  <c r="C126" i="11"/>
  <c r="D93" i="11"/>
  <c r="B127" i="11" l="1"/>
  <c r="B25" i="11"/>
  <c r="E29" i="11"/>
  <c r="F29" i="11" s="1"/>
  <c r="B28" i="11"/>
  <c r="E153" i="11"/>
  <c r="E140" i="11"/>
  <c r="E152" i="11"/>
  <c r="B126" i="11"/>
  <c r="B24" i="11"/>
  <c r="E139" i="11"/>
  <c r="E28" i="11" l="1"/>
  <c r="F28" i="11" s="1"/>
  <c r="E24" i="11"/>
  <c r="F24" i="11" s="1"/>
  <c r="E25" i="11"/>
  <c r="F25" i="11" s="1"/>
  <c r="C38" i="11" l="1"/>
  <c r="E30" i="11"/>
  <c r="B42" i="11" s="1"/>
  <c r="E31" i="11"/>
  <c r="E166" i="11" l="1"/>
  <c r="A169" i="11"/>
  <c r="D162" i="11"/>
  <c r="B21" i="11"/>
  <c r="E163" i="11"/>
  <c r="E164" i="11"/>
  <c r="C41" i="11"/>
  <c r="E40" i="11"/>
  <c r="E42" i="11"/>
  <c r="E165"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Joe McGervey</author>
    <author>Posawatz, Nick</author>
    <author xml:space="preserve"> </author>
  </authors>
  <commentList>
    <comment ref="B9" authorId="0" shapeId="0" xr:uid="{00000000-0006-0000-0100-000001000000}">
      <text>
        <r>
          <rPr>
            <b/>
            <sz val="8"/>
            <color indexed="81"/>
            <rFont val="Tahoma"/>
            <family val="2"/>
          </rPr>
          <t>Enter the size of the CHP system
as measured in kilowatts (kW) of 
electricity production.
If there are multiple units, enter the 
nameplate capacity for a single unit.</t>
        </r>
      </text>
    </comment>
    <comment ref="B13" authorId="0" shapeId="0" xr:uid="{00000000-0006-0000-0100-000002000000}">
      <text>
        <r>
          <rPr>
            <b/>
            <sz val="8"/>
            <color indexed="81"/>
            <rFont val="Tahoma"/>
            <family val="2"/>
          </rPr>
          <t>Enter the number of identical 
units in this CHP system.
For many systems, there is only
one unit.
If there are multiple identical units,
enter the number here.
If the units are not identical, they must
be analyzed separately.</t>
        </r>
      </text>
    </comment>
    <comment ref="B20" authorId="0" shapeId="0" xr:uid="{00000000-0006-0000-0100-000003000000}">
      <text>
        <r>
          <rPr>
            <b/>
            <sz val="8"/>
            <color indexed="81"/>
            <rFont val="Tahoma"/>
            <family val="2"/>
          </rPr>
          <t>Enter value for the number of hours per year 
that the CHP system operates.
The total number of hours in a year is 8,760.
The pull-down menu provides some typical
operating schedules.</t>
        </r>
      </text>
    </comment>
    <comment ref="B21" authorId="0" shapeId="0" xr:uid="{00000000-0006-0000-0100-000004000000}">
      <text>
        <r>
          <rPr>
            <b/>
            <sz val="8"/>
            <color indexed="81"/>
            <rFont val="Tahoma"/>
            <family val="2"/>
          </rPr>
          <t xml:space="preserve">Enter value for the percentage of the year 
that the CHP system operates
The total number of hours in the year
is 8,760. </t>
        </r>
      </text>
    </comment>
    <comment ref="B24" authorId="1" shapeId="0" xr:uid="{00000000-0006-0000-0100-000005000000}">
      <text>
        <r>
          <rPr>
            <b/>
            <sz val="8"/>
            <color indexed="81"/>
            <rFont val="Tahoma"/>
            <family val="2"/>
          </rPr>
          <t xml:space="preserve">Enter value for the grid electricity displaced by CHP in MWh/year
Must not be larger than CHP system capacity * 8,760 (hours in a year)
</t>
        </r>
      </text>
    </comment>
    <comment ref="B32" authorId="0" shapeId="0" xr:uid="{00000000-0006-0000-0100-000006000000}">
      <text>
        <r>
          <rPr>
            <b/>
            <sz val="8"/>
            <color indexed="81"/>
            <rFont val="Tahoma"/>
            <family val="2"/>
          </rPr>
          <t>Enter value for the number of hours per year 
that the CHP system operates in cooling mode.
The spreadsheet lists the number of hours 
for reference.</t>
        </r>
      </text>
    </comment>
    <comment ref="B33" authorId="0" shapeId="0" xr:uid="{00000000-0006-0000-0100-000007000000}">
      <text>
        <r>
          <rPr>
            <b/>
            <sz val="8"/>
            <color indexed="81"/>
            <rFont val="Tahoma"/>
            <family val="2"/>
          </rPr>
          <t>Enter value for the percentage of the year 
that the CHP system operates in cooling mode.</t>
        </r>
      </text>
    </comment>
    <comment ref="B45" authorId="2" shapeId="0" xr:uid="{00000000-0006-0000-0100-000008000000}">
      <text>
        <r>
          <rPr>
            <b/>
            <sz val="8"/>
            <color indexed="81"/>
            <rFont val="Tahoma"/>
            <family val="2"/>
          </rPr>
          <t>The heat content of gaseous fuels
is usually described as Btu per cubic foot.
Natural gas has a heat content of 1028 Btu/CF.</t>
        </r>
      </text>
    </comment>
    <comment ref="B46" authorId="2" shapeId="0" xr:uid="{00000000-0006-0000-0100-000009000000}">
      <text>
        <r>
          <rPr>
            <b/>
            <sz val="8"/>
            <color indexed="81"/>
            <rFont val="Tahoma"/>
            <family val="2"/>
          </rPr>
          <t>The heat content of liquid fuels
is described as Btu per gallon.
The average heat content for distillate oil
or diesel fuel is 138,000 Btu/gallon
The average heat content for residual oil is 150,000 Btu/gallon</t>
        </r>
      </text>
    </comment>
    <comment ref="B47" authorId="2" shapeId="0" xr:uid="{00000000-0006-0000-0100-00000A000000}">
      <text>
        <r>
          <rPr>
            <b/>
            <sz val="8"/>
            <color indexed="81"/>
            <rFont val="Tahoma"/>
            <family val="2"/>
          </rPr>
          <t>The heat content of solid fuels
is described in terms of Btu per pound.
The average heat content of coal is between 
7,000 and 12,000 Btu per pound.  
The average heat content of wood is between
4,000 and 8,500 Btu per pound depending on 
moisture content.</t>
        </r>
      </text>
    </comment>
    <comment ref="B59" authorId="0" shapeId="0" xr:uid="{00000000-0006-0000-0100-00000B000000}">
      <text>
        <r>
          <rPr>
            <b/>
            <sz val="8"/>
            <color indexed="81"/>
            <rFont val="Tahoma"/>
            <family val="2"/>
          </rPr>
          <t>Enter value for efficiency of the boiler.
The efficiency is the ratio of the useful thermal
output divided by the fuel input.
Typical boiler efficiencies are between 
80% and 85%.</t>
        </r>
      </text>
    </comment>
    <comment ref="B65" authorId="0" shapeId="0" xr:uid="{00000000-0006-0000-0100-00000C000000}">
      <text>
        <r>
          <rPr>
            <b/>
            <sz val="8"/>
            <color indexed="81"/>
            <rFont val="Tahoma"/>
            <family val="2"/>
          </rPr>
          <t>Enter value for electricity generating
efficiency of the CHP unit.
A percentage is most often used for engines.
The generating efficiency is equal to the electricity
produced divided by the fuel input.  The units can
be converted by using the general conversion of
3,412 Btu per kilowatt-hour</t>
        </r>
      </text>
    </comment>
    <comment ref="B66" authorId="0" shapeId="0" xr:uid="{00000000-0006-0000-0100-00000D000000}">
      <text>
        <r>
          <rPr>
            <b/>
            <sz val="8"/>
            <color indexed="81"/>
            <rFont val="Tahoma"/>
            <family val="2"/>
          </rPr>
          <t>Enter value for the heat rate of the CHP unit.
Higher Heating Value (HHV) heat rates are usually used with boilers.
The heat rate is the amount of fuel input needed to 
produce 1 kWh of electricity.  The fuel input is measured 
in Btu's on a Higher Heating Value (HHV) basis.</t>
        </r>
      </text>
    </comment>
    <comment ref="B67" authorId="0" shapeId="0" xr:uid="{00000000-0006-0000-0100-00000E000000}">
      <text>
        <r>
          <rPr>
            <b/>
            <sz val="8"/>
            <color indexed="81"/>
            <rFont val="Tahoma"/>
            <family val="2"/>
          </rPr>
          <t>Enter value for the heat rate of the CHP unit.
Lower Heating Value (LHV) Heat rates are usually used with turbines.
The heat rate is the amount of fuel input needed to 
produce 1 kWh of electricity.  The fuel input is measured 
in Btu's on a Lower Heating Value (LHV) basis.</t>
        </r>
      </text>
    </comment>
    <comment ref="B75" authorId="0" shapeId="0" xr:uid="{00000000-0006-0000-0100-00000F000000}">
      <text>
        <r>
          <rPr>
            <b/>
            <sz val="8"/>
            <color indexed="81"/>
            <rFont val="Tahoma"/>
            <family val="2"/>
          </rPr>
          <t>Enter the Power to Heat ratio
for the CHP system.
Power is the electricity output and Heat is the
useful thermal output.  
There are several methods for calculating the
power to heat ratio and the "Thermal Calculator" may provide 
useful guidance.</t>
        </r>
      </text>
    </comment>
    <comment ref="B85" authorId="2" shapeId="0" xr:uid="{00000000-0006-0000-0100-000010000000}">
      <text>
        <r>
          <rPr>
            <b/>
            <sz val="8"/>
            <color indexed="81"/>
            <rFont val="Tahoma"/>
            <family val="2"/>
          </rPr>
          <t>Enter the Fuel Input Capacity of the Duct Burner(s)
This value is the fuel supply rate to the duct burner(s)
measured on a MMBtu per hour basis.
For reference only, the spreadsheet lists the heat input
rate of the CHP unit.  The fuel input rate of the duct burner(s) 
may be higher or lower than that of the CHP unit. 
Generally the fuel input rate for the duct burner(s) is
within 50% of the fuel input rate of the CHP unit.
Duct burners provide supplemental heat to the exhaust
downstream from the CHP unit.  Combustion turbines are 
the most common system to use duct burners.</t>
        </r>
      </text>
    </comment>
    <comment ref="B89" authorId="0" shapeId="0" xr:uid="{00000000-0006-0000-0100-000011000000}">
      <text>
        <r>
          <rPr>
            <b/>
            <sz val="8"/>
            <color indexed="81"/>
            <rFont val="Tahoma"/>
            <family val="2"/>
          </rPr>
          <t>Enter value for the number of hours per year 
that the duct burner(s) operate.
The spreadsheet lists the number of hours
per year that the CHP system operates.   The duct
burners can operate the same or fewer hours than the 
CHP system but not more hours.</t>
        </r>
      </text>
    </comment>
    <comment ref="B90" authorId="0" shapeId="0" xr:uid="{00000000-0006-0000-0100-000012000000}">
      <text>
        <r>
          <rPr>
            <b/>
            <sz val="8"/>
            <color indexed="81"/>
            <rFont val="Tahoma"/>
            <family val="2"/>
          </rPr>
          <t>Enter the percentage of CHP operating hours that that 
duct burner(s) operate.
The spreadsheet lists the number of hours
per year that the CHP system operates.</t>
        </r>
      </text>
    </comment>
    <comment ref="B100" authorId="0" shapeId="0" xr:uid="{00000000-0006-0000-0100-000013000000}">
      <text>
        <r>
          <rPr>
            <b/>
            <sz val="8"/>
            <color indexed="81"/>
            <rFont val="Tahoma"/>
            <family val="2"/>
          </rPr>
          <t>Enter the Coefficent of Performace (COP)
for the CHP cooling system.  The COP is equal to the 
cooling delivered by the system divided by the 
thermal energy used by the chiller.
COP=0.7 for a typical 
single-effect absorption
chiller
COP=1.4 for a typical 
double-effect absorption
chiller</t>
        </r>
      </text>
    </comment>
    <comment ref="B106" authorId="0" shapeId="0" xr:uid="{00000000-0006-0000-0100-000014000000}">
      <text>
        <r>
          <rPr>
            <b/>
            <sz val="8"/>
            <color indexed="81"/>
            <rFont val="Tahoma"/>
            <family val="2"/>
          </rPr>
          <t>Enter the Cooling Capacity in Tons
One Ton of Cooling equals 12,000 Btu per hour 
of cooling service.
The spreadsheet lists the maximum cooling 
capacity that can be served based on the inputs
that the user has given.</t>
        </r>
      </text>
    </comment>
    <comment ref="B107" authorId="0" shapeId="0" xr:uid="{00000000-0006-0000-0100-000015000000}">
      <text>
        <r>
          <rPr>
            <b/>
            <sz val="8"/>
            <color indexed="81"/>
            <rFont val="Tahoma"/>
            <family val="2"/>
          </rPr>
          <t>Enter the Cooling Capacity in MMBtu/hr of cooling
service.
The spreadsheet lists the maximum cooling 
capacity that can be served based on the inputs
that the user has given.</t>
        </r>
      </text>
    </comment>
    <comment ref="B114" authorId="0" shapeId="0" xr:uid="{00000000-0006-0000-0100-000016000000}">
      <text>
        <r>
          <rPr>
            <b/>
            <sz val="8"/>
            <color indexed="81"/>
            <rFont val="Tahoma"/>
            <family val="2"/>
          </rPr>
          <t>Enter the kW per ton value for the efficiency
of the cooling system that is being displaced.
The "kW" represents the electrical demand 
for the cooling system.
"Tons" represents the cooling capacity of
the cooling system. One "ton" equals 
12,000 Btu/hour of cooling capability.
The pulldown menu lists a range of default
systems with typical efficencies.</t>
        </r>
      </text>
    </comment>
    <comment ref="B115" authorId="0" shapeId="0" xr:uid="{00000000-0006-0000-0100-000017000000}">
      <text>
        <r>
          <rPr>
            <b/>
            <sz val="8"/>
            <color indexed="81"/>
            <rFont val="Tahoma"/>
            <family val="2"/>
          </rPr>
          <t>Enter the COP Value for the Displaced Cooling 
System.   
The COP is equal to the cooling delivered by the 
system divided by the thermal energy used by the chiller.
The pulldown menu lists a range of default
systems with typical efficencies.</t>
        </r>
      </text>
    </comment>
    <comment ref="B119" authorId="0" shapeId="0" xr:uid="{00000000-0006-0000-0100-000018000000}">
      <text>
        <r>
          <rPr>
            <b/>
            <sz val="8"/>
            <color indexed="81"/>
            <rFont val="Tahoma"/>
            <family val="2"/>
          </rPr>
          <t>Enter fuel used in boiler</t>
        </r>
      </text>
    </comment>
    <comment ref="B123" authorId="2" shapeId="0" xr:uid="{00000000-0006-0000-0100-000019000000}">
      <text>
        <r>
          <rPr>
            <b/>
            <sz val="8"/>
            <color indexed="81"/>
            <rFont val="Tahoma"/>
            <family val="2"/>
          </rPr>
          <t>The heat content of gaseous fuels
is usually described as Btu per cubic foot.
Natural gas has a heat content of 1028 Btu/CF.</t>
        </r>
      </text>
    </comment>
    <comment ref="B124" authorId="2" shapeId="0" xr:uid="{00000000-0006-0000-0100-00001A000000}">
      <text>
        <r>
          <rPr>
            <b/>
            <sz val="8"/>
            <color indexed="81"/>
            <rFont val="Tahoma"/>
            <family val="2"/>
          </rPr>
          <t>The heat content of liquid fuels
is described as Btu per gallon.
The average heat content for distillate oil
or diesel fuel is 138,000 Btu/gallon.</t>
        </r>
      </text>
    </comment>
    <comment ref="B125" authorId="2" shapeId="0" xr:uid="{00000000-0006-0000-0100-00001B000000}">
      <text>
        <r>
          <rPr>
            <b/>
            <sz val="8"/>
            <color indexed="81"/>
            <rFont val="Tahoma"/>
            <family val="2"/>
          </rPr>
          <t>The heat content of solid fuels
is described in terms of Btu per pound.
The average heat content of coal is between 
7,000 and 12,000 Btu per pound.</t>
        </r>
      </text>
    </comment>
    <comment ref="B130" authorId="0" shapeId="0" xr:uid="{00000000-0006-0000-0100-00001C000000}">
      <text>
        <r>
          <rPr>
            <b/>
            <sz val="8"/>
            <color indexed="81"/>
            <rFont val="Tahoma"/>
            <family val="2"/>
          </rPr>
          <t>Enter value for efficiency of the
displaced boiler.
The efficiency is the ratio of the useful thermal
output divided by the fuel input.
Typical boiler efficiencies are between 
80% and 85%.
Electric Heat Pump efficiencies can exceed 100%.</t>
        </r>
      </text>
    </comment>
    <comment ref="B136" authorId="1" shapeId="0" xr:uid="{00000000-0006-0000-0100-00001D000000}">
      <text>
        <r>
          <rPr>
            <b/>
            <sz val="8"/>
            <color indexed="81"/>
            <rFont val="Tahoma"/>
            <family val="2"/>
          </rPr>
          <t>Enter a thermal utilization for the CHP system between 0 and 100%
If left blank, calculations will assume a default 80% thermal utilization</t>
        </r>
      </text>
    </comment>
    <comment ref="B139" authorId="1" shapeId="0" xr:uid="{00000000-0006-0000-0100-00001E000000}">
      <text>
        <r>
          <rPr>
            <b/>
            <sz val="8"/>
            <color indexed="81"/>
            <rFont val="Tahoma"/>
            <family val="2"/>
          </rPr>
          <t>Enter the displaced boiler fuel in MMBtu/year. 
This cannot be larger than the calculated  maximum amount of displaced fuel based on the CHP generation capacity (MWh).</t>
        </r>
      </text>
    </comment>
    <comment ref="B155" authorId="0" shapeId="0" xr:uid="{00000000-0006-0000-0100-00001F000000}">
      <text>
        <r>
          <rPr>
            <b/>
            <sz val="8"/>
            <color indexed="81"/>
            <rFont val="Tahoma"/>
            <family val="2"/>
          </rPr>
          <t>Enter the transmission losses for 
the displaced electricity.
This value represents the losses in the 
transmisson and distribution of electricity 
from the powerplant to the customer.
The specific true value for transmission losses
varies with location and time. The eGRID US average transmission loss value is 4.87%.</t>
        </r>
      </text>
    </comment>
    <comment ref="B166" authorId="0" shapeId="0" xr:uid="{00000000-0006-0000-0100-000020000000}">
      <text>
        <r>
          <rPr>
            <b/>
            <sz val="8"/>
            <color indexed="81"/>
            <rFont val="Tahoma"/>
            <family val="2"/>
          </rPr>
          <t>Enter value for sulfur content of oil.
Sulfur contents above 1% are very
unusual in units of this size.
Information on fuels can be found at:
http://eia.doe.gov/indexnjava.html</t>
        </r>
      </text>
    </comment>
    <comment ref="B167" authorId="0" shapeId="0" xr:uid="{00000000-0006-0000-0100-000021000000}">
      <text>
        <r>
          <rPr>
            <b/>
            <sz val="8"/>
            <color indexed="81"/>
            <rFont val="Tahoma"/>
            <family val="2"/>
          </rPr>
          <t>Enter value for sulfur content of oil.
This entry represents the sulfur content
as Parts Per Million (ppm).
Information on fuels can be found at:
http://eia.doe.gov/indexnjava.html</t>
        </r>
      </text>
    </comment>
    <comment ref="B171" authorId="2" shapeId="0" xr:uid="{00000000-0006-0000-0100-000022000000}">
      <text>
        <r>
          <rPr>
            <b/>
            <sz val="8"/>
            <color indexed="81"/>
            <rFont val="Tahoma"/>
            <family val="2"/>
          </rPr>
          <t xml:space="preserve">The CO2 emission rate for fuels is
primarily based on the type of fuel.
Typical values:
Natural gas: 116.9 lb/MMBtu
Oil: 163.1 lb/MMBtu
Coal (Industrial - Mixed Use):  207.1 lb/MMBtu
Propane: 139 lb/MMBtu
The fuel-specific values come from EPA’s Mandatory Greenhouse Gas Reporting Rule. http://ecfr.gpoaccess.gov/cgi/t/text/textidx?c=ecfr&amp;sid=69252b18e978de71ebe95c500dd9e47c&amp;rgn=div9&amp;view=text&amp;node=40:22.0.1.1.3.3.1.10.18&amp;idno=40  </t>
        </r>
      </text>
    </comment>
    <comment ref="B178" authorId="0" shapeId="0" xr:uid="{00000000-0006-0000-0100-000023000000}">
      <text>
        <r>
          <rPr>
            <b/>
            <sz val="8"/>
            <color indexed="81"/>
            <rFont val="Tahoma"/>
            <family val="2"/>
          </rPr>
          <t>Enter NOx emission rate of the
CHP system.
Parts per Million (ppm) values are 
used for some turbine and boiler systems.
The ppm value represents the concentration
of NOx molecules in the exhaust.</t>
        </r>
      </text>
    </comment>
    <comment ref="B179" authorId="0" shapeId="0" xr:uid="{00000000-0006-0000-0100-000024000000}">
      <text>
        <r>
          <rPr>
            <b/>
            <sz val="8"/>
            <color indexed="81"/>
            <rFont val="Tahoma"/>
            <family val="2"/>
          </rPr>
          <t>Enter NOx emission rate of the 
CHP system.
Grams of NOx per Horsepower-hour of production
(gm/hp-hr) are most commonly used with engines.</t>
        </r>
      </text>
    </comment>
    <comment ref="B180" authorId="0" shapeId="0" xr:uid="{00000000-0006-0000-0100-000025000000}">
      <text>
        <r>
          <rPr>
            <b/>
            <sz val="8"/>
            <color indexed="81"/>
            <rFont val="Tahoma"/>
            <family val="2"/>
          </rPr>
          <t>Enter NOx emission rate for the
CHP system.
Pounds of NOx per MMBtu (lb/MMBtu) is most
commonly used with boilers.  The MMBtu represents
the fuel input rate of the CHP system.</t>
        </r>
      </text>
    </comment>
    <comment ref="B181" authorId="0" shapeId="0" xr:uid="{00000000-0006-0000-0100-000026000000}">
      <text>
        <r>
          <rPr>
            <b/>
            <sz val="8"/>
            <color indexed="81"/>
            <rFont val="Tahoma"/>
            <family val="2"/>
          </rPr>
          <t>Enter NOx emission rate for the
CHP system.
Pounds of NOx per MegaWatt-Hour (lb/MWh) is occasionally
used with various CHP technologies.  The MWh represents
the electrical output rating of the CHP system.</t>
        </r>
      </text>
    </comment>
    <comment ref="B187" authorId="0" shapeId="0" xr:uid="{00000000-0006-0000-0100-000027000000}">
      <text>
        <r>
          <rPr>
            <b/>
            <sz val="8"/>
            <color indexed="81"/>
            <rFont val="Tahoma"/>
            <family val="2"/>
          </rPr>
          <t>Enter NOx emission rate for the duct burners 
in lb per MMBtu on a fuel input basis.
The average NOx emission rate for new duct
burners is 0.10 lb/MMBtu.
The NOx emission rate is for the duct burner(s)
alone and does not include NOx from the CHP
unit (usually a combustion turbine).</t>
        </r>
      </text>
    </comment>
    <comment ref="B188" authorId="0" shapeId="0" xr:uid="{00000000-0006-0000-0100-000028000000}">
      <text>
        <r>
          <rPr>
            <b/>
            <sz val="8"/>
            <color indexed="81"/>
            <rFont val="Tahoma"/>
            <family val="2"/>
          </rPr>
          <t>Enter NOx emission rate for the duct burners
on a ppm @15% O2 basis
The average NOx emission rate for new duct
burners is 25 ppm.
The NOx emission rate is for the duct burner(s)
alone and does not include NOx from the CHP
unit (usually a combustion turbine).</t>
        </r>
      </text>
    </comment>
    <comment ref="B192" authorId="2" shapeId="0" xr:uid="{1CD76EDC-4A3F-49E5-A8A6-FCDAF98790AB}">
      <text>
        <r>
          <rPr>
            <b/>
            <sz val="8"/>
            <color indexed="81"/>
            <rFont val="Tahoma"/>
            <family val="2"/>
          </rPr>
          <t xml:space="preserve">The CO2 emission rate for fuels is
primarily based on the type of fuel.
Typical values:
Natural gas: 116.9 lb/MMBtu
Oil: 163.1 lb/MMBtu
Coal (Industrial - Mixed Use):  207.1 lb/MMBtu
Propane: 139 lb/MMBtu
The fuel-specific values come from EPA’s Mandatory Greenhouse Gas Reporting Rule. http://ecfr.gpoaccess.gov/cgi/t/text/textidx?c=ecfr&amp;sid=69252b18e978de71ebe95c500dd9e47c&amp;rgn=div9&amp;view=text&amp;node=40:22.0.1.1.3.3.1.10.18&amp;idno=40  </t>
        </r>
      </text>
    </comment>
    <comment ref="B200" authorId="0" shapeId="0" xr:uid="{00000000-0006-0000-0100-00002A000000}">
      <text>
        <r>
          <rPr>
            <b/>
            <sz val="8"/>
            <color indexed="81"/>
            <rFont val="Tahoma"/>
            <family val="2"/>
          </rPr>
          <t>Enter value for sulfur content of boiler fuel
The first option (1.0%) is in the normal range for commercial facilities using coal. The high-sulfur option (0.15%, 1500 ppm) is higher than average for most commercial applications and may not be appropriate for some areas. The low-sulfur option (0.05%, 500 ppm) is typical for an application where sulfur emissions are limited. Sulfur contents above 2.5% are
unusual in units of this size.
Information on fuels can be found at:
http://eia.doe.gov/indexnjava.html</t>
        </r>
      </text>
    </comment>
    <comment ref="B201" authorId="0" shapeId="0" xr:uid="{00000000-0006-0000-0100-00002B000000}">
      <text>
        <r>
          <rPr>
            <b/>
            <sz val="8"/>
            <color indexed="81"/>
            <rFont val="Tahoma"/>
            <family val="2"/>
          </rPr>
          <t xml:space="preserve">Enter value for sulfur content of boiler fuel
The first option (1.0%) is in the normal range for commercial facilities using coal. The high-sulfur option (0.15%, 1500 ppm) is higher than average for most commercial applications and may not be appropriate for some areas. The low-sulfur option (0.05%, 500 ppm) is typical for an application where sulfur emissions are limited. This entry represents the sulfur content
as Parts Per Million (ppm).
Information on fuels can be found at:
http://eia.doe.gov/indexnjava.html </t>
        </r>
      </text>
    </comment>
    <comment ref="B206" authorId="0" shapeId="0" xr:uid="{00000000-0006-0000-0100-00002C000000}">
      <text>
        <r>
          <rPr>
            <b/>
            <sz val="8"/>
            <color indexed="81"/>
            <rFont val="Tahoma"/>
            <family val="2"/>
          </rPr>
          <t>Enter NOx emission ratefor the displaced boiler.
Pounds of NOx per MMBtu (lb/MMBtu) is most
commonly used with boilers.  The MMBtu represents
the fuel input rate of the CHP system.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Posawatz, Nick</author>
  </authors>
  <commentList>
    <comment ref="E13" authorId="0" shapeId="0" xr:uid="{00000000-0006-0000-0200-000001000000}">
      <text>
        <r>
          <rPr>
            <b/>
            <sz val="9"/>
            <color indexed="81"/>
            <rFont val="Tahoma"/>
            <family val="2"/>
          </rPr>
          <t>Calculated from EPA GHG Equivalencies Calculator - Calculations and References: https://www.epa.gov/energy/greenhouse-gases-equivalencies-calculator-calculations-and-references#vehicles</t>
        </r>
        <r>
          <rPr>
            <sz val="9"/>
            <color indexed="81"/>
            <rFont val="Tahoma"/>
            <family val="2"/>
          </rPr>
          <t xml:space="preserve">
</t>
        </r>
      </text>
    </comment>
    <comment ref="E14" authorId="0" shapeId="0" xr:uid="{00000000-0006-0000-0200-000002000000}">
      <text>
        <r>
          <rPr>
            <b/>
            <sz val="9"/>
            <color indexed="81"/>
            <rFont val="Tahoma"/>
            <family val="2"/>
          </rPr>
          <t>Calculated from EPA GHG Equivalencies Calculator - Calculations and References: https://www.epa.gov/energy/greenhouse-gases-equivalencies-calculator-calculations-and-references#vehicles</t>
        </r>
      </text>
    </comment>
    <comment ref="E30" authorId="0" shapeId="0" xr:uid="{00000000-0006-0000-0200-000003000000}">
      <text>
        <r>
          <rPr>
            <b/>
            <sz val="9"/>
            <color indexed="81"/>
            <rFont val="Tahoma"/>
            <family val="2"/>
          </rPr>
          <t>Calculated from EPA GHG Equivalencies Calculator - Calculations and References: https://www.epa.gov/energy/greenhouse-gases-equivalencies-calculator-calculations-and-references#vehicles</t>
        </r>
        <r>
          <rPr>
            <sz val="9"/>
            <color indexed="81"/>
            <rFont val="Tahoma"/>
            <family val="2"/>
          </rPr>
          <t xml:space="preserve">
</t>
        </r>
      </text>
    </comment>
    <comment ref="E31" authorId="0" shapeId="0" xr:uid="{00000000-0006-0000-0200-000004000000}">
      <text>
        <r>
          <rPr>
            <b/>
            <sz val="9"/>
            <color indexed="81"/>
            <rFont val="Tahoma"/>
            <family val="2"/>
          </rPr>
          <t>Calculated from EPA GHG Equivalencies Calculator - Calculations and References: https://www.epa.gov/energy/greenhouse-gases-equivalencies-calculator-calculations-and-references#vehicles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Joe McGervey</author>
    <author>ICF</author>
  </authors>
  <commentList>
    <comment ref="C110" authorId="0" shapeId="0" xr:uid="{00000000-0006-0000-0A00-000001000000}">
      <text>
        <r>
          <rPr>
            <b/>
            <sz val="8"/>
            <color indexed="81"/>
            <rFont val="Tahoma"/>
            <family val="2"/>
          </rPr>
          <t>B Hedman:</t>
        </r>
        <r>
          <rPr>
            <sz val="8"/>
            <color indexed="81"/>
            <rFont val="Tahoma"/>
            <family val="2"/>
          </rPr>
          <t xml:space="preserve">
Capstone C30 with on board compressor
</t>
        </r>
      </text>
    </comment>
    <comment ref="D110" authorId="0" shapeId="0" xr:uid="{00000000-0006-0000-0A00-000002000000}">
      <text>
        <r>
          <rPr>
            <b/>
            <sz val="8"/>
            <color indexed="81"/>
            <rFont val="Tahoma"/>
            <family val="2"/>
          </rPr>
          <t>B Hedman:</t>
        </r>
        <r>
          <rPr>
            <sz val="8"/>
            <color indexed="81"/>
            <rFont val="Tahoma"/>
            <family val="2"/>
          </rPr>
          <t xml:space="preserve">
Capstone C65</t>
        </r>
      </text>
    </comment>
    <comment ref="E110" authorId="0" shapeId="0" xr:uid="{00000000-0006-0000-0A00-000003000000}">
      <text>
        <r>
          <rPr>
            <b/>
            <sz val="8"/>
            <color indexed="81"/>
            <rFont val="Tahoma"/>
            <family val="2"/>
          </rPr>
          <t>B Hedman:</t>
        </r>
        <r>
          <rPr>
            <sz val="8"/>
            <color indexed="81"/>
            <rFont val="Tahoma"/>
            <family val="2"/>
          </rPr>
          <t xml:space="preserve">
Capstone C200</t>
        </r>
      </text>
    </comment>
    <comment ref="F110" authorId="0" shapeId="0" xr:uid="{00000000-0006-0000-0A00-000004000000}">
      <text>
        <r>
          <rPr>
            <b/>
            <sz val="8"/>
            <color indexed="81"/>
            <rFont val="Tahoma"/>
            <family val="2"/>
          </rPr>
          <t>B Hedman:</t>
        </r>
        <r>
          <rPr>
            <sz val="8"/>
            <color indexed="81"/>
            <rFont val="Tahoma"/>
            <family val="2"/>
          </rPr>
          <t xml:space="preserve">
Capstone C1000</t>
        </r>
      </text>
    </comment>
    <comment ref="D112" authorId="1" shapeId="0" xr:uid="{00000000-0006-0000-0A00-000005000000}">
      <text>
        <r>
          <rPr>
            <b/>
            <sz val="9"/>
            <color indexed="81"/>
            <rFont val="Tahoma"/>
            <family val="2"/>
          </rPr>
          <t>ICF:</t>
        </r>
        <r>
          <rPr>
            <sz val="9"/>
            <color indexed="81"/>
            <rFont val="Tahoma"/>
            <family val="2"/>
          </rPr>
          <t xml:space="preserve">
Hot water thermal
</t>
        </r>
      </text>
    </comment>
    <comment ref="E112" authorId="1" shapeId="0" xr:uid="{00000000-0006-0000-0A00-000006000000}">
      <text>
        <r>
          <rPr>
            <b/>
            <sz val="9"/>
            <color indexed="81"/>
            <rFont val="Tahoma"/>
            <family val="2"/>
          </rPr>
          <t>ICF:</t>
        </r>
        <r>
          <rPr>
            <sz val="9"/>
            <color indexed="81"/>
            <rFont val="Tahoma"/>
            <family val="2"/>
          </rPr>
          <t xml:space="preserve">
Hot water thermal</t>
        </r>
      </text>
    </comment>
    <comment ref="F112" authorId="1" shapeId="0" xr:uid="{00000000-0006-0000-0A00-000007000000}">
      <text>
        <r>
          <rPr>
            <b/>
            <sz val="9"/>
            <color indexed="81"/>
            <rFont val="Tahoma"/>
            <family val="2"/>
          </rPr>
          <t>ICF:</t>
        </r>
        <r>
          <rPr>
            <sz val="9"/>
            <color indexed="81"/>
            <rFont val="Tahoma"/>
            <family val="2"/>
          </rPr>
          <t xml:space="preserve">
Hot water thermal</t>
        </r>
      </text>
    </comment>
    <comment ref="C134" authorId="1" shapeId="0" xr:uid="{00000000-0006-0000-0A00-000008000000}">
      <text>
        <r>
          <rPr>
            <b/>
            <sz val="9"/>
            <color indexed="81"/>
            <rFont val="Tahoma"/>
            <family val="2"/>
          </rPr>
          <t>ICF:</t>
        </r>
        <r>
          <rPr>
            <sz val="9"/>
            <color indexed="81"/>
            <rFont val="Tahoma"/>
            <family val="2"/>
          </rPr>
          <t xml:space="preserve">
Solar Saturn</t>
        </r>
      </text>
    </comment>
    <comment ref="D134" authorId="1" shapeId="0" xr:uid="{00000000-0006-0000-0A00-000009000000}">
      <text>
        <r>
          <rPr>
            <b/>
            <sz val="9"/>
            <color indexed="81"/>
            <rFont val="Tahoma"/>
            <family val="2"/>
          </rPr>
          <t>ICF:</t>
        </r>
        <r>
          <rPr>
            <sz val="9"/>
            <color indexed="81"/>
            <rFont val="Tahoma"/>
            <family val="2"/>
          </rPr>
          <t xml:space="preserve">
Solar Taurus</t>
        </r>
      </text>
    </comment>
    <comment ref="E134" authorId="1" shapeId="0" xr:uid="{00000000-0006-0000-0A00-00000A000000}">
      <text>
        <r>
          <rPr>
            <b/>
            <sz val="9"/>
            <color indexed="81"/>
            <rFont val="Tahoma"/>
            <family val="2"/>
          </rPr>
          <t>ICF:</t>
        </r>
        <r>
          <rPr>
            <sz val="9"/>
            <color indexed="81"/>
            <rFont val="Tahoma"/>
            <family val="2"/>
          </rPr>
          <t xml:space="preserve">
Solar Titan</t>
        </r>
      </text>
    </comment>
    <comment ref="F134" authorId="1" shapeId="0" xr:uid="{00000000-0006-0000-0A00-00000B000000}">
      <text>
        <r>
          <rPr>
            <b/>
            <sz val="9"/>
            <color indexed="81"/>
            <rFont val="Tahoma"/>
            <family val="2"/>
          </rPr>
          <t>ICF:</t>
        </r>
        <r>
          <rPr>
            <sz val="9"/>
            <color indexed="81"/>
            <rFont val="Tahoma"/>
            <family val="2"/>
          </rPr>
          <t xml:space="preserve">
GE LM2500</t>
        </r>
      </text>
    </comment>
    <comment ref="G134" authorId="1" shapeId="0" xr:uid="{00000000-0006-0000-0A00-00000C000000}">
      <text>
        <r>
          <rPr>
            <b/>
            <sz val="9"/>
            <color indexed="81"/>
            <rFont val="Tahoma"/>
            <family val="2"/>
          </rPr>
          <t>ICF:</t>
        </r>
        <r>
          <rPr>
            <sz val="9"/>
            <color indexed="81"/>
            <rFont val="Tahoma"/>
            <family val="2"/>
          </rPr>
          <t xml:space="preserve">
GE LM1600</t>
        </r>
      </text>
    </comment>
    <comment ref="D184" authorId="1" shapeId="0" xr:uid="{00000000-0006-0000-0A00-00000D000000}">
      <text>
        <r>
          <rPr>
            <b/>
            <sz val="9"/>
            <color indexed="81"/>
            <rFont val="Tahoma"/>
            <family val="2"/>
          </rPr>
          <t>ICF:</t>
        </r>
        <r>
          <rPr>
            <sz val="9"/>
            <color indexed="81"/>
            <rFont val="Tahoma"/>
            <family val="2"/>
          </rPr>
          <t xml:space="preserve">
Hot water version  120 F</t>
        </r>
      </text>
    </comment>
    <comment ref="E184" authorId="1" shapeId="0" xr:uid="{00000000-0006-0000-0A00-00000E000000}">
      <text>
        <r>
          <rPr>
            <b/>
            <sz val="9"/>
            <color indexed="81"/>
            <rFont val="Tahoma"/>
            <family val="2"/>
          </rPr>
          <t>ICF:</t>
        </r>
        <r>
          <rPr>
            <sz val="9"/>
            <color indexed="81"/>
            <rFont val="Tahoma"/>
            <family val="2"/>
          </rPr>
          <t xml:space="preserve">
Hot water - 120 F</t>
        </r>
      </text>
    </comment>
    <comment ref="F184" authorId="1" shapeId="0" xr:uid="{00000000-0006-0000-0A00-00000F000000}">
      <text>
        <r>
          <rPr>
            <b/>
            <sz val="9"/>
            <color indexed="81"/>
            <rFont val="Tahoma"/>
            <family val="2"/>
          </rPr>
          <t>ICF:</t>
        </r>
        <r>
          <rPr>
            <sz val="9"/>
            <color indexed="81"/>
            <rFont val="Tahoma"/>
            <family val="2"/>
          </rPr>
          <t xml:space="preserve">
Hot water   120 F</t>
        </r>
      </text>
    </comment>
    <comment ref="G184" authorId="1" shapeId="0" xr:uid="{00000000-0006-0000-0A00-000010000000}">
      <text>
        <r>
          <rPr>
            <b/>
            <sz val="9"/>
            <color indexed="81"/>
            <rFont val="Tahoma"/>
            <family val="2"/>
          </rPr>
          <t>ICF:</t>
        </r>
        <r>
          <rPr>
            <sz val="9"/>
            <color indexed="81"/>
            <rFont val="Tahoma"/>
            <family val="2"/>
          </rPr>
          <t xml:space="preserve">
Hot water   120 F</t>
        </r>
      </text>
    </comment>
    <comment ref="C189" authorId="1" shapeId="0" xr:uid="{00000000-0006-0000-0A00-000011000000}">
      <text>
        <r>
          <rPr>
            <b/>
            <sz val="9"/>
            <color indexed="81"/>
            <rFont val="Tahoma"/>
            <family val="2"/>
          </rPr>
          <t>ICF:</t>
        </r>
        <r>
          <rPr>
            <sz val="9"/>
            <color indexed="81"/>
            <rFont val="Tahoma"/>
            <family val="2"/>
          </rPr>
          <t xml:space="preserve">
Fuel Cells remove sulfur from fuel to prevent contamination</t>
        </r>
      </text>
    </comment>
    <comment ref="D189" authorId="1" shapeId="0" xr:uid="{00000000-0006-0000-0A00-000012000000}">
      <text>
        <r>
          <rPr>
            <b/>
            <sz val="9"/>
            <color indexed="81"/>
            <rFont val="Tahoma"/>
            <family val="2"/>
          </rPr>
          <t>ICF:</t>
        </r>
        <r>
          <rPr>
            <sz val="9"/>
            <color indexed="81"/>
            <rFont val="Tahoma"/>
            <family val="2"/>
          </rPr>
          <t xml:space="preserve">
Fuel Cells remove sulfur from fuel to prevent contamination</t>
        </r>
      </text>
    </comment>
    <comment ref="E189" authorId="1" shapeId="0" xr:uid="{00000000-0006-0000-0A00-000013000000}">
      <text>
        <r>
          <rPr>
            <b/>
            <sz val="9"/>
            <color indexed="81"/>
            <rFont val="Tahoma"/>
            <family val="2"/>
          </rPr>
          <t>ICF:</t>
        </r>
        <r>
          <rPr>
            <sz val="9"/>
            <color indexed="81"/>
            <rFont val="Tahoma"/>
            <family val="2"/>
          </rPr>
          <t xml:space="preserve">
Fuel Cells remove sulfur from fuel to prevent contamination</t>
        </r>
      </text>
    </comment>
    <comment ref="F189" authorId="1" shapeId="0" xr:uid="{00000000-0006-0000-0A00-000014000000}">
      <text>
        <r>
          <rPr>
            <b/>
            <sz val="9"/>
            <color indexed="81"/>
            <rFont val="Tahoma"/>
            <family val="2"/>
          </rPr>
          <t>ICF:</t>
        </r>
        <r>
          <rPr>
            <sz val="9"/>
            <color indexed="81"/>
            <rFont val="Tahoma"/>
            <family val="2"/>
          </rPr>
          <t xml:space="preserve">
Fuel Cells remove sulfur from fuel to prevent contamination</t>
        </r>
      </text>
    </comment>
    <comment ref="G189" authorId="1" shapeId="0" xr:uid="{00000000-0006-0000-0A00-000015000000}">
      <text>
        <r>
          <rPr>
            <b/>
            <sz val="9"/>
            <color indexed="81"/>
            <rFont val="Tahoma"/>
            <family val="2"/>
          </rPr>
          <t>ICF:</t>
        </r>
        <r>
          <rPr>
            <sz val="9"/>
            <color indexed="81"/>
            <rFont val="Tahoma"/>
            <family val="2"/>
          </rPr>
          <t xml:space="preserve">
Fuel Cells remove sulfur from fuel to prevent contamination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tc={4A858EC8-C088-4385-9B8A-AAB36EF4DE0E}</author>
    <author>tc={8F19A1A3-1327-463B-B5AD-C253D493A4F2}</author>
  </authors>
  <commentList>
    <comment ref="K46" authorId="0" shapeId="0" xr:uid="{4A858EC8-C088-4385-9B8A-AAB36EF4DE0E}">
      <text>
        <t>[Threaded comment]
Your version of Excel allows you to read this threaded comment; however, any edits to it will get removed if the file is opened in a newer version of Excel. Learn more: https://go.microsoft.com/fwlink/?linkid=870924
Comment:
    Manuall paste these values in - something always gets messed up with the lookup</t>
      </text>
    </comment>
    <comment ref="I47" authorId="1" shapeId="0" xr:uid="{8F19A1A3-1327-463B-B5AD-C253D493A4F2}">
      <text>
        <t>[Threaded comment]
Your version of Excel allows you to read this threaded comment; however, any edits to it will get removed if the file is opened in a newer version of Excel. Learn more: https://go.microsoft.com/fwlink/?linkid=870924
Comment:
    All of these cells calculated by weighted averages from percentages at right (eGRID matched regions)</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Anne Hampson</author>
  </authors>
  <commentList>
    <comment ref="B107" authorId="0" shapeId="0" xr:uid="{00000000-0006-0000-0E00-000001000000}">
      <text>
        <r>
          <rPr>
            <b/>
            <sz val="8"/>
            <color indexed="81"/>
            <rFont val="Tahoma"/>
            <family val="2"/>
          </rPr>
          <t>Anne Hampson:</t>
        </r>
        <r>
          <rPr>
            <sz val="8"/>
            <color indexed="81"/>
            <rFont val="Tahoma"/>
            <family val="2"/>
          </rPr>
          <t xml:space="preserve">
The 0.88 is the assumed  efficiency of the duct burner</t>
        </r>
      </text>
    </comment>
  </commentList>
</comments>
</file>

<file path=xl/sharedStrings.xml><?xml version="1.0" encoding="utf-8"?>
<sst xmlns="http://schemas.openxmlformats.org/spreadsheetml/2006/main" count="2433" uniqueCount="1325">
  <si>
    <t>Version 3.5, October 2023</t>
  </si>
  <si>
    <t>Energy Savings Inputs</t>
  </si>
  <si>
    <t>CHP System Characteristics</t>
  </si>
  <si>
    <t>1. CHP: Type of System</t>
  </si>
  <si>
    <t>2. CHP: Electricity Generating Capacity (per unit)</t>
  </si>
  <si>
    <t>kW</t>
  </si>
  <si>
    <t>3. CHP: How Many Identical Units (i.e., engines) Does This System Have?</t>
  </si>
  <si>
    <r>
      <t xml:space="preserve">4. CHP: Annual Utilization (Enter a value to answer only </t>
    </r>
    <r>
      <rPr>
        <b/>
        <u/>
        <sz val="10"/>
        <rFont val="Arial"/>
        <family val="2"/>
      </rPr>
      <t>ONE</t>
    </r>
    <r>
      <rPr>
        <b/>
        <sz val="10"/>
        <rFont val="Arial"/>
        <family val="2"/>
      </rPr>
      <t xml:space="preserve"> of the options below)</t>
    </r>
  </si>
  <si>
    <r>
      <t xml:space="preserve">                    </t>
    </r>
    <r>
      <rPr>
        <u/>
        <sz val="10"/>
        <rFont val="Arial"/>
        <family val="2"/>
      </rPr>
      <t>Option 1</t>
    </r>
    <r>
      <rPr>
        <sz val="10"/>
        <rFont val="Arial"/>
        <family val="2"/>
      </rPr>
      <t>: How many hours per year does the CHP system operate?</t>
    </r>
  </si>
  <si>
    <t>As a number of hours per year</t>
  </si>
  <si>
    <r>
      <t xml:space="preserve">OR   </t>
    </r>
    <r>
      <rPr>
        <sz val="10"/>
        <rFont val="Arial"/>
        <family val="2"/>
      </rPr>
      <t xml:space="preserve">  As a percentage</t>
    </r>
  </si>
  <si>
    <r>
      <t xml:space="preserve">                    </t>
    </r>
    <r>
      <rPr>
        <u/>
        <sz val="10"/>
        <rFont val="Arial"/>
        <family val="2"/>
      </rPr>
      <t>Option 2</t>
    </r>
    <r>
      <rPr>
        <sz val="10"/>
        <rFont val="Arial"/>
        <family val="2"/>
      </rPr>
      <t>: How much grid electricity is displaced by CHP operation each year?</t>
    </r>
  </si>
  <si>
    <t>Enter displaced grid electricity as MWh/year</t>
  </si>
  <si>
    <t>MWh/yr</t>
  </si>
  <si>
    <t>5. CHP: Does the System Provide Heating or Cooling or Both?</t>
  </si>
  <si>
    <t>6. CHP: Fuel</t>
  </si>
  <si>
    <t>Fuel Type</t>
  </si>
  <si>
    <r>
      <t xml:space="preserve">7. CHP: What is the Heat Content of this Fuel? (Enter a value in only </t>
    </r>
    <r>
      <rPr>
        <b/>
        <u/>
        <sz val="10"/>
        <rFont val="Arial"/>
        <family val="2"/>
      </rPr>
      <t>ONE</t>
    </r>
    <r>
      <rPr>
        <b/>
        <sz val="10"/>
        <rFont val="Arial"/>
        <family val="2"/>
      </rPr>
      <t xml:space="preserve"> of the boxes)</t>
    </r>
  </si>
  <si>
    <t>Btu/cubic foot (HHV)</t>
  </si>
  <si>
    <t xml:space="preserve">OR   </t>
  </si>
  <si>
    <t>Btu/gallon (HHV)</t>
  </si>
  <si>
    <t>Btu/lb (HHV)</t>
  </si>
  <si>
    <t>8. CHP: Boiler Steam To Process (Steam Turbine CHP Only)</t>
  </si>
  <si>
    <t>Boiler Steam to Process as lb Steam/hr</t>
  </si>
  <si>
    <t>Boiler Steam to Process as MMBtu Steam/hr</t>
  </si>
  <si>
    <t>9. CHP: Steam Turbine System Boiler Efficiency (Steam Turbine CHP Only)</t>
  </si>
  <si>
    <t>Enter Boiler Efficiency as %</t>
  </si>
  <si>
    <t>10. CHP: Electric Efficiency</t>
  </si>
  <si>
    <t>Enter Generating Efficiency as %</t>
  </si>
  <si>
    <t>(HHV)</t>
  </si>
  <si>
    <r>
      <t>OR</t>
    </r>
    <r>
      <rPr>
        <sz val="10"/>
        <rFont val="Arial"/>
        <family val="2"/>
      </rPr>
      <t xml:space="preserve"> Enter Generating Efficiency as Btu/kWh HHV</t>
    </r>
  </si>
  <si>
    <t>Btu/kWh (HHV)</t>
  </si>
  <si>
    <r>
      <t>OR</t>
    </r>
    <r>
      <rPr>
        <sz val="10"/>
        <rFont val="Arial"/>
        <family val="2"/>
      </rPr>
      <t xml:space="preserve">  Enter Generating Efficiency as Btu/kWh LHV</t>
    </r>
  </si>
  <si>
    <t>Btu/kWh (LHV)</t>
  </si>
  <si>
    <t>11. CHP Equipment: Base Power to Heat Ratio</t>
  </si>
  <si>
    <t xml:space="preserve">          The Power to Heat Ratio should reflect ONLY the thermal production of the generating unit (i.e., combustion turbine).</t>
  </si>
  <si>
    <t xml:space="preserve">          Thermal Output of the duct burners (if equipped) should not be included. </t>
  </si>
  <si>
    <r>
      <rPr>
        <sz val="10"/>
        <rFont val="Arial"/>
        <family val="2"/>
      </rPr>
      <t xml:space="preserve"> See the </t>
    </r>
    <r>
      <rPr>
        <u/>
        <sz val="10"/>
        <color rgb="FF0070C0"/>
        <rFont val="Arial"/>
        <family val="2"/>
      </rPr>
      <t>SubThermalCalculator</t>
    </r>
    <r>
      <rPr>
        <sz val="10"/>
        <rFont val="Arial"/>
        <family val="2"/>
      </rPr>
      <t xml:space="preserve"> for help on calculating a Power to Heat Ratio</t>
    </r>
  </si>
  <si>
    <t>Power to Heat Ratio (Generating Unit Capacity)</t>
  </si>
  <si>
    <r>
      <rPr>
        <b/>
        <sz val="10"/>
        <rFont val="Arial"/>
        <family val="2"/>
      </rPr>
      <t>If WHP</t>
    </r>
    <r>
      <rPr>
        <sz val="10"/>
        <rFont val="Arial"/>
        <family val="2"/>
      </rPr>
      <t>: Useful Thermal Output (MMBtu/hr)</t>
    </r>
  </si>
  <si>
    <t>12. Duct Burners: Does the System Incorporate Duct Burners? (Duct Burners only allowed on Combustion Turbines)</t>
  </si>
  <si>
    <t>13. Duct Burners: What is the Total Fuel Input Capacity of the Burners for Each CHP Unit?</t>
  </si>
  <si>
    <t>MMBtu/hr</t>
  </si>
  <si>
    <t>CHP Cooling Characteristics</t>
  </si>
  <si>
    <t>15. Cooling: Does the CHP Provide Cooling?</t>
  </si>
  <si>
    <t>16. Cooling: What is the Coefficient of Performance (COP) of the Absorption Chiller Used?</t>
  </si>
  <si>
    <t xml:space="preserve">Coefficient of Performance (COP) </t>
  </si>
  <si>
    <t>17. Cooling: What is the Cooling Capacity of the System?</t>
  </si>
  <si>
    <t xml:space="preserve"> (Enter a value in only ONE of the boxes)</t>
  </si>
  <si>
    <t>Cooling Tons</t>
  </si>
  <si>
    <r>
      <t xml:space="preserve">OR   </t>
    </r>
    <r>
      <rPr>
        <sz val="10"/>
        <rFont val="Arial"/>
        <family val="2"/>
      </rPr>
      <t>MMBtu per Hour of Cooling</t>
    </r>
  </si>
  <si>
    <t>18. Displaced Cooling: What is the Efficiency of the Cooling System that is Being Displaced?</t>
  </si>
  <si>
    <t xml:space="preserve">Electricity Demand (kW per ton) </t>
  </si>
  <si>
    <r>
      <t>OR</t>
    </r>
    <r>
      <rPr>
        <sz val="10"/>
        <rFont val="Arial"/>
        <family val="2"/>
      </rPr>
      <t xml:space="preserve">     Coefficient of Performance (COP) </t>
    </r>
  </si>
  <si>
    <t>Thermal Characteristics</t>
  </si>
  <si>
    <t>19. Displaced Thermal: Type of System:</t>
  </si>
  <si>
    <r>
      <t xml:space="preserve">20. Displaced Thermal: What is the Heat Content of the displaced Fuel? (Enter a value in only </t>
    </r>
    <r>
      <rPr>
        <b/>
        <u/>
        <sz val="10"/>
        <rFont val="Arial"/>
        <family val="2"/>
      </rPr>
      <t>ONE</t>
    </r>
    <r>
      <rPr>
        <b/>
        <sz val="10"/>
        <rFont val="Arial"/>
        <family val="2"/>
      </rPr>
      <t xml:space="preserve"> of the boxes)</t>
    </r>
  </si>
  <si>
    <t>21. Displaced Thermal: Efficiency (usually a boiler)</t>
  </si>
  <si>
    <t>22. Thermal Utilization (Enter a value to answer only ONE of the options below)</t>
  </si>
  <si>
    <r>
      <t xml:space="preserve">           </t>
    </r>
    <r>
      <rPr>
        <u/>
        <sz val="10"/>
        <rFont val="Arial"/>
        <family val="2"/>
      </rPr>
      <t>Option 1</t>
    </r>
    <r>
      <rPr>
        <sz val="10"/>
        <rFont val="Arial"/>
        <family val="2"/>
      </rPr>
      <t>: CHP Thermal Utilization - What is the percent of available CHP thermal output utilized throughout the year?</t>
    </r>
  </si>
  <si>
    <t>Enter thermal utilization as a %</t>
  </si>
  <si>
    <t>(also applies to cooling)</t>
  </si>
  <si>
    <t xml:space="preserve"> </t>
  </si>
  <si>
    <r>
      <t xml:space="preserve">           </t>
    </r>
    <r>
      <rPr>
        <u/>
        <sz val="10"/>
        <rFont val="Arial"/>
        <family val="2"/>
      </rPr>
      <t>Option 2</t>
    </r>
    <r>
      <rPr>
        <sz val="10"/>
        <rFont val="Arial"/>
        <family val="2"/>
      </rPr>
      <t>: Displaced boiler fuel - What is the quantity of boiler fuel displaced throughout the year?</t>
    </r>
  </si>
  <si>
    <t>Enter displaced boiler fuel as MMBtu/year</t>
  </si>
  <si>
    <t>MMBtu/yr</t>
  </si>
  <si>
    <t>Electricity Profile</t>
  </si>
  <si>
    <t>23. Displaced Electricity: Electricity Generation Profile</t>
  </si>
  <si>
    <t>See the instructions for Input 23 in Section 2 of the User Manual</t>
  </si>
  <si>
    <t>If Range("deinput") = 14</t>
  </si>
  <si>
    <t>24. Displaced Electricity: Select U.S. Average, eGRID Subregion, NERC region, or AVERT region</t>
  </si>
  <si>
    <t>Link to eGRID Subregion Map, NERC Interconnections Map, and AVERT Region Map</t>
  </si>
  <si>
    <r>
      <t xml:space="preserve">*Stop entering inputs here to calculate </t>
    </r>
    <r>
      <rPr>
        <b/>
        <i/>
        <u/>
        <sz val="10"/>
        <color rgb="FFFF0000"/>
        <rFont val="Arial"/>
        <family val="2"/>
      </rPr>
      <t>ONLY</t>
    </r>
    <r>
      <rPr>
        <b/>
        <i/>
        <sz val="10"/>
        <color rgb="FFFF0000"/>
        <rFont val="Arial"/>
        <family val="2"/>
      </rPr>
      <t xml:space="preserve"> energy savings - continue entering inputs to calculate energy </t>
    </r>
    <r>
      <rPr>
        <b/>
        <i/>
        <u/>
        <sz val="10"/>
        <color rgb="FFFF0000"/>
        <rFont val="Arial"/>
        <family val="2"/>
      </rPr>
      <t>AND</t>
    </r>
    <r>
      <rPr>
        <b/>
        <i/>
        <sz val="10"/>
        <color rgb="FFFF0000"/>
        <rFont val="Arial"/>
        <family val="2"/>
      </rPr>
      <t xml:space="preserve"> emissions savings</t>
    </r>
  </si>
  <si>
    <t>25. Displaced Electricity: Select Electric Grid Region for Transmission and Distribution (T&amp;D) Losses</t>
  </si>
  <si>
    <t>Link to NERC Interconnections Map</t>
  </si>
  <si>
    <t>Emissions Savings Inputs</t>
  </si>
  <si>
    <t>CHP &amp; Displaced Boiler Emissions Characteristics</t>
  </si>
  <si>
    <t>26. CHP: If Biomass, Diesel, Distillate, Coal or Other: What is the Sulfur Content?</t>
  </si>
  <si>
    <t>If WHP, what is the sulfur content of the stack?</t>
  </si>
  <si>
    <t xml:space="preserve">            or</t>
  </si>
  <si>
    <t>Enter Sulfur Content of Fuel as a percent</t>
  </si>
  <si>
    <r>
      <t>OR</t>
    </r>
    <r>
      <rPr>
        <sz val="10"/>
        <rFont val="Arial"/>
        <family val="2"/>
      </rPr>
      <t xml:space="preserve">   ppm</t>
    </r>
  </si>
  <si>
    <t>ppm</t>
  </si>
  <si>
    <r>
      <t>27. CHP: What is the CO</t>
    </r>
    <r>
      <rPr>
        <b/>
        <vertAlign val="subscript"/>
        <sz val="10"/>
        <rFont val="Arial"/>
        <family val="2"/>
      </rPr>
      <t>2</t>
    </r>
    <r>
      <rPr>
        <b/>
        <sz val="10"/>
        <rFont val="Arial"/>
        <family val="2"/>
      </rPr>
      <t xml:space="preserve"> Emission Rate for this Fuel? (default completed for fuel in Item 6)</t>
    </r>
  </si>
  <si>
    <t>Enter alternative value:</t>
  </si>
  <si>
    <r>
      <t>lb CO</t>
    </r>
    <r>
      <rPr>
        <vertAlign val="subscript"/>
        <sz val="10"/>
        <rFont val="Arial"/>
        <family val="2"/>
      </rPr>
      <t>2</t>
    </r>
    <r>
      <rPr>
        <sz val="10"/>
        <rFont val="Arial"/>
        <family val="2"/>
      </rPr>
      <t>/MMBtu</t>
    </r>
  </si>
  <si>
    <t>28. CHP: NOx Emission Rate</t>
  </si>
  <si>
    <r>
      <t>Enter a NOx Rate as ppm (15% O</t>
    </r>
    <r>
      <rPr>
        <vertAlign val="subscript"/>
        <sz val="10"/>
        <rFont val="Arial"/>
        <family val="2"/>
      </rPr>
      <t>2</t>
    </r>
    <r>
      <rPr>
        <sz val="10"/>
        <rFont val="Arial"/>
        <family val="2"/>
      </rPr>
      <t>)</t>
    </r>
  </si>
  <si>
    <r>
      <t>OR</t>
    </r>
    <r>
      <rPr>
        <sz val="10"/>
        <rFont val="Arial"/>
        <family val="2"/>
      </rPr>
      <t xml:space="preserve">      Enter a NOx Rate as gm/hp-hr</t>
    </r>
  </si>
  <si>
    <t>gm/hp-hr</t>
  </si>
  <si>
    <r>
      <t>OR</t>
    </r>
    <r>
      <rPr>
        <sz val="10"/>
        <rFont val="Arial"/>
        <family val="2"/>
      </rPr>
      <t xml:space="preserve">     Enter a NOx Rate as lb/MMBtu</t>
    </r>
  </si>
  <si>
    <t>lb NOx/MMBtu</t>
  </si>
  <si>
    <r>
      <t>OR</t>
    </r>
    <r>
      <rPr>
        <sz val="10"/>
        <rFont val="Arial"/>
        <family val="2"/>
      </rPr>
      <t xml:space="preserve">        Enter a NOx Rate as lb/MWh</t>
    </r>
  </si>
  <si>
    <t>lb NOx/MWh</t>
  </si>
  <si>
    <t>29. Duct Burners: NOx Emission Rate for the Duct Burners</t>
  </si>
  <si>
    <t>lb/MMBtu</t>
  </si>
  <si>
    <t xml:space="preserve">OR    </t>
  </si>
  <si>
    <r>
      <t>ppm NOx at 15% O</t>
    </r>
    <r>
      <rPr>
        <vertAlign val="subscript"/>
        <sz val="10"/>
        <rFont val="Arial"/>
        <family val="2"/>
      </rPr>
      <t>2</t>
    </r>
  </si>
  <si>
    <t>31. Displaced Thermal: If Biomass, Diesel, Distillate, Coal or Other: What is the Sulfur Content?</t>
  </si>
  <si>
    <t xml:space="preserve">          or</t>
  </si>
  <si>
    <t>Enter Sulfur Content as a percent</t>
  </si>
  <si>
    <r>
      <t>OR</t>
    </r>
    <r>
      <rPr>
        <sz val="10"/>
        <rFont val="Arial"/>
        <family val="2"/>
      </rPr>
      <t xml:space="preserve">    ppm</t>
    </r>
  </si>
  <si>
    <t>32. Displaced Thermal Production: NOx Emission Rate</t>
  </si>
  <si>
    <t>NOx Rate</t>
  </si>
  <si>
    <t>CHP Fuel</t>
  </si>
  <si>
    <t>co2 flag</t>
  </si>
  <si>
    <t>heat content flag</t>
  </si>
  <si>
    <t>Displaced Thermal Production Fuel</t>
  </si>
  <si>
    <t>so2 flag</t>
  </si>
  <si>
    <t>CHP Results</t>
  </si>
  <si>
    <t xml:space="preserve">The results generated by the CHP Energy and Emissions Savings Calculator are intended for educational and outreach purposes only; </t>
  </si>
  <si>
    <t>it is not designed for use in developing emission inventories or preparing air permit applications.</t>
  </si>
  <si>
    <t>The results of this analysis have not been reviewed or endorsed by the EPA CHP Partnership.</t>
  </si>
  <si>
    <t>Table 1: Annual Energy Savings</t>
  </si>
  <si>
    <t>CHP System</t>
  </si>
  <si>
    <t>Displaced Electricity Production</t>
  </si>
  <si>
    <t>Displaced Thermal Production</t>
  </si>
  <si>
    <t>Fuel Savings</t>
  </si>
  <si>
    <t>Percent Savings</t>
  </si>
  <si>
    <t>Fuel Consumption (MMBtu/year)</t>
  </si>
  <si>
    <t>Equal to the annual energy consumption of this many passenger vehicles:</t>
  </si>
  <si>
    <t>Equal to the annual energy consumption from the generation of electricity for this many homes:</t>
  </si>
  <si>
    <t>Table 2: Annual Emissions Savings</t>
  </si>
  <si>
    <t>Emissions Savings</t>
  </si>
  <si>
    <r>
      <t>NO</t>
    </r>
    <r>
      <rPr>
        <vertAlign val="subscript"/>
        <sz val="10"/>
        <rFont val="Arial"/>
        <family val="2"/>
      </rPr>
      <t>x</t>
    </r>
    <r>
      <rPr>
        <sz val="10"/>
        <rFont val="Arial"/>
        <family val="2"/>
      </rPr>
      <t xml:space="preserve"> (tons/year)</t>
    </r>
  </si>
  <si>
    <r>
      <t>SO</t>
    </r>
    <r>
      <rPr>
        <vertAlign val="subscript"/>
        <sz val="10"/>
        <rFont val="Arial"/>
        <family val="2"/>
      </rPr>
      <t>2</t>
    </r>
    <r>
      <rPr>
        <sz val="10"/>
        <rFont val="Arial"/>
        <family val="2"/>
      </rPr>
      <t xml:space="preserve"> (tons/year)</t>
    </r>
  </si>
  <si>
    <r>
      <t>CO</t>
    </r>
    <r>
      <rPr>
        <vertAlign val="subscript"/>
        <sz val="10"/>
        <rFont val="Arial"/>
        <family val="2"/>
      </rPr>
      <t>2</t>
    </r>
    <r>
      <rPr>
        <sz val="10"/>
        <rFont val="Arial"/>
        <family val="2"/>
      </rPr>
      <t xml:space="preserve"> (tons/year)</t>
    </r>
  </si>
  <si>
    <r>
      <t>CH</t>
    </r>
    <r>
      <rPr>
        <vertAlign val="subscript"/>
        <sz val="10"/>
        <rFont val="Arial"/>
        <family val="2"/>
      </rPr>
      <t>4</t>
    </r>
    <r>
      <rPr>
        <sz val="10"/>
        <rFont val="Arial"/>
        <family val="2"/>
      </rPr>
      <t xml:space="preserve"> (tons/year)</t>
    </r>
  </si>
  <si>
    <r>
      <t>N</t>
    </r>
    <r>
      <rPr>
        <vertAlign val="subscript"/>
        <sz val="10"/>
        <rFont val="Arial"/>
        <family val="2"/>
      </rPr>
      <t>2</t>
    </r>
    <r>
      <rPr>
        <sz val="10"/>
        <rFont val="Arial"/>
        <family val="2"/>
      </rPr>
      <t>O (tons/year)</t>
    </r>
  </si>
  <si>
    <r>
      <t>Total GHGs (CO</t>
    </r>
    <r>
      <rPr>
        <vertAlign val="subscript"/>
        <sz val="10"/>
        <rFont val="Arial"/>
        <family val="2"/>
      </rPr>
      <t>2</t>
    </r>
    <r>
      <rPr>
        <sz val="10"/>
        <rFont val="Arial"/>
        <family val="2"/>
      </rPr>
      <t>e tons/year)</t>
    </r>
  </si>
  <si>
    <t>Carbon (metric tons/year)</t>
  </si>
  <si>
    <t>Equal to the annual GHG emissions from this many passenger vehicles:</t>
  </si>
  <si>
    <t>Equal to the annual GHG emissions from the generation of electricity for this many homes:</t>
  </si>
  <si>
    <t>Table 3: CHP Technology and Generation Profile</t>
  </si>
  <si>
    <t>CHP Technology:</t>
  </si>
  <si>
    <t>Fuel:</t>
  </si>
  <si>
    <t>Unit Capacity:</t>
  </si>
  <si>
    <t>Number of Units:</t>
  </si>
  <si>
    <t>Total CHP Capacity:</t>
  </si>
  <si>
    <t>Operation:</t>
  </si>
  <si>
    <t>hours per year</t>
  </si>
  <si>
    <t>Heat Rate:</t>
  </si>
  <si>
    <t>Btu/kWh HHV</t>
  </si>
  <si>
    <t>CHP Fuel Consumption:</t>
  </si>
  <si>
    <t>MMBtu/year</t>
  </si>
  <si>
    <t>Duct Burner Fuel Consumption:</t>
  </si>
  <si>
    <t>Total Fuel Consumption:</t>
  </si>
  <si>
    <t>Total CHP Generation:</t>
  </si>
  <si>
    <t>MWh/year</t>
  </si>
  <si>
    <t>Useful CHP Thermal Output:</t>
  </si>
  <si>
    <t>MMBtu/year for thermal applications (non-cooling)</t>
  </si>
  <si>
    <t>MMBtu/year for electric applications (cooling and electric heating)</t>
  </si>
  <si>
    <t>MMBtu/year Total</t>
  </si>
  <si>
    <t>Table 4: Displaced Thermal Energy</t>
  </si>
  <si>
    <t>Displaced On-Site Production for</t>
  </si>
  <si>
    <t>Thermal (non-cooling) Applications:</t>
  </si>
  <si>
    <t>Displaced Electric Service (cooling and electric heating):</t>
  </si>
  <si>
    <t>Table 5: Displaced Electricity</t>
  </si>
  <si>
    <t>Displaced Electricity Profile:</t>
  </si>
  <si>
    <t>Distribution Losses:</t>
  </si>
  <si>
    <t>Update to 0 even if user selects eomthing else</t>
  </si>
  <si>
    <t>Displaced Electricity Production:</t>
  </si>
  <si>
    <t>MWh/year CHP generation</t>
  </si>
  <si>
    <t>MWh/year Displaced Electric Demand (cooling)</t>
  </si>
  <si>
    <t>MWh/year Displaced Electric Demand (electric heating)</t>
  </si>
  <si>
    <t>MWh/year Transmission Losses</t>
  </si>
  <si>
    <t>MWh/year Total</t>
  </si>
  <si>
    <t>Table 6: Annual Analysis for CHP</t>
  </si>
  <si>
    <t>Total Emissions from CHP System</t>
  </si>
  <si>
    <t>Table 7: Annual Analysis for Displaced Thermal Production (non-cooling)</t>
  </si>
  <si>
    <t>Total Displaced Emissions from Thermal Production</t>
  </si>
  <si>
    <t>Table 8: Annual Analysis for Displaced Electricity Production</t>
  </si>
  <si>
    <t>Displaced CHP Electricity Generation</t>
  </si>
  <si>
    <t>Displaced Electricity for Cooling</t>
  </si>
  <si>
    <t>Displaced Electricity for Heating</t>
  </si>
  <si>
    <t>Transmission Losses</t>
  </si>
  <si>
    <t>Total Displaced Emissions from Electricity Generation</t>
  </si>
  <si>
    <t>Table 9: Emission Rates for Displaced Electricity</t>
  </si>
  <si>
    <t>CHP System including Duct Burners</t>
  </si>
  <si>
    <t>NOx (lb/MWh)</t>
  </si>
  <si>
    <t>SO2 (lb/MWh)</t>
  </si>
  <si>
    <t>CO2 (lb/MWh)</t>
  </si>
  <si>
    <t>Table 10: Emission Rates for Displaced Thermal</t>
  </si>
  <si>
    <t>NOx (lb/MMBtu)</t>
  </si>
  <si>
    <t>SO2 (lb/MMBtu)</t>
  </si>
  <si>
    <t>CO2 (lb/MMBtu)</t>
  </si>
  <si>
    <t>Figure 1. Conventional Production Energy Flow Schematic</t>
  </si>
  <si>
    <t>Figure 2. CHP System Energy Flow Schematic</t>
  </si>
  <si>
    <t xml:space="preserve">                Total Emissions for Conventional Production</t>
  </si>
  <si>
    <t xml:space="preserve">               Total Emissions for CHP System</t>
  </si>
  <si>
    <t xml:space="preserve">        Electricity to Facility</t>
  </si>
  <si>
    <t xml:space="preserve">  Fuel consumption</t>
  </si>
  <si>
    <t xml:space="preserve">                                        Central Station                  </t>
  </si>
  <si>
    <t xml:space="preserve">             CHP     </t>
  </si>
  <si>
    <t>Electricity</t>
  </si>
  <si>
    <t xml:space="preserve">                                         Power Plant                       </t>
  </si>
  <si>
    <t xml:space="preserve">            System  </t>
  </si>
  <si>
    <t>to Facility</t>
  </si>
  <si>
    <t xml:space="preserve">      Transmission Losses</t>
  </si>
  <si>
    <t xml:space="preserve">       Thermal Energy from CHP</t>
  </si>
  <si>
    <t xml:space="preserve">                                      On-Site Thermal                </t>
  </si>
  <si>
    <t xml:space="preserve">                                       Production                        </t>
  </si>
  <si>
    <t>Absorption</t>
  </si>
  <si>
    <t xml:space="preserve">Chiller    </t>
  </si>
  <si>
    <t>Thermal Calculator</t>
  </si>
  <si>
    <t>Value</t>
  </si>
  <si>
    <t>Units</t>
  </si>
  <si>
    <t>Description</t>
  </si>
  <si>
    <t xml:space="preserve">Calculate the Power to Heat Ratio by completing the </t>
  </si>
  <si>
    <t xml:space="preserve"> entries in one of the following boxes:</t>
  </si>
  <si>
    <t>Thermal output from a single unit</t>
  </si>
  <si>
    <t>OR</t>
  </si>
  <si>
    <t>lb/hr</t>
  </si>
  <si>
    <t>Steam consumed in process</t>
  </si>
  <si>
    <t>Btu/lb</t>
  </si>
  <si>
    <t>Enthalpy (a common value is 1,000 Btu/lb)</t>
  </si>
  <si>
    <t>calculated</t>
  </si>
  <si>
    <t>Fuel consumed in thermal process (often a boiler)</t>
  </si>
  <si>
    <t>Efficiency of thermal converter</t>
  </si>
  <si>
    <t>Results</t>
  </si>
  <si>
    <t>thermal output</t>
  </si>
  <si>
    <t>Generation Sources</t>
  </si>
  <si>
    <t>Existing Generation Sources</t>
  </si>
  <si>
    <t>Heat Rate</t>
  </si>
  <si>
    <t>Name</t>
  </si>
  <si>
    <t>Code</t>
  </si>
  <si>
    <t>NOx lb/MWh</t>
  </si>
  <si>
    <t>SO2 lb/MWh</t>
  </si>
  <si>
    <t>CO2 lb/MWh</t>
  </si>
  <si>
    <t>Btu/kWh</t>
  </si>
  <si>
    <t>EPA AVERT 2022 (released April 2023), https://www.epa.gov/statelocalenergy/avoided-emission-factors-generated-avert-0</t>
  </si>
  <si>
    <t>EPA eGRID2021 (released January 2023), http://www.epa.gov/energy/egrid</t>
  </si>
  <si>
    <t>AP 42, Fifth Edition, Compilation of Air Pollutant Emission Factors, Volume 1: Stationary Point and Area Sources.  https://www.epa.gov/air-emissions-factors-and-quantification/ap-42-compilation-air-emission-factors</t>
  </si>
  <si>
    <t>Gas combined-cycle 3 ppm</t>
  </si>
  <si>
    <t>Please enter emission rates for the new generation sources:</t>
  </si>
  <si>
    <t>User Defined Generation Sources</t>
  </si>
  <si>
    <t>User Source 1</t>
  </si>
  <si>
    <t>User Source 2</t>
  </si>
  <si>
    <t>User Source 3</t>
  </si>
  <si>
    <t>Biomass and Coal Data</t>
  </si>
  <si>
    <t>Note: The data in these tables are not used in any calculations within the tool, but are only provided as a reference for users entering biomass or coal data.</t>
  </si>
  <si>
    <t xml:space="preserve">Biomass  </t>
  </si>
  <si>
    <t>Heat Content &amp; Emission Rates for Biomass Fuels</t>
  </si>
  <si>
    <t>Heat Content (HHV)</t>
  </si>
  <si>
    <r>
      <t>CO</t>
    </r>
    <r>
      <rPr>
        <vertAlign val="subscript"/>
        <sz val="10"/>
        <rFont val="Arial"/>
        <family val="2"/>
      </rPr>
      <t>2</t>
    </r>
    <r>
      <rPr>
        <sz val="10"/>
        <rFont val="Arial"/>
        <family val="2"/>
      </rPr>
      <t xml:space="preserve"> Emission Rate</t>
    </r>
    <r>
      <rPr>
        <sz val="10"/>
        <rFont val="Arial"/>
        <family val="2"/>
      </rPr>
      <t>*</t>
    </r>
  </si>
  <si>
    <t>NOx Emission Rate**</t>
  </si>
  <si>
    <t>Sulfur Content**</t>
  </si>
  <si>
    <t>Biomass Fuel Source</t>
  </si>
  <si>
    <t>Wood and Wood Residuals</t>
  </si>
  <si>
    <t>Agricultural Byproducts</t>
  </si>
  <si>
    <t>Solid Byproducts</t>
  </si>
  <si>
    <t>Biogas</t>
  </si>
  <si>
    <t>Btu/scf</t>
  </si>
  <si>
    <t>Landfill Gas</t>
  </si>
  <si>
    <t>Biodiesel</t>
  </si>
  <si>
    <t>Btu/gal</t>
  </si>
  <si>
    <t>Ethanol</t>
  </si>
  <si>
    <r>
      <t>*CO</t>
    </r>
    <r>
      <rPr>
        <vertAlign val="subscript"/>
        <sz val="8"/>
        <rFont val="Arial"/>
        <family val="2"/>
      </rPr>
      <t>2</t>
    </r>
    <r>
      <rPr>
        <sz val="8"/>
        <rFont val="Arial"/>
        <family val="2"/>
      </rPr>
      <t xml:space="preserve"> Emissions data from EPA Mandatory GHG Reporting Rule, 40 CFR 98, Subpart C, Table C-1 </t>
    </r>
  </si>
  <si>
    <r>
      <t>**NO</t>
    </r>
    <r>
      <rPr>
        <vertAlign val="subscript"/>
        <sz val="8"/>
        <rFont val="Arial"/>
        <family val="2"/>
      </rPr>
      <t>X</t>
    </r>
    <r>
      <rPr>
        <sz val="8"/>
        <rFont val="Arial"/>
        <family val="2"/>
      </rPr>
      <t xml:space="preserve"> and Sulfur emissions data for dry wood fuels from AP-42. Rates for Agricultural Byproducts and Solid Byproducts depend on the composition of the fuels, and for NOx, the combustion temperature. Gaseous and liquid biomass fuels contain trace amounts of Sulfur, and their NOx content is variable, depending on prime mover, combustion temperature, and post-combustion emission controls.</t>
    </r>
  </si>
  <si>
    <t>Coal</t>
  </si>
  <si>
    <r>
      <t>CO</t>
    </r>
    <r>
      <rPr>
        <vertAlign val="subscript"/>
        <sz val="10"/>
        <rFont val="Arial"/>
        <family val="2"/>
      </rPr>
      <t>2</t>
    </r>
    <r>
      <rPr>
        <sz val="10"/>
        <rFont val="Arial"/>
        <family val="2"/>
      </rPr>
      <t xml:space="preserve"> Emission Rate</t>
    </r>
  </si>
  <si>
    <t>Coal Type</t>
  </si>
  <si>
    <t>Anthracite</t>
  </si>
  <si>
    <t>Bituminous</t>
  </si>
  <si>
    <t>Sub-bituminous</t>
  </si>
  <si>
    <t>Lignite</t>
  </si>
  <si>
    <t>Industrial Mixed Use</t>
  </si>
  <si>
    <t>Commercial Mixed Use</t>
  </si>
  <si>
    <t>*Emissions Data from EPA Mandatory GHG Reporting Rule, Part 98, Subpart C, Table C-1</t>
  </si>
  <si>
    <t>For an expanded list of emissions factors and heat content values, please see Table C-1 in 40 CFR 98:</t>
  </si>
  <si>
    <t>http://www.ecfr.gov/cgi-bin/text-idx?tpl=/ecfrbrowse/Title40/40cfr98_main_02.tpl</t>
  </si>
  <si>
    <t>AVERT Regions Map</t>
  </si>
  <si>
    <t>eGRID Subregions Map</t>
  </si>
  <si>
    <t>NERC Interconnections Map</t>
  </si>
  <si>
    <t>CHP Pick list lookups</t>
  </si>
  <si>
    <t>A1</t>
  </si>
  <si>
    <t>CHP technology</t>
  </si>
  <si>
    <t>Recip Engine - Rich Burn</t>
  </si>
  <si>
    <t>Recip Engine - Lean Burn</t>
  </si>
  <si>
    <t>Recip Engine - Diesel</t>
  </si>
  <si>
    <t>Microturbine</t>
  </si>
  <si>
    <t>Combustion Turbine</t>
  </si>
  <si>
    <t>Boiler / Steam Turbine</t>
  </si>
  <si>
    <t>Fuel Cell</t>
  </si>
  <si>
    <t>Other Prime Mover</t>
  </si>
  <si>
    <t>Other</t>
  </si>
  <si>
    <t>Waste Heat to Power (Power Only)</t>
  </si>
  <si>
    <t>Waste Heat to Power</t>
  </si>
  <si>
    <t>Waste Heat to Power (Power and Thermal)</t>
  </si>
  <si>
    <t>B3</t>
  </si>
  <si>
    <t>Operating profile of CHP</t>
  </si>
  <si>
    <t>Hours</t>
  </si>
  <si>
    <t>5 days per week, 8 hours per day - 2,080 hours</t>
  </si>
  <si>
    <t>5 days per week, 16 hours per day - 4,160 hours</t>
  </si>
  <si>
    <t>7 days per week - 16 hours per day - 5,840 hours</t>
  </si>
  <si>
    <t>7 days per week, 24 hours per day, 8,760 hours</t>
  </si>
  <si>
    <t>I will enter a value</t>
  </si>
  <si>
    <t>B5</t>
  </si>
  <si>
    <t>Profile of Displaced Electricity</t>
  </si>
  <si>
    <t>AVERT Uniform EE Factors (2022 Data)</t>
  </si>
  <si>
    <t>A</t>
  </si>
  <si>
    <t>AVERT</t>
  </si>
  <si>
    <t>eGRID All Sources (2021 Data)</t>
  </si>
  <si>
    <t>E</t>
  </si>
  <si>
    <t>Egrid State Average</t>
  </si>
  <si>
    <t>eGRID Fossil Fuel (2021 Data)</t>
  </si>
  <si>
    <t>eGRID Non-Baseload (2021 Data)</t>
  </si>
  <si>
    <t>eGRID Coal (2021 Data)</t>
  </si>
  <si>
    <t>eGRID Oil (2021 Data)</t>
  </si>
  <si>
    <t>eGRID Gas (2021 Data)</t>
  </si>
  <si>
    <t>Coal Boiler 3.8 lb/MWh NOx</t>
  </si>
  <si>
    <t>D</t>
  </si>
  <si>
    <t>Defined</t>
  </si>
  <si>
    <t>Coal Boiler 1.5 lb/MWh NOx</t>
  </si>
  <si>
    <t>Coal Boiler with SCR 0.8 lb/MWh NOx</t>
  </si>
  <si>
    <t>Gas Boiler 0.77 lb/MWh NOx</t>
  </si>
  <si>
    <t>Gas Turbine Peaker 25 ppm</t>
  </si>
  <si>
    <t>Gas combined-cycle 9 ppm</t>
  </si>
  <si>
    <t>U</t>
  </si>
  <si>
    <t>User Profile</t>
  </si>
  <si>
    <t>B8</t>
  </si>
  <si>
    <t>Egrid profile</t>
  </si>
  <si>
    <t>eGRID State Averages All Sources (2021 Data)</t>
  </si>
  <si>
    <t>eGRID State Average Fossil (2021 Data)</t>
  </si>
  <si>
    <t>eGRID State Averages Coal (2021 Data)</t>
  </si>
  <si>
    <t>eGRID State Averages Oil (2021 Data)</t>
  </si>
  <si>
    <t>eGRID State Averages Gas (2021 Data)</t>
  </si>
  <si>
    <t>D2</t>
  </si>
  <si>
    <t>Displaced Thermal Source</t>
  </si>
  <si>
    <t>CO2 rate</t>
  </si>
  <si>
    <t>Heat Content</t>
  </si>
  <si>
    <t>Existing Gas Boiler</t>
  </si>
  <si>
    <t>Btu/cf</t>
  </si>
  <si>
    <t>Existing Distillate Oil Boiler</t>
  </si>
  <si>
    <t>Existing Residual Oil Boiler</t>
  </si>
  <si>
    <t>Existing Coal Boiler</t>
  </si>
  <si>
    <t>New Gas Boiler</t>
  </si>
  <si>
    <t>New Distillate Oil Boiler</t>
  </si>
  <si>
    <t>New Residual Oil Boiler</t>
  </si>
  <si>
    <t>New Coal Boiler</t>
  </si>
  <si>
    <t>Electric Resistence or Heat Pump</t>
  </si>
  <si>
    <t>Existing Propane Boiler</t>
  </si>
  <si>
    <t>New Propane Boiler</t>
  </si>
  <si>
    <t>B6</t>
  </si>
  <si>
    <t>State</t>
  </si>
  <si>
    <t>Region</t>
  </si>
  <si>
    <t>Grid Loss %</t>
  </si>
  <si>
    <t>AVERT - National Average</t>
  </si>
  <si>
    <t>AVERT - California</t>
  </si>
  <si>
    <t>AVERT - Carolinas</t>
  </si>
  <si>
    <t>AVERT - Central</t>
  </si>
  <si>
    <t>AVERT - Florida</t>
  </si>
  <si>
    <t>AVERT - Mid-Atlantic</t>
  </si>
  <si>
    <t>AVERT - Midwest</t>
  </si>
  <si>
    <t>AVERT - New England</t>
  </si>
  <si>
    <t>AVERT - New York</t>
  </si>
  <si>
    <t>AVERT - Northwest</t>
  </si>
  <si>
    <t>AVERT - Rocky Mountains</t>
  </si>
  <si>
    <t>AVERT - Southeast</t>
  </si>
  <si>
    <t>AVERT - Southwest</t>
  </si>
  <si>
    <t>AVERT - Tennessee</t>
  </si>
  <si>
    <t>AVERT - Texas</t>
  </si>
  <si>
    <t>eGRID - US Average</t>
  </si>
  <si>
    <t>AKGD - ASCC Alaska Grid</t>
  </si>
  <si>
    <t>AKMS - ASCC Miscellaneous</t>
  </si>
  <si>
    <t>AZNM - WECC Southwest</t>
  </si>
  <si>
    <t>CAMX - WECC California</t>
  </si>
  <si>
    <t>ERCT - ERCOT All</t>
  </si>
  <si>
    <t>FRCC - FRCC All</t>
  </si>
  <si>
    <t>HIMS - HICC Miscellaneous</t>
  </si>
  <si>
    <t>HIOA - HICC Oahu</t>
  </si>
  <si>
    <t>MROE - MRO East</t>
  </si>
  <si>
    <t>MROW - MRO West</t>
  </si>
  <si>
    <t>NEWE - NPCC New England</t>
  </si>
  <si>
    <t>NWPP - WECC Northwest</t>
  </si>
  <si>
    <t>NYCW - NPCC NYC/Westchester</t>
  </si>
  <si>
    <t>NYLI - NPCC Long Island</t>
  </si>
  <si>
    <t>NYUP - NPCC Upstate NY</t>
  </si>
  <si>
    <t>RFCE - RFC East</t>
  </si>
  <si>
    <t>RFCM - RFC Michigan</t>
  </si>
  <si>
    <t>RFCW - RFC West</t>
  </si>
  <si>
    <t>RMPA - WECC Rockies</t>
  </si>
  <si>
    <t>SPNO - SPP North</t>
  </si>
  <si>
    <t>SPSO - SPP South</t>
  </si>
  <si>
    <t>SRMV - SERC Mississippi Valley</t>
  </si>
  <si>
    <t>SRMW - SERC Midwest</t>
  </si>
  <si>
    <t>SRSO - SERC South</t>
  </si>
  <si>
    <t>SRTV - SERC Tennessee Valley</t>
  </si>
  <si>
    <t>SRVC - SERC Virginia/Carolina</t>
  </si>
  <si>
    <t>PRMS - Puerto Rico Miscellaneous</t>
  </si>
  <si>
    <t>ASCC - Alaska Systems Coordinating Council</t>
  </si>
  <si>
    <t>HICC - Hawaiian Islands Coordinating Council</t>
  </si>
  <si>
    <t>MRO - Midwest Reliability Organization</t>
  </si>
  <si>
    <t>NPCC - Northeast Power Coordinating Council</t>
  </si>
  <si>
    <t>RFC - Reliability First Corporation</t>
  </si>
  <si>
    <t>SERC - Southeastern Electric Reliability Corporation</t>
  </si>
  <si>
    <t>TRE - Texas Regional Entity</t>
  </si>
  <si>
    <t>WECC - Western Electricity Coordinating Council</t>
  </si>
  <si>
    <t>PR - Puerto Rico</t>
  </si>
  <si>
    <t>A6</t>
  </si>
  <si>
    <t>Fuel used in CHP system</t>
  </si>
  <si>
    <t>Natural Gas</t>
  </si>
  <si>
    <t>Diesel Fuel</t>
  </si>
  <si>
    <t>Distillate Oil</t>
  </si>
  <si>
    <t>Propane</t>
  </si>
  <si>
    <t>Woody Biomass</t>
  </si>
  <si>
    <t>Other Fuel (including renewables)</t>
  </si>
  <si>
    <t>Waste Heat</t>
  </si>
  <si>
    <t>A7</t>
  </si>
  <si>
    <t>Fuel used in STM system</t>
  </si>
  <si>
    <t>Other Fuel</t>
  </si>
  <si>
    <t>A8</t>
  </si>
  <si>
    <t>Does the System provide cooling</t>
  </si>
  <si>
    <t>Yes</t>
  </si>
  <si>
    <t>No</t>
  </si>
  <si>
    <t>A9</t>
  </si>
  <si>
    <t>CHP: What Cooling Technology Does this System Use?</t>
  </si>
  <si>
    <t>Single-Effect Absorption Chiller</t>
  </si>
  <si>
    <t>Double-Effect Absorption Chiller</t>
  </si>
  <si>
    <t>I Will Enter a Value</t>
  </si>
  <si>
    <t>C4</t>
  </si>
  <si>
    <t>Does the System have duct burners</t>
  </si>
  <si>
    <t>H1</t>
  </si>
  <si>
    <t>Does the System Provide Heating Cooling or Both?</t>
  </si>
  <si>
    <t>Heating Only</t>
  </si>
  <si>
    <t>Cooling Only</t>
  </si>
  <si>
    <t>Heating and Cooling</t>
  </si>
  <si>
    <t>H2</t>
  </si>
  <si>
    <t>If Heating and Cooling: Does the System Provide Simultaneous Heating and Cooling?</t>
  </si>
  <si>
    <t>H3</t>
  </si>
  <si>
    <t>What is the Efficiency of the Cooling System that is Being Displaced?</t>
  </si>
  <si>
    <r>
      <t xml:space="preserve">1.30 kW/ton (COP=2.7) 1990 Vintage, Air-cooled with condenser, </t>
    </r>
    <r>
      <rPr>
        <u/>
        <sz val="10"/>
        <rFont val="Arial"/>
        <family val="2"/>
      </rPr>
      <t>&lt;</t>
    </r>
    <r>
      <rPr>
        <sz val="10"/>
        <rFont val="Arial"/>
        <family val="2"/>
      </rPr>
      <t>150 tons</t>
    </r>
  </si>
  <si>
    <t>1.41 kW/ton (COP=2.5) 1990 Vintage, Air-cooled with condenser, &gt;150 tons</t>
  </si>
  <si>
    <t>0.93 kW/ton (COP=3.8) 1990 Vintage, Water-cooled, &lt;150 tons</t>
  </si>
  <si>
    <t>0.84 kW/ton (COP=4.2) 1990 Vintage, Water-cooled, 150-300 tons</t>
  </si>
  <si>
    <t>0.75 kW/ton (COP=4.7) 1990 Vintage, Water-cooled, &gt;300 tons</t>
  </si>
  <si>
    <t>1.25 kW/ton (COP=2.8) 2010 ASHRAE Standard, Air-cooled with condenser</t>
  </si>
  <si>
    <t>0.78 kW/ton (COP=4.54) 2010 ASHRAE Standard, Water-cooled, positive displacement &lt;150 tons</t>
  </si>
  <si>
    <t>0.68 kW/ton (COP=5.17) 2010 ASHRAE Standard, Water-cooled, positive displacement 150-300 tons</t>
  </si>
  <si>
    <t>0.62 kW/ton (COP=5.67) 2010 ASHRAE Standard, Water-cooled, positive displacement &gt;300 tons</t>
  </si>
  <si>
    <r>
      <t xml:space="preserve">0.63 kW/ton (COP=5.55) 2010 ASHRAE Standard, Water-cooled, centrifugal </t>
    </r>
    <r>
      <rPr>
        <u/>
        <sz val="10"/>
        <rFont val="Arial"/>
        <family val="2"/>
      </rPr>
      <t>&lt;</t>
    </r>
    <r>
      <rPr>
        <sz val="10"/>
        <rFont val="Arial"/>
        <family val="2"/>
      </rPr>
      <t>300 tons</t>
    </r>
  </si>
  <si>
    <t>0.58 kW/ton (COP=6.11) 2010 ASHRAE Standard, Water-cooled, centrifugral &gt;300 tons</t>
  </si>
  <si>
    <t>1.19 kW/ton (COP=2.96) 2015 ASHRAE Standard, Air-cooled with condenser</t>
  </si>
  <si>
    <t>1.72 kW/ton (COP=4.88) 2015 ASHRAE Standard, Water-cooled, positive displacement &lt;150 tons</t>
  </si>
  <si>
    <t>0.66 kW/ton (COP=5.33) 2015 ASHRAE Standard, Water-cooled, positive displacement 150-300 tons</t>
  </si>
  <si>
    <t>0.61 kW/ton (COP=5.77) 2015 ASHRAE Standard, Water-cooled, positive displacement &gt;300 tons</t>
  </si>
  <si>
    <t>0.70 kW/ton (COP=5.06) 2015 ASHRAE Standard, Water-cooled, centrifugal &lt;150 tons</t>
  </si>
  <si>
    <t>0.64 kW/ton (COP=5.54) 2015 ASHRAE Standard, Water-cooled, centrifugal 150-300 tons</t>
  </si>
  <si>
    <t>0.60 kW/ton (COP=5.91) 2015 ASHRAE Standard, Water-cooled, centrifugral &gt;300 tons</t>
  </si>
  <si>
    <t>B7</t>
  </si>
  <si>
    <t>US Interconnect Power Grid Region</t>
  </si>
  <si>
    <t>T&amp;D Loss %</t>
  </si>
  <si>
    <t>US Average</t>
  </si>
  <si>
    <t>Eastern Interconnect</t>
  </si>
  <si>
    <t>Western Interconnect</t>
  </si>
  <si>
    <t>ERCOT</t>
  </si>
  <si>
    <t>Alaska</t>
  </si>
  <si>
    <t>Hawaii</t>
  </si>
  <si>
    <t>Displaced Thermal Calculation</t>
  </si>
  <si>
    <t>Selected Thermal Source</t>
  </si>
  <si>
    <t>Fuel used in displaced boiler</t>
  </si>
  <si>
    <t>Boiler Eff</t>
  </si>
  <si>
    <t>NOx lb/MMBtu</t>
  </si>
  <si>
    <t>Sulfur content</t>
  </si>
  <si>
    <t>SO2 lb/MMBtu</t>
  </si>
  <si>
    <t>CO2 lb/MMBtu</t>
  </si>
  <si>
    <t>Fuel MMBtu/ton</t>
  </si>
  <si>
    <t>CH4 lb/MMBtu</t>
  </si>
  <si>
    <t>N2O lb/MMBtu</t>
  </si>
  <si>
    <t>Existing - Natural Gas</t>
  </si>
  <si>
    <t>Existing - Distillate Oil</t>
  </si>
  <si>
    <t>Existing - Residual Oil</t>
  </si>
  <si>
    <t>Existing - Coal</t>
  </si>
  <si>
    <t>New - Natural Gas</t>
  </si>
  <si>
    <t>New - Distillate Oil</t>
  </si>
  <si>
    <t>New - Residual Oil</t>
  </si>
  <si>
    <t>New - Coal</t>
  </si>
  <si>
    <t>Existing - Propane</t>
  </si>
  <si>
    <t>New - Propane</t>
  </si>
  <si>
    <t>Boiler Efficiency</t>
  </si>
  <si>
    <t>Sulfur Content</t>
  </si>
  <si>
    <t>CHP Technologies</t>
  </si>
  <si>
    <t>Selected</t>
  </si>
  <si>
    <t>Technology</t>
  </si>
  <si>
    <t>Capacity (kW)</t>
  </si>
  <si>
    <t>CapLow (kW)</t>
  </si>
  <si>
    <t>CapHigh (kW)</t>
  </si>
  <si>
    <t>Misc</t>
  </si>
  <si>
    <t>Fuel</t>
  </si>
  <si>
    <t xml:space="preserve">Waste Heat  </t>
  </si>
  <si>
    <t>%</t>
  </si>
  <si>
    <t>Btu/kWh LHV</t>
  </si>
  <si>
    <t>P/H ratio</t>
  </si>
  <si>
    <t>NOx ppm</t>
  </si>
  <si>
    <t>NOx gm/hp-hr</t>
  </si>
  <si>
    <t>Detailed</t>
  </si>
  <si>
    <t>Recip Rich Burn</t>
  </si>
  <si>
    <t>Catalyst</t>
  </si>
  <si>
    <t>Recip Lean Burn</t>
  </si>
  <si>
    <t>Recip Diesel</t>
  </si>
  <si>
    <t>Diesel</t>
  </si>
  <si>
    <t>Natural gas</t>
  </si>
  <si>
    <t>ClearEdge SOFC</t>
  </si>
  <si>
    <t>FuelCell MCFC</t>
  </si>
  <si>
    <t>UTC PAFC</t>
  </si>
  <si>
    <t>User Defined</t>
  </si>
  <si>
    <t>CHP</t>
  </si>
  <si>
    <t>Duct Burner</t>
  </si>
  <si>
    <t>Duct Burner emissions data from:</t>
  </si>
  <si>
    <t>Solar Turbines Inc</t>
  </si>
  <si>
    <t>Absorbtion Cooler</t>
  </si>
  <si>
    <t>Recip Engine - Rich Burn, natural gas</t>
  </si>
  <si>
    <t>Recip Engine - Lean Burn, natural gas</t>
  </si>
  <si>
    <t>Absorption Chiller Data from:</t>
  </si>
  <si>
    <t>Application Engineering Manual for Integrated Systems Design</t>
  </si>
  <si>
    <t>Single Effect</t>
  </si>
  <si>
    <t>American Gas Cooling Center</t>
  </si>
  <si>
    <t>Double Effect</t>
  </si>
  <si>
    <t>March 1999</t>
  </si>
  <si>
    <t xml:space="preserve">eGRID2021 Version 1.0 NERC Region File (Year 2023 Data) </t>
  </si>
  <si>
    <t>SRNAMEPCAP</t>
  </si>
  <si>
    <t>SRHTIAN</t>
  </si>
  <si>
    <t>SRHTIOZ</t>
  </si>
  <si>
    <t>SRHTIANT</t>
  </si>
  <si>
    <t>SRHTIOZT</t>
  </si>
  <si>
    <t>SRNGENAN</t>
  </si>
  <si>
    <t>SRNGENOZ</t>
  </si>
  <si>
    <t>SRNOXAN</t>
  </si>
  <si>
    <t>SRNOXOZ</t>
  </si>
  <si>
    <t>SRSO2AN</t>
  </si>
  <si>
    <t>SRCO2AN</t>
  </si>
  <si>
    <t>SRCH4AN</t>
  </si>
  <si>
    <t>SRN2OAN</t>
  </si>
  <si>
    <t>SRCO2EQA</t>
  </si>
  <si>
    <t>SRHGAN</t>
  </si>
  <si>
    <t>SRNOXRTA</t>
  </si>
  <si>
    <t>SRNOXRTO</t>
  </si>
  <si>
    <t>SRSO2RTA</t>
  </si>
  <si>
    <t>SRCO2RTA</t>
  </si>
  <si>
    <t>SRCH4RTA</t>
  </si>
  <si>
    <t>SRN2ORTA</t>
  </si>
  <si>
    <t>SRC2ERTA</t>
  </si>
  <si>
    <t>SRHGRTA</t>
  </si>
  <si>
    <t>SRNOXRA</t>
  </si>
  <si>
    <t>SRNOXRO</t>
  </si>
  <si>
    <t>SRSO2RA</t>
  </si>
  <si>
    <t>SRCO2RA</t>
  </si>
  <si>
    <t>SRCH4RA</t>
  </si>
  <si>
    <t>SRN2ORA</t>
  </si>
  <si>
    <t>SRC2ERA</t>
  </si>
  <si>
    <t>SRHGRA</t>
  </si>
  <si>
    <t>SRNOXCRT</t>
  </si>
  <si>
    <t>SRNOXCRO</t>
  </si>
  <si>
    <t>SRSO2CRT</t>
  </si>
  <si>
    <t>SRCO2CRT</t>
  </si>
  <si>
    <t>SRCH4CRT</t>
  </si>
  <si>
    <t>SRN2OCRT</t>
  </si>
  <si>
    <t>SRC2ECRT</t>
  </si>
  <si>
    <t>SRHGCRT</t>
  </si>
  <si>
    <t>SRCNOXRT</t>
  </si>
  <si>
    <t>SRONOXRT</t>
  </si>
  <si>
    <t>SRGNOXRT</t>
  </si>
  <si>
    <t>SRFSNXRT</t>
  </si>
  <si>
    <t>SRCNXORT</t>
  </si>
  <si>
    <t>SRONXORT</t>
  </si>
  <si>
    <t>SRGNXORT</t>
  </si>
  <si>
    <t>SRFSNORT</t>
  </si>
  <si>
    <t>SRCSO2RT</t>
  </si>
  <si>
    <t>SROSO2RT</t>
  </si>
  <si>
    <t>SRGSO2RT</t>
  </si>
  <si>
    <t>SRFSS2RT</t>
  </si>
  <si>
    <t>SRCCO2RT</t>
  </si>
  <si>
    <t>SROCO2RT</t>
  </si>
  <si>
    <t>SRGCO2RT</t>
  </si>
  <si>
    <t>SRFSC2RT</t>
  </si>
  <si>
    <t>SRCCH4RT</t>
  </si>
  <si>
    <t>SROCH4RT</t>
  </si>
  <si>
    <t>SRGCH4RT</t>
  </si>
  <si>
    <t>SRFCH4RT</t>
  </si>
  <si>
    <t>SRCN2ORT</t>
  </si>
  <si>
    <t>SRON2ORT</t>
  </si>
  <si>
    <t>SRGN2ORT</t>
  </si>
  <si>
    <t>SRFN2ORT</t>
  </si>
  <si>
    <t>SRCC2ERT</t>
  </si>
  <si>
    <t>SROC2ERT</t>
  </si>
  <si>
    <t>SRGC2ERT</t>
  </si>
  <si>
    <t>SRFSC2ERT</t>
  </si>
  <si>
    <t>SRCHGRT</t>
  </si>
  <si>
    <t>SRFSHGRT</t>
  </si>
  <si>
    <t>SRCNOXR</t>
  </si>
  <si>
    <t>SRONOXR</t>
  </si>
  <si>
    <t>SRGNOXR</t>
  </si>
  <si>
    <t>SRFSNXR</t>
  </si>
  <si>
    <t>SRCNXOR</t>
  </si>
  <si>
    <t>SRONXOR</t>
  </si>
  <si>
    <t>SRGNXOR</t>
  </si>
  <si>
    <t>SRFSNOR</t>
  </si>
  <si>
    <t>SRCSO2R</t>
  </si>
  <si>
    <t>SROSO2R</t>
  </si>
  <si>
    <t>SRGSO2R</t>
  </si>
  <si>
    <t>SRFSS2R</t>
  </si>
  <si>
    <t>SRCCO2R</t>
  </si>
  <si>
    <t>SROCO2R</t>
  </si>
  <si>
    <t>SRGCO2R</t>
  </si>
  <si>
    <t>SRFSC2R</t>
  </si>
  <si>
    <t>SRCCH4R</t>
  </si>
  <si>
    <t>SROCH4R</t>
  </si>
  <si>
    <t>SRGCH4R</t>
  </si>
  <si>
    <t>SRFCH4R</t>
  </si>
  <si>
    <t>SRCN2OR</t>
  </si>
  <si>
    <t>SRON2OR</t>
  </si>
  <si>
    <t>SRGN2OR</t>
  </si>
  <si>
    <t>SRFN2OR</t>
  </si>
  <si>
    <t>SRCC2ER</t>
  </si>
  <si>
    <t>SROC2ER</t>
  </si>
  <si>
    <t>SRGC2ER</t>
  </si>
  <si>
    <t>SRFSC2ER</t>
  </si>
  <si>
    <t>SRCHGR</t>
  </si>
  <si>
    <t>SRFSHGR</t>
  </si>
  <si>
    <t>SRNBNOX</t>
  </si>
  <si>
    <t>SRNBNXO</t>
  </si>
  <si>
    <t>SRNBSO2</t>
  </si>
  <si>
    <t>SRNBCO2</t>
  </si>
  <si>
    <t>SRNBCH4</t>
  </si>
  <si>
    <t>SRNBN2O</t>
  </si>
  <si>
    <t>SRNBC2E</t>
  </si>
  <si>
    <t>SRNBHG</t>
  </si>
  <si>
    <t>SRGENACL</t>
  </si>
  <si>
    <t>SRGENAOL</t>
  </si>
  <si>
    <t>SRGENAGS</t>
  </si>
  <si>
    <t>SRGENANC</t>
  </si>
  <si>
    <t>SRGENAHY</t>
  </si>
  <si>
    <t>SRGENABM</t>
  </si>
  <si>
    <t>SRGENAWI</t>
  </si>
  <si>
    <t>SRGENASO</t>
  </si>
  <si>
    <t>SRGENAGT</t>
  </si>
  <si>
    <t>SRGENAOF</t>
  </si>
  <si>
    <t>SRGENAOP</t>
  </si>
  <si>
    <t>SRGENATN</t>
  </si>
  <si>
    <t>SRGENATR</t>
  </si>
  <si>
    <t>SRGENATH</t>
  </si>
  <si>
    <t>SRGENACY</t>
  </si>
  <si>
    <t>SRGENACN</t>
  </si>
  <si>
    <t>SRCLPR</t>
  </si>
  <si>
    <t>SROLPR</t>
  </si>
  <si>
    <t>SRGSPR</t>
  </si>
  <si>
    <t>SRNCPR</t>
  </si>
  <si>
    <t>SRHYPR</t>
  </si>
  <si>
    <t>SRBMPR</t>
  </si>
  <si>
    <t>SRWIPR</t>
  </si>
  <si>
    <t>SRSOPR</t>
  </si>
  <si>
    <t>SRGTPR</t>
  </si>
  <si>
    <t>SROFPR</t>
  </si>
  <si>
    <t>SROPPR</t>
  </si>
  <si>
    <t>SRTNPR</t>
  </si>
  <si>
    <t>SRTRPR</t>
  </si>
  <si>
    <t>SRTHPR</t>
  </si>
  <si>
    <t>SRCYPR</t>
  </si>
  <si>
    <t>SRCNPR</t>
  </si>
  <si>
    <t>SRNBGNCL</t>
  </si>
  <si>
    <t>SRNBGNOL</t>
  </si>
  <si>
    <t>SRNBGNGS</t>
  </si>
  <si>
    <t>SRNBGNNC</t>
  </si>
  <si>
    <t>SRNBGNHY</t>
  </si>
  <si>
    <t>SRNBGNBM</t>
  </si>
  <si>
    <t>SRNBGNWI</t>
  </si>
  <si>
    <t>SRNBGNSO</t>
  </si>
  <si>
    <t>SRNBGNGT</t>
  </si>
  <si>
    <t>SRNBGNOF</t>
  </si>
  <si>
    <t>SRNBGNOP</t>
  </si>
  <si>
    <t>SRNBCLPR</t>
  </si>
  <si>
    <t>SRNBOLPR</t>
  </si>
  <si>
    <t>SRNBGSPR</t>
  </si>
  <si>
    <t>SRNBNCPR</t>
  </si>
  <si>
    <t>SRNBHYPR</t>
  </si>
  <si>
    <t>SRNBBMPR</t>
  </si>
  <si>
    <t>SRNBWIPR</t>
  </si>
  <si>
    <t>SRNBSOPR</t>
  </si>
  <si>
    <t>SRNBGTPR</t>
  </si>
  <si>
    <t>SRNBOFPR</t>
  </si>
  <si>
    <t>SRNBOPPR</t>
  </si>
  <si>
    <t>eGRID subregion nameplate capacity (MW)</t>
  </si>
  <si>
    <t>eGRID subregion annual heat input from combustion (MMBtu)</t>
  </si>
  <si>
    <t>eGRID subregion ozone season heat input from combustion (MMBtu)</t>
  </si>
  <si>
    <t>eGRID subregion total annual heat input (MMBtu)</t>
  </si>
  <si>
    <t>eGRID subregion total ozone season heat input (MMBtu)</t>
  </si>
  <si>
    <t>eGRID subregion annual net generation (MWh)</t>
  </si>
  <si>
    <t>eGRID subregion ozone season net generation (MWh)</t>
  </si>
  <si>
    <t>eGRID subregion annual NOx emissions (tons)</t>
  </si>
  <si>
    <t>eGRID subregion ozone season NOx emissions (tons)</t>
  </si>
  <si>
    <t>eGRID subregion annual SO2 emissions (tons)</t>
  </si>
  <si>
    <t>eGRID subregion annual CO2 emissions (tons)</t>
  </si>
  <si>
    <t>eGRID subregion annual CH4 emissions (lbs)</t>
  </si>
  <si>
    <t>eGRID subregion annual N2O emissions (lbs)</t>
  </si>
  <si>
    <t>eGRID subregion annual CO2 equivalent emissions (tons)</t>
  </si>
  <si>
    <t>eGRID subregion annual Hg emissions (lbs)</t>
  </si>
  <si>
    <t>eGRID subregion annual NOx total output emission rate (lb/MWh)</t>
  </si>
  <si>
    <t>eGRID subregion ozone season NOx total output emission rate (lb/MWh)</t>
  </si>
  <si>
    <t>eGRID subregion annual SO2 total output emission rate (lb/MWh)</t>
  </si>
  <si>
    <t>eGRID subregion annual CO2 total output emission rate (lb/MWh)</t>
  </si>
  <si>
    <t>eGRID subregion annual CH4 total output emission rate (lb/MWh)</t>
  </si>
  <si>
    <t>eGRID subregion annual N2O total output emission rate (lb/MWh)</t>
  </si>
  <si>
    <t>eGRID subregion annual CO2 equivalent total output emission rate (lb/MWh)</t>
  </si>
  <si>
    <t>eGRID subregion annual Hg total output emission rate (lb/MWh)</t>
  </si>
  <si>
    <t>eGRID subregion annual NOx input emission rate (lb/MMBtu)</t>
  </si>
  <si>
    <t>eGRID subregion ozone season NOx input emission rate (lb/MMBtu)</t>
  </si>
  <si>
    <t>eGRID subregion annual SO2 input emission rate (lb/MMBtu)</t>
  </si>
  <si>
    <t>eGRID subregion annual CO2 input emission rate (lb/MMBtu)</t>
  </si>
  <si>
    <t>eGRID subregion annual CH4 input emission rate (lb/MMBtu)</t>
  </si>
  <si>
    <t>eGRID subregion annual N2O input emission rate (lb/MMBtu)</t>
  </si>
  <si>
    <t>eGRID subregion annual CO2 equivalent input emission rate (lb/MMBtu)</t>
  </si>
  <si>
    <t>eGRID subregion annual Hg input emission rate (lb/MMBtu)</t>
  </si>
  <si>
    <t>eGRID subregion annual NOx combustion output emission rate (lb/MWh)</t>
  </si>
  <si>
    <t>eGRID subregion ozone season NOx combustion output emission rate (lb/MWh)</t>
  </si>
  <si>
    <t>eGRID subregion annual SO2 combustion output emission rate (lb/MWh)</t>
  </si>
  <si>
    <t>eGRID subregion annual CO2 combustion output emission rate (lb/MWh)</t>
  </si>
  <si>
    <t>eGRID subregion annual CH4 combustion output emission rate (lb/MWh)</t>
  </si>
  <si>
    <t>eGRID subregion annual N2O combustion output emission rate (lb/MWh)</t>
  </si>
  <si>
    <t>eGRID subregion annual CO2 equivalent combustion output emission rate (lb/MWh)</t>
  </si>
  <si>
    <t>eGRID subregion annual Hg combustion output emission rate (lb/MWh)</t>
  </si>
  <si>
    <t>eGRID subregion annual NOx coal output emission rate (lb/MWh)</t>
  </si>
  <si>
    <t>eGRID subregion annual NOx oil output emission rate (lb/MWh)</t>
  </si>
  <si>
    <t>eGRID subregion annual NOx gas output emission rate (lb/MWh)</t>
  </si>
  <si>
    <t>eGRID subregion annual NOx fossil fuel output emission rate (lb/MWh)</t>
  </si>
  <si>
    <t>eGRID subregion ozone season NOx coal output emission rate (lb/MWh)</t>
  </si>
  <si>
    <t>eGRID subregion ozone season NOx oil output emission rate (lb/MWh)</t>
  </si>
  <si>
    <t>eGRID subregion ozone season NOx gas output emission rate (lb/MWh)</t>
  </si>
  <si>
    <t>eGRID subregion ozone season NOx fossil fuel output emission rate (lb/MWh)</t>
  </si>
  <si>
    <t>eGRID subregion annual SO2 coal output emission rate (lb/MWh)</t>
  </si>
  <si>
    <t>eGRID subregion annual SO2 oil output emission rate (lb/MWh)</t>
  </si>
  <si>
    <t>eGRID subregion annual SO2 gas output emission rate (lb/MWh)</t>
  </si>
  <si>
    <t>eGRID subregion annual SO2 fossil fuel output emission rate (lb/MWh)</t>
  </si>
  <si>
    <t>eGRID subregion annual CO2 coal output emission rate (lb/MWh)</t>
  </si>
  <si>
    <t>eGRID subregion annual CO2 oil output emission rate (lb/MWh)</t>
  </si>
  <si>
    <t>eGRID subregion annual CO2 gas output emission rate (lb/MWh)</t>
  </si>
  <si>
    <t>eGRID subregion annual CO2 fossil fuel output emission rate (lb/MWh)</t>
  </si>
  <si>
    <t>eGRID subregion annual CH4 coal output emission rate (lb/MWh)</t>
  </si>
  <si>
    <t>eGRID subregion annual CH4 oil output emission rate (lb/MWh)</t>
  </si>
  <si>
    <t>eGRID subregion annual CH4 gas output emission rate (lb/MWh)</t>
  </si>
  <si>
    <t>eGRID subregion annual CH4 fossil fuel output emission rate (lb/MWh)</t>
  </si>
  <si>
    <t>eGRID subregion annual N2O coal output emission rate (lb/MWh)</t>
  </si>
  <si>
    <t>eGRID subregion annual N2O oil output emission rate (lb/MWh)</t>
  </si>
  <si>
    <t>eGRID subregion annual N2O gas output emission rate (lb/MWh)</t>
  </si>
  <si>
    <t>eGRID subregion annual N2O fossil fuel output emission rate (lb/MWh)</t>
  </si>
  <si>
    <t>eGRID subregion annual CO2 equivalent coal output emission rate (lb/MWh)</t>
  </si>
  <si>
    <t>eGRID subregion annual CO2 equivalent oil output emission rate (lb/MWh)</t>
  </si>
  <si>
    <t>eGRID subregion annual CO2 equivalent gas output emission rate (lb/MWh)</t>
  </si>
  <si>
    <t>eGRID subregion annual CO2 equivalent fossil fuel output emission rate (lb/MWh)</t>
  </si>
  <si>
    <t>eGRID subregion annual Hg coal output emission rate (lb/MWh)</t>
  </si>
  <si>
    <t>eGRID subregion annual Hg fossil fuel output emission rate (lb/MWh)</t>
  </si>
  <si>
    <t>eGRID subregion annual NOx coal input emission rate (lb/MMBtu)</t>
  </si>
  <si>
    <t>eGRID subregion annual NOx oil input emission rate (lb/MMBtu)</t>
  </si>
  <si>
    <t>eGRID subregion annual NOx gas input emission rate (lb/MMBtu)</t>
  </si>
  <si>
    <t>eGRID subregion annual NOx fossil fuel input emission rate (lb/MMBtu)</t>
  </si>
  <si>
    <t>eGRID subregion ozone season NOx coal input emission rate (lb/MMBtu)</t>
  </si>
  <si>
    <t>eGRID subregion ozone season NOx oil input emission rate (lb/MMBtu)</t>
  </si>
  <si>
    <t>eGRID subregion ozone season NOx gas input emission rate (lb/MMBtu)</t>
  </si>
  <si>
    <t>eGRID subregion ozone season NOx fossil fuel input emission rate (lb/MMBtu)</t>
  </si>
  <si>
    <t>eGRID subregion annual SO2 coal input emission rate (lb/MMBtu)</t>
  </si>
  <si>
    <t>eGRID subregion annual SO2 oil input emission rate (lb/MMBtu)</t>
  </si>
  <si>
    <t>eGRID subregion annual SO2 gas input emission rate (lb/MMBtu)</t>
  </si>
  <si>
    <t>eGRID subregion annual SO2 fossil fuel input emission rate (lb/MMBtu)</t>
  </si>
  <si>
    <t>eGRID subregion annual CO2 coal input emission rate (lb/MMBtu)</t>
  </si>
  <si>
    <t>eGRID subregion annual CO2 oil input emission rate (lb/MMBtu)</t>
  </si>
  <si>
    <t>eGRID subregion annual CO2 gas input emission rate (lb/MMBtu)</t>
  </si>
  <si>
    <t>eGRID subregion annual CO2 fossil fuel input emission rate (lb/MMBtu)</t>
  </si>
  <si>
    <t>eGRID subregion annual CH4 coal input emission rate (lb/MMBtu)</t>
  </si>
  <si>
    <t>eGRID subregion annual CH4 oil input emission rate (lb/MMBtu)</t>
  </si>
  <si>
    <t>eGRID subregion annual CH4 gas input emission rate (lb/MMBtu)</t>
  </si>
  <si>
    <t>eGRID subregion annual CH4 fossil fuel input emission rate (lb/MMBtu)</t>
  </si>
  <si>
    <t>eGRID subregion annual N2O coal input emission rate (lb/MMBtu)</t>
  </si>
  <si>
    <t>eGRID subregion annual N2O oil input emission rate (lb/MMBtu)</t>
  </si>
  <si>
    <t>eGRID subregion annual N2O gas input emission rate (lb/MMBtu)</t>
  </si>
  <si>
    <t>eGRID subregion annual N2O fossil fuel input emission rate (lb/MMBtu)</t>
  </si>
  <si>
    <t>eGRID subregion annual CO2 equivalent coal input emission rate (lb/MMBtu)</t>
  </si>
  <si>
    <t>eGRID subregion annual CO2 equivalent oil input emission rate (lb/MMBtu)</t>
  </si>
  <si>
    <t>eGRID subregion annual CO2 equivalent gas input emission rate (lb/MMBtu)</t>
  </si>
  <si>
    <t>eGRID subregion annual CO2 equivalent fossil fuel input emission rate (lb/MMBtu)</t>
  </si>
  <si>
    <t>eGRID subregion annual Hg coal input emission rate (lb/MMBtu)</t>
  </si>
  <si>
    <t>eGRID subregion annual Hg fossil fuel input emission rate (lb/MMBtu)</t>
  </si>
  <si>
    <t>eGRID subregion annual NOx non-baseload output emission rate (lb/MWh)</t>
  </si>
  <si>
    <t>eGRID subregion ozone season NOx non-baseload output emission rate (lb/MWh)</t>
  </si>
  <si>
    <t xml:space="preserve">eGRID subregion annual SO2 non-baseload output emission rate (lb/MWh) </t>
  </si>
  <si>
    <t xml:space="preserve">eGRID subregion annual CO2 non-baseload output emission rate (lb/MWh) </t>
  </si>
  <si>
    <t>eGRID subregion annual CH4 non-baseload output emission rate (lb/MWh)</t>
  </si>
  <si>
    <t>eGRID subregion annual N2O non-baseload output emission rate (lb/MWh)</t>
  </si>
  <si>
    <t>eGRID subregion annual CO2e non-baseload output emission rate (lb/MWh)</t>
  </si>
  <si>
    <t>eGRID subregion annual Hg non-baseload output emission rate (lb/MWh)</t>
  </si>
  <si>
    <t>eGRID subregion annual coal net generation (MWh)</t>
  </si>
  <si>
    <t>eGRID subregion annual oil net generation (MWh)</t>
  </si>
  <si>
    <t>eGRID subregion annual gas net generation (MWh)</t>
  </si>
  <si>
    <t>eGRID subregion annual nuclear net generation (MWh)</t>
  </si>
  <si>
    <t>eGRID subregion annual hydro net generation (MWh)</t>
  </si>
  <si>
    <t>eGRID subregion annual biomass net generation (MWh)</t>
  </si>
  <si>
    <t>eGRID subregion annual wind net generation (MWh)</t>
  </si>
  <si>
    <t>eGRID subregion annual solar net generation (MWh)</t>
  </si>
  <si>
    <t>eGRID subregion annual geothermal net generation (MWh)</t>
  </si>
  <si>
    <t>eGRID subregion annual other fossil net generation (MWh)</t>
  </si>
  <si>
    <t>eGRID subregion annual other unknown/ purchased fuel net generation (MWh)</t>
  </si>
  <si>
    <t>eGRID subregion annual total nonrenewables net generation (MWh)</t>
  </si>
  <si>
    <t>eGRID subregion annual total renewables net generation (MWh)</t>
  </si>
  <si>
    <t>eGRID subregion annual total nonhydro renewables net generation (MWh)</t>
  </si>
  <si>
    <t>eGRID subregion annual total combustion net generation (MWh)</t>
  </si>
  <si>
    <t>eGRID subregion annual total noncombustion net generation (MWh)</t>
  </si>
  <si>
    <t>eGRID subregion coal generation percent (resource mix)</t>
  </si>
  <si>
    <t>eGRID subregion oil generation percent (resource mix)</t>
  </si>
  <si>
    <t>eGRID subregion gas generation percent (resource mix)</t>
  </si>
  <si>
    <t>eGRID subregion nuclear generation percent (resource mix)</t>
  </si>
  <si>
    <t>eGRID subregion hydro generation percent (resource mix)</t>
  </si>
  <si>
    <t>eGRID subregion biomass generation percent (resource mix)</t>
  </si>
  <si>
    <t>eGRID subregion wind generation percent (resource mix)</t>
  </si>
  <si>
    <t>eGRID subregion solar generation percent (resource mix)</t>
  </si>
  <si>
    <t>eGRID subregion geothermal generation percent (resource mix)</t>
  </si>
  <si>
    <t>eGRID subregion other fossil generation percent (resource mix)</t>
  </si>
  <si>
    <t>eGRID subregion other unknown/ purchased fuel generation percent (resource mix)</t>
  </si>
  <si>
    <t>eGRID subregion total nonrenewables generation percent (resource mix)</t>
  </si>
  <si>
    <t>eGRID subregion total renewables generation percent (resource mix)</t>
  </si>
  <si>
    <t>eGRID subregion total nonhydro renewables generation percent (resource mix)</t>
  </si>
  <si>
    <t>eGRID subregion total combustion generation percent (resource mix)</t>
  </si>
  <si>
    <t>eGRID subregion total noncombustion generation percent (resource mix)</t>
  </si>
  <si>
    <t>eGRID subregion annual nonbaseload coal net generation (MWh)</t>
  </si>
  <si>
    <t>eGRID subregion annual nonbaseload oil net generation (MWh)</t>
  </si>
  <si>
    <t>eGRID subregion annual nonbaseload gas net generation (MWh)</t>
  </si>
  <si>
    <t>eGRID subregion annual nonbaseload nuclear net generation (MWh)</t>
  </si>
  <si>
    <t>eGRID subregion annual nonbaseload hydro net generation (MWh)</t>
  </si>
  <si>
    <t>eGRID subregion annual nonbaseload biomass net generation (MWh)</t>
  </si>
  <si>
    <t>eGRID subregion annual nonbaseload wind net generation (MWh)</t>
  </si>
  <si>
    <t>eGRID subregion annual nonbaseload solar net generation (MWh)</t>
  </si>
  <si>
    <t>eGRID subregion annual nonbaseload geothermal net generation (MWh)</t>
  </si>
  <si>
    <t>eGRID subregion annual nonbaseload other fossil net generation (MWh)</t>
  </si>
  <si>
    <t>eGRID subregion annual nonbaseload other unknown/ purchased fuel net generation (MWh)</t>
  </si>
  <si>
    <t>eGRID subregion nonbaseload coal generation percent (resource mix)</t>
  </si>
  <si>
    <t>eGRID subregion nonbaseload oil generation percent (resource mix)</t>
  </si>
  <si>
    <t>eGRID subregion nonbaseload gas generation percent (resource mix)</t>
  </si>
  <si>
    <t>eGRID subregion nonbaseload nuclear generation percent (resource mix)</t>
  </si>
  <si>
    <t>eGRID subregion nonbaseload hydro generation percent (resource mix)</t>
  </si>
  <si>
    <t>eGRID subregion nonbaseload biomass generation percent (resource mix)</t>
  </si>
  <si>
    <t>eGRID subregion nonbaseload wind generation percent (resource mix)</t>
  </si>
  <si>
    <t>eGRID subregion nonbaseload solar generation percent (resource mix)</t>
  </si>
  <si>
    <t>eGRID subregion nonbaseload geothermal generation percent (resource mix)</t>
  </si>
  <si>
    <t>eGRID subregion nonbaseload other fossil generation percent (resource mix)</t>
  </si>
  <si>
    <t>eGRID subregion nonbaseload other unknown/ purchased fuel generation percent (resource mix)</t>
  </si>
  <si>
    <t>STHTIAN</t>
  </si>
  <si>
    <t>STHTIOZ</t>
  </si>
  <si>
    <t>STNGENAN</t>
  </si>
  <si>
    <t>STNGENOZ</t>
  </si>
  <si>
    <t>STNOXAN</t>
  </si>
  <si>
    <t>STNOXOZ</t>
  </si>
  <si>
    <t>STSO2AN</t>
  </si>
  <si>
    <t>STCO2AN</t>
  </si>
  <si>
    <t>STCH4AN</t>
  </si>
  <si>
    <t>STN2OAN</t>
  </si>
  <si>
    <t>STCO2EQA</t>
  </si>
  <si>
    <t>STHGAN</t>
  </si>
  <si>
    <t>STNOXRTA</t>
  </si>
  <si>
    <t>STNOXRTO</t>
  </si>
  <si>
    <t>STSO2RTA</t>
  </si>
  <si>
    <t>STCO2RTA</t>
  </si>
  <si>
    <t>STCH4RTA</t>
  </si>
  <si>
    <t>STN2ORTA</t>
  </si>
  <si>
    <t>STC2ERTA</t>
  </si>
  <si>
    <t>STHGRTA</t>
  </si>
  <si>
    <t>STNOXRA</t>
  </si>
  <si>
    <t>STNOXRO</t>
  </si>
  <si>
    <t>STSO2RA</t>
  </si>
  <si>
    <t>STCO2RA</t>
  </si>
  <si>
    <t>STHGRA</t>
  </si>
  <si>
    <t>STNOXCRT</t>
  </si>
  <si>
    <t>STNOXCRO</t>
  </si>
  <si>
    <t>STSO2CRT</t>
  </si>
  <si>
    <t>STCO2CRT</t>
  </si>
  <si>
    <t>STCH4CRT</t>
  </si>
  <si>
    <t>STN2OCRT</t>
  </si>
  <si>
    <t>STHGCRT</t>
  </si>
  <si>
    <t>STCNOXRT</t>
  </si>
  <si>
    <t>STONOXRT</t>
  </si>
  <si>
    <t>STGNOXRT</t>
  </si>
  <si>
    <t>STFSNXRT</t>
  </si>
  <si>
    <t>STCNXORT</t>
  </si>
  <si>
    <t>STONXORT</t>
  </si>
  <si>
    <t>STGNXORT</t>
  </si>
  <si>
    <t>STFSNORT</t>
  </si>
  <si>
    <t>STCSO2RT</t>
  </si>
  <si>
    <t>STOSO2RT</t>
  </si>
  <si>
    <t>STGSO2RT</t>
  </si>
  <si>
    <t>STFSS2RT</t>
  </si>
  <si>
    <t>STCCO2RT</t>
  </si>
  <si>
    <t>STOCO2RT</t>
  </si>
  <si>
    <t>STGCO2RT</t>
  </si>
  <si>
    <t>STFSC2RT</t>
  </si>
  <si>
    <t>STCHGRT</t>
  </si>
  <si>
    <t>STFSHGRT</t>
  </si>
  <si>
    <t>STCNOXR</t>
  </si>
  <si>
    <t>STONOXR</t>
  </si>
  <si>
    <t>STGNOXR</t>
  </si>
  <si>
    <t>STFSNXR</t>
  </si>
  <si>
    <t>STCNXOR</t>
  </si>
  <si>
    <t>STONXOR</t>
  </si>
  <si>
    <t>STGNXOR</t>
  </si>
  <si>
    <t>STFSNOR</t>
  </si>
  <si>
    <t>STCSO2R</t>
  </si>
  <si>
    <t>STOSO2R</t>
  </si>
  <si>
    <t>STGSO2R</t>
  </si>
  <si>
    <t>STFSS2R</t>
  </si>
  <si>
    <t>STCCO2R</t>
  </si>
  <si>
    <t>STOCO2R</t>
  </si>
  <si>
    <t>STGCO2R</t>
  </si>
  <si>
    <t>STFSC2R</t>
  </si>
  <si>
    <t>STCHGR</t>
  </si>
  <si>
    <t>STFSHGR</t>
  </si>
  <si>
    <t>STNBNOX</t>
  </si>
  <si>
    <t>STNBNXO</t>
  </si>
  <si>
    <t>STNBSO2</t>
  </si>
  <si>
    <t>STNBCO2</t>
  </si>
  <si>
    <t>STNBCH4</t>
  </si>
  <si>
    <t>STNBN2O</t>
  </si>
  <si>
    <t>STNBHG</t>
  </si>
  <si>
    <t>STGENACL</t>
  </si>
  <si>
    <t>STGENAOL</t>
  </si>
  <si>
    <t>STGENAGS</t>
  </si>
  <si>
    <t>STGENANC</t>
  </si>
  <si>
    <t>STGENAHY</t>
  </si>
  <si>
    <t>STGENABM</t>
  </si>
  <si>
    <t>STGENAWI</t>
  </si>
  <si>
    <t>STGENASO</t>
  </si>
  <si>
    <t>STGENAGT</t>
  </si>
  <si>
    <t>STGENAOF</t>
  </si>
  <si>
    <t>STGENAOP</t>
  </si>
  <si>
    <t>STGENATN</t>
  </si>
  <si>
    <t>STGENATR</t>
  </si>
  <si>
    <t>STGENATH</t>
  </si>
  <si>
    <t>STGENACY</t>
  </si>
  <si>
    <t>STGENACN</t>
  </si>
  <si>
    <t>STCLPR</t>
  </si>
  <si>
    <t>STOLPR</t>
  </si>
  <si>
    <t>STGSPR</t>
  </si>
  <si>
    <t>STNCPR</t>
  </si>
  <si>
    <t>STHYPR</t>
  </si>
  <si>
    <t>STBMPR</t>
  </si>
  <si>
    <t>STWIPR</t>
  </si>
  <si>
    <t>STSOPR</t>
  </si>
  <si>
    <t>STGTPR</t>
  </si>
  <si>
    <t>STOFPR</t>
  </si>
  <si>
    <t>STOPPR</t>
  </si>
  <si>
    <t>STTNPR</t>
  </si>
  <si>
    <t>STTRPR</t>
  </si>
  <si>
    <t>STTHPR</t>
  </si>
  <si>
    <t>STCYPR</t>
  </si>
  <si>
    <t>STCNPR</t>
  </si>
  <si>
    <t>STAHR</t>
  </si>
  <si>
    <t>SEQST99
State sequence number</t>
  </si>
  <si>
    <t>PSTATABB
State abbreviation</t>
  </si>
  <si>
    <t>FIPST
FIPS State code</t>
  </si>
  <si>
    <t>State nameplate capacity (MW)</t>
  </si>
  <si>
    <t>State annual heat input (MMBtu)</t>
  </si>
  <si>
    <t>State ozone season heat input (MMBtu)</t>
  </si>
  <si>
    <t>State annual net generation (MWh)</t>
  </si>
  <si>
    <t>State ozone season net generation (MWh)</t>
  </si>
  <si>
    <t>State annual NOx emissions (tons)</t>
  </si>
  <si>
    <t>State ozone season NOx emissions (tons)</t>
  </si>
  <si>
    <t>State annual SO2 emissions (tons)</t>
  </si>
  <si>
    <t>State annual CO2 emissions (tons)</t>
  </si>
  <si>
    <t>State annual CH4 emissions (lbs)</t>
  </si>
  <si>
    <t>State annual N2O emissions (lbs)</t>
  </si>
  <si>
    <t>State annual CO2 equivalent emissions (tons)</t>
  </si>
  <si>
    <t>State annual Hg emissions (lbs)</t>
  </si>
  <si>
    <t>State annual NOx total output emission rate (lb/MWh)</t>
  </si>
  <si>
    <t>State ozone season NOx total output emission rate (lb/MWh)</t>
  </si>
  <si>
    <t>State annual SO2 total output emission rate (lb/MWh)</t>
  </si>
  <si>
    <t>State annual CO2 total output emission rate (lb/MWh)</t>
  </si>
  <si>
    <t>State annual CH4 total output emission rate (lb/MWh)</t>
  </si>
  <si>
    <t>State annual N2O total output emission rate (lb/MWh)</t>
  </si>
  <si>
    <t>State annual CO2 equivalent total output emission rate (lb/MWh)</t>
  </si>
  <si>
    <t>State annual Hg total output emission rate (lb/GWh)</t>
  </si>
  <si>
    <t>State annual NOx input emission rate (lb/MMBtu)</t>
  </si>
  <si>
    <t>State ozone season NOx input emission rate (lb/MMBtu)</t>
  </si>
  <si>
    <t>State annual SO2 input emission rate (lb/MMBtu)</t>
  </si>
  <si>
    <t>State annual CO2 input emission rate (lb/MMBtu)</t>
  </si>
  <si>
    <t>State annual Hg input emission rate (lb/BBtu)</t>
  </si>
  <si>
    <t>State annual NOx combustion output emission rate (lb/MWh)</t>
  </si>
  <si>
    <t>State ozone season NOx combustion output emission rate (lb/MWh)</t>
  </si>
  <si>
    <t>State annual SO2 combustion output emission rate (lb/MWh)</t>
  </si>
  <si>
    <t>State annual CO2 combustion output emission rate (lb/MWh)</t>
  </si>
  <si>
    <t>State annual CH4 combustion output emission rate (lb/MWh)</t>
  </si>
  <si>
    <t>State annual N2O combustion output emission rate (lb/MWh)</t>
  </si>
  <si>
    <t>State annual Hg combustion output emission rate (lb/GWh)</t>
  </si>
  <si>
    <t>State annual NOx coal output emission rate (lb/MWh)</t>
  </si>
  <si>
    <t>State annual NOx oil output emission rate (lb/MWh)</t>
  </si>
  <si>
    <t>State annual NOx gas output emission rate (lb/MWh)</t>
  </si>
  <si>
    <t>State annual NOx fossil fuel output emission rate (lb/MWh)</t>
  </si>
  <si>
    <t>State ozone season NOx coal output emission rate (lb/MWh)</t>
  </si>
  <si>
    <t>State ozone season NOx oil output emission rate (lb/MWh)</t>
  </si>
  <si>
    <t>State ozone season NOx gas output emission rate (lb/MWh)</t>
  </si>
  <si>
    <t>State ozone season NOx fossil fuel output emission rate (lb/MWh)</t>
  </si>
  <si>
    <t>State annual SO2 coal output emission rate (lb/MWh)</t>
  </si>
  <si>
    <t>State annual SO2 oil output emission rate (lb/MWh)</t>
  </si>
  <si>
    <t>State annual SO2 gas output emission rate (lb/MWh)</t>
  </si>
  <si>
    <t>State annual SO2 fossil fuel output emission rate (lb/MWh)</t>
  </si>
  <si>
    <t>State annual CO2 coal output emission rate (lb/MWh)</t>
  </si>
  <si>
    <t>State annual CO2 oil output emission rate (lb/MWh)</t>
  </si>
  <si>
    <t>State annual CO2 gas output emission rate (lb/MWh)</t>
  </si>
  <si>
    <t>State annual CO2 fossil fuel output emission rate (lb/MWh)</t>
  </si>
  <si>
    <t>State annual Hg coal output emission rate (lb/GWh)</t>
  </si>
  <si>
    <t>State annual Hg fossil fuel output emission rate (lb/GWh)</t>
  </si>
  <si>
    <t>State annual NOx coal input emission rate (lb/MMBtu)</t>
  </si>
  <si>
    <t>State annual NOx oil input emission rate (lb/MMBtu)</t>
  </si>
  <si>
    <t>State annual NOx gas input emission rate (lb/MMBtu)</t>
  </si>
  <si>
    <t>State annual NOx fossil fuel input emission rate (lb/MMBtu)</t>
  </si>
  <si>
    <t>State ozone season NOx coal input emission rate (lb/MMBtu)</t>
  </si>
  <si>
    <t>State ozone season NOx oil input emission rate (lb/MMBtu)</t>
  </si>
  <si>
    <t>State ozone season NOx gas input emission rate (lb/MMBtu)</t>
  </si>
  <si>
    <t>State ozone season NOx fossil fuel input emission rate (lb/MMBtu)</t>
  </si>
  <si>
    <t>State annual SO2 coal input emission rate (lb/MMBtu)</t>
  </si>
  <si>
    <t>State annual SO2 oil input emission rate (lb/MMBtu)</t>
  </si>
  <si>
    <t>State annual SO2 gas input emission rate (lb/MMBtu)</t>
  </si>
  <si>
    <t>State annual SO2 fossil fuel input emission rate (lb/MMBtu)</t>
  </si>
  <si>
    <t>State annual CO2 coal input emission rate (lb/MMBtu)</t>
  </si>
  <si>
    <t>State annual CO2 oil input emission rate (lb/MMBtu)</t>
  </si>
  <si>
    <t>State annual CO2 gas input emission rate (lb/MMBtu)</t>
  </si>
  <si>
    <t>State annual CO2 fossil fuel input emission rate (lb/MMBtu)</t>
  </si>
  <si>
    <t>State annual Hg coal input emission rate (lb/BBtu)</t>
  </si>
  <si>
    <t>State annual Hg fossil fuel input emission rate (lb/BBtu)</t>
  </si>
  <si>
    <t>State annual NOx non-baseload output emission rate (lb/MWh)</t>
  </si>
  <si>
    <t>State ozone season NOx non-baseload output emission rate (lb/MWh)</t>
  </si>
  <si>
    <t xml:space="preserve">State annual SO2 non-baseload output emission rate (lb/MWh) </t>
  </si>
  <si>
    <t xml:space="preserve">State annual CO2 non-baseload  output emission rate (lb/MWh) </t>
  </si>
  <si>
    <t>State annual CH4 non-baseload output emission rate (lb/MWh)</t>
  </si>
  <si>
    <t>State annual N2O non-baseload output emission rate (lb/MWh)</t>
  </si>
  <si>
    <t>eGRID subregion annual CO2 equivalent non-baseload output emission rate (lb/MWh)</t>
  </si>
  <si>
    <t xml:space="preserve">State annual Hg non-baseload  output emission rate (lb/GWh) </t>
  </si>
  <si>
    <t>State annual coal net generation (MWh)</t>
  </si>
  <si>
    <t>State annual oil net generation (MWh)</t>
  </si>
  <si>
    <t>State annual gas net generation (MWh)</t>
  </si>
  <si>
    <t>State annual nuclear net generation (MWh)</t>
  </si>
  <si>
    <t>State annual hydro net generation (MWh)</t>
  </si>
  <si>
    <t>State annual biomass net generation (MWh)</t>
  </si>
  <si>
    <t>State annual wind net generation (MWh)</t>
  </si>
  <si>
    <t>State annual solar net generation (MWh)</t>
  </si>
  <si>
    <t>State annual geothermal net generation (MWh)</t>
  </si>
  <si>
    <t>State annual other fossil net generation (MWh)</t>
  </si>
  <si>
    <t>State annual other unknown/ purchased fuel net generation (MWh)</t>
  </si>
  <si>
    <t>State annual total nonrenewables net generation (MWh)</t>
  </si>
  <si>
    <t>State annual total renewables net generation (MWh)</t>
  </si>
  <si>
    <t>State annual total nonhydro renewables net generation (MWh)</t>
  </si>
  <si>
    <t>State annual total combustion net generation (MWh)</t>
  </si>
  <si>
    <t>State annual total noncombustion net generation (MWh)</t>
  </si>
  <si>
    <t>State coal generation percent (resource mix)</t>
  </si>
  <si>
    <t>State oil generation percent (resource mix)</t>
  </si>
  <si>
    <t>State gas generation percent (resource mix)</t>
  </si>
  <si>
    <t>State nuclear generation percent (resource mix)</t>
  </si>
  <si>
    <t>State hydro generation percent (resource mix)</t>
  </si>
  <si>
    <t>State biomass generation percent (resource mix)</t>
  </si>
  <si>
    <t>State wind generation percent (resource mix)</t>
  </si>
  <si>
    <t>State solar generation percent (resource mix)</t>
  </si>
  <si>
    <t>State geothermal generation percent (resource mix)</t>
  </si>
  <si>
    <t>State other fossil  generation percent (resource mix)</t>
  </si>
  <si>
    <t>State other unknown/ purchased fuel generation percent (resource mix)</t>
  </si>
  <si>
    <t>State total nonrenewables generation percent (resource mix)</t>
  </si>
  <si>
    <t>State total renewables generation percent (resource mix)</t>
  </si>
  <si>
    <t>State total nonhydro renewables generation percent (resource mix)</t>
  </si>
  <si>
    <t>State total combustion generation percent (resource mix)</t>
  </si>
  <si>
    <t>State total noncombustion generation percent (resource mix)</t>
  </si>
  <si>
    <t>Total Annual Heat Rate (Btu/kWh)</t>
  </si>
  <si>
    <t>Fossil Annual Heat Rate (Btu/kWh)</t>
  </si>
  <si>
    <t>Non-Baseload Annual Heat Rate (Btu/kWh)</t>
  </si>
  <si>
    <t>Coal Annual Heat Rate (Btu/kWh)</t>
  </si>
  <si>
    <t>Oil Annual Heat Rate (Btu/kWh)</t>
  </si>
  <si>
    <t>Natural Gas Annual Heat Rate (Btu/kWh)</t>
  </si>
  <si>
    <t>Calculated Fossil CO2 - lb/MWh</t>
  </si>
  <si>
    <t>--</t>
  </si>
  <si>
    <t>Alaska Systems Coordinating Council</t>
  </si>
  <si>
    <t>Hawaiian Islands Coordinating Council</t>
  </si>
  <si>
    <t>Midwest Reliability Organization</t>
  </si>
  <si>
    <t>Northeast Power Coordinating Council</t>
  </si>
  <si>
    <t>Reliability First Corporation</t>
  </si>
  <si>
    <t>SERC Reliability Corporation</t>
  </si>
  <si>
    <t>Texas Regional Entity</t>
  </si>
  <si>
    <t>Western Electricity Coordinating Council</t>
  </si>
  <si>
    <t>Puerto Rico</t>
  </si>
  <si>
    <t>SEQST00
tate sequence number</t>
  </si>
  <si>
    <t>AVERT Region</t>
  </si>
  <si>
    <t>Avoided CO2 Rate (lb/MWh) </t>
  </si>
  <si>
    <t>Avoided NOx Rate (lb/MWh)</t>
  </si>
  <si>
    <t>Avoided SO2 Rate (lb/MWh)</t>
  </si>
  <si>
    <t>Avoided PM2.5 Rate (lb/MWh) </t>
  </si>
  <si>
    <t>Avoided CH4 (lb/MWh) </t>
  </si>
  <si>
    <t>Avoided N2O (lb/MWh) </t>
  </si>
  <si>
    <t>Calculated eGRID Annual Heat Rate (Btu/kWh)</t>
  </si>
  <si>
    <t>Heat Rate Calculation for AVERT Region with multiple eGRID Subregions</t>
  </si>
  <si>
    <t>eGRID Region 1 %</t>
  </si>
  <si>
    <t>eGRID Region 2 %</t>
  </si>
  <si>
    <t>eGRID Region 3 %</t>
  </si>
  <si>
    <t xml:space="preserve"> - </t>
  </si>
  <si>
    <t>Displaced Electricity</t>
  </si>
  <si>
    <t>NERC/AVERT Region</t>
  </si>
  <si>
    <t>NOx</t>
  </si>
  <si>
    <t>lb/MWh Average</t>
  </si>
  <si>
    <t>CH4</t>
  </si>
  <si>
    <t>SO2</t>
  </si>
  <si>
    <t>N2O</t>
  </si>
  <si>
    <t>CO2</t>
  </si>
  <si>
    <t>Btu/kWh Average</t>
  </si>
  <si>
    <t>CH4 lb/MWh</t>
  </si>
  <si>
    <t>N2O lb/MWh</t>
  </si>
  <si>
    <t>AVERT Uniform EE</t>
  </si>
  <si>
    <t>EGrid Annual Average</t>
  </si>
  <si>
    <t>EGrid Annual Fossil</t>
  </si>
  <si>
    <t>EGrid Annual Non-Baseload</t>
  </si>
  <si>
    <t>EGrid Annual Coal</t>
  </si>
  <si>
    <t>EGrid Annual Oil</t>
  </si>
  <si>
    <t>EGrid Annual Natural Gas</t>
  </si>
  <si>
    <t>Factors</t>
  </si>
  <si>
    <t>General Emission Factors</t>
  </si>
  <si>
    <t>gm/hp-hr to lb/MWh for recip engines</t>
  </si>
  <si>
    <t>ratio of carbon to CO2</t>
  </si>
  <si>
    <t>ratio of tonnes to tons</t>
  </si>
  <si>
    <t>metric tons of Carbon per home</t>
  </si>
  <si>
    <t>metric tons of Carbon per car</t>
  </si>
  <si>
    <t>Btu per ton of cooling capacity</t>
  </si>
  <si>
    <t>kWh per average U.S. home per year</t>
  </si>
  <si>
    <t>MMBtu/kWh</t>
  </si>
  <si>
    <t>gal/vehicle</t>
  </si>
  <si>
    <t>MMBtu/gal (gasoline)</t>
  </si>
  <si>
    <t>Oil</t>
  </si>
  <si>
    <t>Btu/gallon distillate oil</t>
  </si>
  <si>
    <t>lb/bbl distillate oil</t>
  </si>
  <si>
    <t>lb/gal</t>
  </si>
  <si>
    <t>distillate oil</t>
  </si>
  <si>
    <t>Btu/gallon residual oil</t>
  </si>
  <si>
    <t>lb/bbl residual oil</t>
  </si>
  <si>
    <t>lb/MMBtu CO2 emission factor</t>
  </si>
  <si>
    <t>ppm per lb/MMBtu LHV for diesel @15%O2</t>
  </si>
  <si>
    <t>ppm per lb/MMBtu HHV for diesel @15%O2</t>
  </si>
  <si>
    <t>ppm per lb/MMBtu HHV for diesel @3%O2</t>
  </si>
  <si>
    <t>Lower limit of sulfur content</t>
  </si>
  <si>
    <t>Upper limit of sulfur content</t>
  </si>
  <si>
    <t>Heat content of oil (distillate</t>
  </si>
  <si>
    <t>lb/MMBtu CH4 emission factor</t>
  </si>
  <si>
    <t>lb/MMBtu N20 emission factor</t>
  </si>
  <si>
    <t>lb/cf heat content of natural gas</t>
  </si>
  <si>
    <t>Btu/cf of natural gas</t>
  </si>
  <si>
    <t>sulfur content of natural gas</t>
  </si>
  <si>
    <t>ppm per lb/MMBtu LHV for natural gas @15%O2</t>
  </si>
  <si>
    <t>ppm per lb/MMBtu HHV for natural gas @15%O2</t>
  </si>
  <si>
    <t>ppm per lb/MMBtu HHV for natural gas @3%O2</t>
  </si>
  <si>
    <t>Btu/gallon</t>
  </si>
  <si>
    <t>kg/m3</t>
  </si>
  <si>
    <t>MMBtu/ton</t>
  </si>
  <si>
    <t>Accept kW capacity values that are THIS percent of the lowest sample</t>
  </si>
  <si>
    <t>Accept kW capacity values that are THIS percent of the highest sample</t>
  </si>
  <si>
    <t>Minimum efficiency of CHP</t>
  </si>
  <si>
    <t>Maximum efficiency of CHP</t>
  </si>
  <si>
    <t>Minimum HHV of CHP</t>
  </si>
  <si>
    <t>Maximum HHV of CHP</t>
  </si>
  <si>
    <t>Minimum LHV of CHP</t>
  </si>
  <si>
    <t>Maximum LHV of CHP</t>
  </si>
  <si>
    <t>Minimum Power to Heat ratio for CHP</t>
  </si>
  <si>
    <t>Maximum Power to Heat ratio for CHP</t>
  </si>
  <si>
    <t>Minimum NOx rate for CHP</t>
  </si>
  <si>
    <t>Maximum NOx rate for CHP</t>
  </si>
  <si>
    <t>gm/hphr</t>
  </si>
  <si>
    <t>Thermal Production</t>
  </si>
  <si>
    <t>Minimum efficiecy of thermal production technology</t>
  </si>
  <si>
    <t>Maximum efficiecy of thermal production technology</t>
  </si>
  <si>
    <t>Maximum efficiecy of electric technology</t>
  </si>
  <si>
    <t>btu/lb steam</t>
  </si>
  <si>
    <t>Active Cell Highlighting</t>
  </si>
  <si>
    <t>Cell to Highlight</t>
  </si>
  <si>
    <t>Global Warming Potential</t>
  </si>
  <si>
    <t>Fuel and Technology Match</t>
  </si>
  <si>
    <t>tech</t>
  </si>
  <si>
    <t>Calculations</t>
  </si>
  <si>
    <t>Total Emissions</t>
  </si>
  <si>
    <t>Displaced Generation - Total</t>
  </si>
  <si>
    <t>Displaced Thermal Supply - Total</t>
  </si>
  <si>
    <t>Number of CHP Units:</t>
  </si>
  <si>
    <t>Generating Capacity (kW)</t>
  </si>
  <si>
    <t>CHP Generation (MWh/year)</t>
  </si>
  <si>
    <t>CHP fuel consumption (MMBtu/year)</t>
  </si>
  <si>
    <t>Duct Burner fuel (MMBtu/year)</t>
  </si>
  <si>
    <t>CHP with Duct Burners</t>
  </si>
  <si>
    <t>NOx (tons/year)</t>
  </si>
  <si>
    <t>SO2 (tons/year)</t>
  </si>
  <si>
    <t>CO2 (tons/year)</t>
  </si>
  <si>
    <t>CHP Unit</t>
  </si>
  <si>
    <t>CH4 (tons/year)</t>
  </si>
  <si>
    <t>N2O (tons/year)</t>
  </si>
  <si>
    <t>Duct Burners</t>
  </si>
  <si>
    <t>Displaced Generation per CHP unit</t>
  </si>
  <si>
    <t>Displaced Thermal Supply per CHP unit</t>
  </si>
  <si>
    <t>Unit Emissions for CHP System</t>
  </si>
  <si>
    <t>CHP Technology</t>
  </si>
  <si>
    <t>Capacity</t>
  </si>
  <si>
    <t>hours</t>
  </si>
  <si>
    <t>Percent of hours</t>
  </si>
  <si>
    <t>Calc Hours</t>
  </si>
  <si>
    <t>CHP Fuel Input (rounded)</t>
  </si>
  <si>
    <t>CHP operating profile</t>
  </si>
  <si>
    <t>Max CHP Gen</t>
  </si>
  <si>
    <t>CHP Gen</t>
  </si>
  <si>
    <t>MMBtu/yr elec gen equiv</t>
  </si>
  <si>
    <t>CHP eff input %</t>
  </si>
  <si>
    <t>CHP eff input Btu/kWh HHV</t>
  </si>
  <si>
    <t>CHP eff input Btu/kWh LHV</t>
  </si>
  <si>
    <t>CHP Fuel HHV-LHV</t>
  </si>
  <si>
    <t>CHP HHV</t>
  </si>
  <si>
    <t>CHP percent</t>
  </si>
  <si>
    <t>CHP Fuel input Btu</t>
  </si>
  <si>
    <t>CHP NOx input ppm</t>
  </si>
  <si>
    <t>CHP NOx input gm/hp-hr</t>
  </si>
  <si>
    <t>CHP NOx input lb/MMBtu</t>
  </si>
  <si>
    <t>CHP NOx input lb/MWh</t>
  </si>
  <si>
    <t>lb/MWh</t>
  </si>
  <si>
    <t>CHP NOxconv</t>
  </si>
  <si>
    <t>CHP NOxrate Btu</t>
  </si>
  <si>
    <t>CHP NOxrate</t>
  </si>
  <si>
    <t>CHP NOx</t>
  </si>
  <si>
    <t>tons/year</t>
  </si>
  <si>
    <t xml:space="preserve">CHP sulfur % </t>
  </si>
  <si>
    <t>CHP sulfur input ppm</t>
  </si>
  <si>
    <t>Calculated sulfur %</t>
  </si>
  <si>
    <t>CHP Fuel heat content</t>
  </si>
  <si>
    <t>Adj CHP Fuel Heat content</t>
  </si>
  <si>
    <t xml:space="preserve">CHP massfuel </t>
  </si>
  <si>
    <t xml:space="preserve">CHP SO2 </t>
  </si>
  <si>
    <t>CHP SO2 rate</t>
  </si>
  <si>
    <t>CHP CH4</t>
  </si>
  <si>
    <t>CHP N2O</t>
  </si>
  <si>
    <t>CHP CO2</t>
  </si>
  <si>
    <t>CHP CO2 Rate</t>
  </si>
  <si>
    <t>Steam Turbine</t>
  </si>
  <si>
    <t>Steam Consumption lb Steam/hr</t>
  </si>
  <si>
    <t>Steam Consumption MMBtu Steam/hr</t>
  </si>
  <si>
    <t>Calc Steam Cons MMBtu/hr</t>
  </si>
  <si>
    <t>B/ST Fuel Consumption MMBtu/yr</t>
  </si>
  <si>
    <t>B/ST Steam Displaced MMBtu/yr</t>
  </si>
  <si>
    <t>Capacity of Duct Burners</t>
  </si>
  <si>
    <t>Duct Burner Hours</t>
  </si>
  <si>
    <t>hours/year</t>
  </si>
  <si>
    <t>Duct Burner Btu</t>
  </si>
  <si>
    <t>Duct Burner NOx rate</t>
  </si>
  <si>
    <t>Duct Burner SO2 rate</t>
  </si>
  <si>
    <t>Duct Burner CH4 rate</t>
  </si>
  <si>
    <t>Duct Burner CO2 rate</t>
  </si>
  <si>
    <t>Duct Burner N2O rate</t>
  </si>
  <si>
    <t>Duct Burner NOx</t>
  </si>
  <si>
    <t xml:space="preserve">Duct Burner CH4  </t>
  </si>
  <si>
    <t>Duct Burner SO2</t>
  </si>
  <si>
    <t xml:space="preserve">Duct Burner N2O  </t>
  </si>
  <si>
    <t>Duct Burner CO2</t>
  </si>
  <si>
    <t>Cooling</t>
  </si>
  <si>
    <t>Chiller</t>
  </si>
  <si>
    <t>Cooling Hours</t>
  </si>
  <si>
    <t>Hours/year</t>
  </si>
  <si>
    <t>Available Thermal</t>
  </si>
  <si>
    <t>Available based on user data (not rounded)</t>
  </si>
  <si>
    <t>tons of cooling</t>
  </si>
  <si>
    <t>Available based on user data</t>
  </si>
  <si>
    <t>MMBtu/hr of cooling</t>
  </si>
  <si>
    <t>CHP Cooling COP</t>
  </si>
  <si>
    <t>COP</t>
  </si>
  <si>
    <t>Thermal Demand for cooling</t>
  </si>
  <si>
    <t>Excess Thermal</t>
  </si>
  <si>
    <t>Lost Simultaneous Heating</t>
  </si>
  <si>
    <t>Off season heating</t>
  </si>
  <si>
    <t>Displaced Cooling Technology</t>
  </si>
  <si>
    <t>Displaced Cooling COP</t>
  </si>
  <si>
    <t>Displaced Cooling Elec Demand</t>
  </si>
  <si>
    <t>MWh/hr</t>
  </si>
  <si>
    <t>Displaced Generation</t>
  </si>
  <si>
    <t>DE method input</t>
  </si>
  <si>
    <t>EGrid State</t>
  </si>
  <si>
    <t>DE NOx rate</t>
  </si>
  <si>
    <t>DE CH4 rate</t>
  </si>
  <si>
    <t>DE SO2 rate</t>
  </si>
  <si>
    <t>DE N2O rate</t>
  </si>
  <si>
    <t>DE CO2 rate</t>
  </si>
  <si>
    <t>DE Heat Rate</t>
  </si>
  <si>
    <t>Displaced Generation (CHP)</t>
  </si>
  <si>
    <t>MWh/year per CHP unit</t>
  </si>
  <si>
    <t>Displaced Generation (Cooling)</t>
  </si>
  <si>
    <t>Displaced Generation (heating)</t>
  </si>
  <si>
    <t>Total Displaced Generating - Calc</t>
  </si>
  <si>
    <t>Total Displaced Generating - Manual</t>
  </si>
  <si>
    <t>MWh/year (estimated by user)</t>
  </si>
  <si>
    <t>DE NOx</t>
  </si>
  <si>
    <t>tons/year per CHP unit</t>
  </si>
  <si>
    <t xml:space="preserve">DE CH4  </t>
  </si>
  <si>
    <t>DE SO2</t>
  </si>
  <si>
    <t xml:space="preserve">DE N2O  </t>
  </si>
  <si>
    <t>DE CO2</t>
  </si>
  <si>
    <t>DE MMBtu</t>
  </si>
  <si>
    <t>MMBtu/year per CHP unit</t>
  </si>
  <si>
    <t>Displaced Thermal Supply</t>
  </si>
  <si>
    <t>Thermal Utilization %</t>
  </si>
  <si>
    <t>Power to Heat ratio</t>
  </si>
  <si>
    <t>Heat from CHP units</t>
  </si>
  <si>
    <t>Heat from Duct Burners</t>
  </si>
  <si>
    <t>Heat from CHP units to cooling</t>
  </si>
  <si>
    <t>Heat from CHP units "lost"</t>
  </si>
  <si>
    <t>Heat from CHP units to thermal use</t>
  </si>
  <si>
    <t>Heat from WHP to thermal use</t>
  </si>
  <si>
    <t>Stm source input</t>
  </si>
  <si>
    <t>Stm sulfur input %</t>
  </si>
  <si>
    <t>Stm sulfur input ppm</t>
  </si>
  <si>
    <t>Calculated Stm sulfur %</t>
  </si>
  <si>
    <t>Stm Efficiency</t>
  </si>
  <si>
    <t>Stm BoilFuel</t>
  </si>
  <si>
    <t>Max Stm BoilFuel</t>
  </si>
  <si>
    <t>STM Fuel heat content</t>
  </si>
  <si>
    <t>Adj STM Fuel Heat content</t>
  </si>
  <si>
    <t>Stm boil fuel mass</t>
  </si>
  <si>
    <t xml:space="preserve">Stm SO2 </t>
  </si>
  <si>
    <t>Stm NOx rate</t>
  </si>
  <si>
    <t>Stm CH4 rate</t>
  </si>
  <si>
    <t>Stm NOx</t>
  </si>
  <si>
    <t xml:space="preserve">Stm CH4 </t>
  </si>
  <si>
    <t>Stm CO2 rate</t>
  </si>
  <si>
    <t>Stm N2O rate</t>
  </si>
  <si>
    <t>Stm Co2</t>
  </si>
  <si>
    <t>Stm N2O</t>
  </si>
  <si>
    <t>Displaced Heating Electricity</t>
  </si>
  <si>
    <t>Electric Efficiency of Heating Unit</t>
  </si>
  <si>
    <t>Displaced Heating Elec Demand</t>
  </si>
  <si>
    <r>
      <t>30. Displaced Thermal: What is the CO</t>
    </r>
    <r>
      <rPr>
        <b/>
        <vertAlign val="subscript"/>
        <sz val="10"/>
        <rFont val="Arial"/>
        <family val="2"/>
      </rPr>
      <t>2</t>
    </r>
    <r>
      <rPr>
        <b/>
        <sz val="10"/>
        <rFont val="Arial"/>
        <family val="2"/>
      </rPr>
      <t xml:space="preserve"> Emission Rate for this Fuel?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</si>
</sst>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_(* \(#,##0\);_(* &quot;-&quot;_);_(@_)"/>
    <numFmt numFmtId="43" formatCode="_(* #,##0.00_);_(* \(#,##0.00\);_(* &quot;-&quot;??_);_(@_)"/>
    <numFmt numFmtId="164" formatCode="_(* #,##0.0_);_(* \(#,##0.0\);_(* &quot;-&quot;??_);_(@_)"/>
    <numFmt numFmtId="165" formatCode="_(* #,##0_);_(* \(#,##0\);_(* &quot;-&quot;??_);_(@_)"/>
    <numFmt numFmtId="166" formatCode="0.0%"/>
    <numFmt numFmtId="167" formatCode="0.000%"/>
    <numFmt numFmtId="168" formatCode="0.0000%"/>
    <numFmt numFmtId="169" formatCode="_(* #,##0.000_);_(* \(#,##0.000\);_(* &quot;-&quot;??_);_(@_)"/>
    <numFmt numFmtId="170" formatCode="_(* #,##0.0000_);_(* \(#,##0.0000\);_(* &quot;-&quot;??_);_(@_)"/>
    <numFmt numFmtId="171" formatCode="_(* #,##0.00000_);_(* \(#,##0.00000\);_(* &quot;-&quot;??_);_(@_)"/>
    <numFmt numFmtId="172" formatCode="0.0"/>
    <numFmt numFmtId="173" formatCode="0.000"/>
    <numFmt numFmtId="174" formatCode="_(* #,##0.000000_);_(* \(#,##0.000000\);_(* &quot;-&quot;??_);_(@_)"/>
    <numFmt numFmtId="175" formatCode="0.00000"/>
    <numFmt numFmtId="176" formatCode="0.0000"/>
    <numFmt numFmtId="177" formatCode="0.0000000"/>
    <numFmt numFmtId="178" formatCode="0.00000%"/>
    <numFmt numFmtId="179" formatCode="_(* #,##0.000_);_(* \(#,##0.000\);_(* &quot;-&quot;???_);_(@_)"/>
    <numFmt numFmtId="180" formatCode="#,##0.0"/>
    <numFmt numFmtId="181" formatCode="#,##0.0000"/>
    <numFmt numFmtId="182" formatCode="#,##0.0000_);\(#,##0.0000\)"/>
    <numFmt numFmtId="183" formatCode="#,##0.000_);\(#,##0.000\)"/>
    <numFmt numFmtId="184" formatCode="#,##0.000"/>
    <numFmt numFmtId="185" formatCode="#,##0.00000"/>
    <numFmt numFmtId="186" formatCode="#,##0;\(#,##0\)"/>
  </numFmts>
  <fonts count="73" x14ac:knownFonts="1">
    <font>
      <sz val="10"/>
      <name val="Arial"/>
    </font>
    <font>
      <sz val="10"/>
      <name val="Arial"/>
      <family val="2"/>
    </font>
    <font>
      <b/>
      <sz val="10"/>
      <name val="Arial"/>
      <family val="2"/>
    </font>
    <font>
      <b/>
      <sz val="8"/>
      <color indexed="81"/>
      <name val="Tahoma"/>
      <family val="2"/>
    </font>
    <font>
      <i/>
      <sz val="10"/>
      <name val="Arial"/>
      <family val="2"/>
    </font>
    <font>
      <sz val="10"/>
      <name val="Arial"/>
      <family val="2"/>
    </font>
    <font>
      <sz val="10"/>
      <color indexed="9"/>
      <name val="Arial"/>
      <family val="2"/>
    </font>
    <font>
      <vertAlign val="subscript"/>
      <sz val="10"/>
      <name val="Arial"/>
      <family val="2"/>
    </font>
    <font>
      <b/>
      <u/>
      <sz val="10"/>
      <name val="Arial"/>
      <family val="2"/>
    </font>
    <font>
      <u/>
      <sz val="10"/>
      <color indexed="12"/>
      <name val="Arial"/>
      <family val="2"/>
    </font>
    <font>
      <sz val="8"/>
      <color indexed="81"/>
      <name val="Tahoma"/>
      <family val="2"/>
    </font>
    <font>
      <b/>
      <sz val="12"/>
      <name val="Arial"/>
      <family val="2"/>
    </font>
    <font>
      <b/>
      <sz val="16"/>
      <name val="Arial"/>
      <family val="2"/>
    </font>
    <font>
      <b/>
      <sz val="10"/>
      <color indexed="10"/>
      <name val="Arial"/>
      <family val="2"/>
    </font>
    <font>
      <sz val="10"/>
      <color indexed="10"/>
      <name val="Arial"/>
      <family val="2"/>
    </font>
    <font>
      <sz val="9"/>
      <name val="Arial"/>
      <family val="2"/>
    </font>
    <font>
      <b/>
      <i/>
      <sz val="10"/>
      <name val="Arial"/>
      <family val="2"/>
    </font>
    <font>
      <u/>
      <sz val="10"/>
      <name val="Arial"/>
      <family val="2"/>
    </font>
    <font>
      <sz val="8"/>
      <name val="Arial"/>
      <family val="2"/>
    </font>
    <font>
      <sz val="10"/>
      <color indexed="42"/>
      <name val="Arial"/>
      <family val="2"/>
    </font>
    <font>
      <sz val="10"/>
      <color indexed="41"/>
      <name val="Arial"/>
      <family val="2"/>
    </font>
    <font>
      <b/>
      <i/>
      <sz val="12"/>
      <color indexed="10"/>
      <name val="Arial"/>
      <family val="2"/>
    </font>
    <font>
      <b/>
      <i/>
      <u/>
      <sz val="13"/>
      <color indexed="10"/>
      <name val="Arial"/>
      <family val="2"/>
    </font>
    <font>
      <u/>
      <sz val="13"/>
      <name val="Arial"/>
      <family val="2"/>
    </font>
    <font>
      <b/>
      <vertAlign val="subscript"/>
      <sz val="10"/>
      <name val="Arial"/>
      <family val="2"/>
    </font>
    <font>
      <b/>
      <sz val="9"/>
      <color indexed="81"/>
      <name val="Tahoma"/>
      <family val="2"/>
    </font>
    <font>
      <sz val="9"/>
      <color indexed="81"/>
      <name val="Tahoma"/>
      <family val="2"/>
    </font>
    <font>
      <vertAlign val="subscript"/>
      <sz val="8"/>
      <name val="Arial"/>
      <family val="2"/>
    </font>
    <font>
      <sz val="8.5"/>
      <name val="Arial"/>
      <family val="2"/>
    </font>
    <font>
      <sz val="10"/>
      <name val="MS Sans Serif"/>
      <family val="2"/>
    </font>
    <font>
      <sz val="10"/>
      <name val="Arial"/>
      <family val="2"/>
    </font>
    <font>
      <sz val="11"/>
      <color theme="1"/>
      <name val="Calibri"/>
      <family val="2"/>
      <scheme val="minor"/>
    </font>
    <font>
      <sz val="10"/>
      <color theme="0"/>
      <name val="Arial"/>
      <family val="2"/>
    </font>
    <font>
      <b/>
      <sz val="10"/>
      <color rgb="FFFF0000"/>
      <name val="Arial"/>
      <family val="2"/>
    </font>
    <font>
      <sz val="14"/>
      <color rgb="FF222222"/>
      <name val="Arial"/>
      <family val="2"/>
    </font>
    <font>
      <b/>
      <sz val="11"/>
      <color theme="3"/>
      <name val="Arial"/>
      <family val="2"/>
    </font>
    <font>
      <b/>
      <sz val="8"/>
      <color rgb="FFFF0000"/>
      <name val="Arial"/>
      <family val="2"/>
    </font>
    <font>
      <b/>
      <u/>
      <sz val="12"/>
      <name val="Arial"/>
      <family val="2"/>
    </font>
    <font>
      <b/>
      <i/>
      <sz val="14"/>
      <name val="Arial"/>
      <family val="2"/>
    </font>
    <font>
      <sz val="10"/>
      <color rgb="FFFFCC66"/>
      <name val="Arial"/>
      <family val="2"/>
    </font>
    <font>
      <b/>
      <i/>
      <u/>
      <sz val="10"/>
      <color theme="3" tint="0.39997558519241921"/>
      <name val="Arial"/>
      <family val="2"/>
    </font>
    <font>
      <b/>
      <sz val="9.1999999999999993"/>
      <color indexed="10"/>
      <name val="Arial"/>
      <family val="2"/>
    </font>
    <font>
      <b/>
      <sz val="9"/>
      <color rgb="FFFF0000"/>
      <name val="Arial"/>
      <family val="2"/>
    </font>
    <font>
      <sz val="10"/>
      <color rgb="FF99FF99"/>
      <name val="Arial"/>
      <family val="2"/>
    </font>
    <font>
      <b/>
      <i/>
      <sz val="10"/>
      <color rgb="FFFF0000"/>
      <name val="Arial"/>
      <family val="2"/>
    </font>
    <font>
      <b/>
      <i/>
      <u/>
      <sz val="10"/>
      <color rgb="FFFF0000"/>
      <name val="Arial"/>
      <family val="2"/>
    </font>
    <font>
      <u/>
      <sz val="10"/>
      <color rgb="FF0070C0"/>
      <name val="Arial"/>
      <family val="2"/>
    </font>
    <font>
      <sz val="10"/>
      <color rgb="FFCCFFCC"/>
      <name val="Arial"/>
      <family val="2"/>
    </font>
    <font>
      <b/>
      <i/>
      <sz val="12"/>
      <color rgb="FFFF0000"/>
      <name val="Arial"/>
      <family val="2"/>
    </font>
    <font>
      <sz val="9"/>
      <color theme="1"/>
      <name val="Calibri"/>
      <family val="2"/>
      <scheme val="minor"/>
    </font>
    <font>
      <b/>
      <sz val="9"/>
      <name val="Arial"/>
      <family val="2"/>
    </font>
    <font>
      <b/>
      <sz val="10"/>
      <color theme="0"/>
      <name val="Arial"/>
      <family val="2"/>
    </font>
    <font>
      <i/>
      <sz val="10"/>
      <color theme="7" tint="-0.499984740745262"/>
      <name val="Arial"/>
      <family val="2"/>
    </font>
    <font>
      <b/>
      <sz val="10"/>
      <color rgb="FF0070C0"/>
      <name val="Arial"/>
      <family val="2"/>
    </font>
    <font>
      <i/>
      <sz val="9"/>
      <name val="Arial"/>
      <family val="2"/>
    </font>
    <font>
      <sz val="9"/>
      <color theme="1"/>
      <name val="Arial"/>
      <family val="2"/>
    </font>
    <font>
      <b/>
      <sz val="9"/>
      <color theme="1"/>
      <name val="Arial"/>
      <family val="2"/>
    </font>
    <font>
      <i/>
      <sz val="10"/>
      <color rgb="FFFF0000"/>
      <name val="Calibri"/>
      <family val="2"/>
      <scheme val="minor"/>
    </font>
    <font>
      <b/>
      <sz val="14"/>
      <color theme="0"/>
      <name val="Arial"/>
      <family val="2"/>
    </font>
    <font>
      <i/>
      <sz val="9"/>
      <color rgb="FF0070C0"/>
      <name val="Arial"/>
      <family val="2"/>
    </font>
    <font>
      <b/>
      <sz val="8.5"/>
      <color theme="1"/>
      <name val="Arial"/>
      <family val="2"/>
    </font>
    <font>
      <sz val="8.5"/>
      <color theme="1"/>
      <name val="Arial"/>
      <family val="2"/>
    </font>
    <font>
      <b/>
      <sz val="8.5"/>
      <color rgb="FF000000"/>
      <name val="Arial"/>
      <family val="2"/>
    </font>
    <font>
      <b/>
      <sz val="8.5"/>
      <color rgb="FFFFFFFF"/>
      <name val="Arial"/>
      <family val="2"/>
    </font>
    <font>
      <b/>
      <sz val="8.5"/>
      <color rgb="FFFF0000"/>
      <name val="Arial"/>
      <family val="2"/>
    </font>
    <font>
      <b/>
      <sz val="8.5"/>
      <name val="Arial"/>
      <family val="2"/>
    </font>
    <font>
      <sz val="9"/>
      <name val="Calibri"/>
      <family val="2"/>
    </font>
    <font>
      <b/>
      <sz val="12"/>
      <color rgb="FF000000"/>
      <name val="Arial"/>
      <family val="2"/>
    </font>
    <font>
      <sz val="10"/>
      <color rgb="FF000000"/>
      <name val="Arial"/>
      <family val="2"/>
    </font>
    <font>
      <b/>
      <sz val="10"/>
      <color rgb="FF000000"/>
      <name val="Arial"/>
      <family val="2"/>
    </font>
    <font>
      <b/>
      <u/>
      <sz val="10"/>
      <color rgb="FF000000"/>
      <name val="Arial"/>
      <family val="2"/>
    </font>
    <font>
      <sz val="8"/>
      <color rgb="FF993366"/>
      <name val="Arial"/>
      <family val="2"/>
    </font>
    <font>
      <b/>
      <sz val="12"/>
      <color rgb="FFFF0000"/>
      <name val="Arial"/>
      <family val="2"/>
    </font>
  </fonts>
  <fills count="43">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rgb="FFFFFF99"/>
        <bgColor indexed="64"/>
      </patternFill>
    </fill>
    <fill>
      <patternFill patternType="solid">
        <fgColor rgb="FFCCFFFF"/>
        <bgColor indexed="64"/>
      </patternFill>
    </fill>
    <fill>
      <patternFill patternType="solid">
        <fgColor theme="0"/>
        <bgColor indexed="64"/>
      </patternFill>
    </fill>
    <fill>
      <patternFill patternType="solid">
        <fgColor rgb="FFFFFFCC"/>
        <bgColor indexed="64"/>
      </patternFill>
    </fill>
    <fill>
      <patternFill patternType="solid">
        <fgColor theme="7" tint="0.79998168889431442"/>
        <bgColor indexed="64"/>
      </patternFill>
    </fill>
    <fill>
      <patternFill patternType="solid">
        <fgColor theme="9"/>
        <bgColor indexed="64"/>
      </patternFill>
    </fill>
    <fill>
      <patternFill patternType="solid">
        <fgColor rgb="FFFFCC99"/>
        <bgColor indexed="64"/>
      </patternFill>
    </fill>
    <fill>
      <patternFill patternType="solid">
        <fgColor rgb="FFFFFF00"/>
        <bgColor indexed="64"/>
      </patternFill>
    </fill>
    <fill>
      <patternFill patternType="solid">
        <fgColor indexed="31"/>
        <bgColor indexed="64"/>
      </patternFill>
    </fill>
    <fill>
      <patternFill patternType="solid">
        <fgColor rgb="FFCCFFCC"/>
        <bgColor indexed="64"/>
      </patternFill>
    </fill>
    <fill>
      <patternFill patternType="solid">
        <fgColor rgb="FFCCCCFF"/>
        <bgColor indexed="64"/>
      </patternFill>
    </fill>
    <fill>
      <patternFill patternType="solid">
        <fgColor rgb="FFEEF3F8"/>
        <bgColor indexed="64"/>
      </patternFill>
    </fill>
    <fill>
      <patternFill patternType="solid">
        <fgColor rgb="FFECF3FA"/>
        <bgColor indexed="64"/>
      </patternFill>
    </fill>
    <fill>
      <patternFill patternType="solid">
        <fgColor rgb="FFECF2F8"/>
        <bgColor indexed="64"/>
      </patternFill>
    </fill>
    <fill>
      <patternFill patternType="solid">
        <fgColor theme="4" tint="0.79998168889431442"/>
        <bgColor indexed="64"/>
      </patternFill>
    </fill>
    <fill>
      <patternFill patternType="solid">
        <fgColor rgb="FF002060"/>
        <bgColor indexed="64"/>
      </patternFill>
    </fill>
    <fill>
      <patternFill patternType="solid">
        <fgColor theme="6" tint="0.79998168889431442"/>
        <bgColor indexed="64"/>
      </patternFill>
    </fill>
    <fill>
      <patternFill patternType="solid">
        <fgColor rgb="FFF2F2F2"/>
        <bgColor indexed="64"/>
      </patternFill>
    </fill>
    <fill>
      <patternFill patternType="solid">
        <fgColor rgb="FFF2F2F2"/>
        <bgColor rgb="FF000000"/>
      </patternFill>
    </fill>
    <fill>
      <patternFill patternType="solid">
        <fgColor rgb="FFF2DCDB"/>
        <bgColor rgb="FF000000"/>
      </patternFill>
    </fill>
    <fill>
      <patternFill patternType="solid">
        <fgColor rgb="FFEBF1DE"/>
        <bgColor rgb="FF000000"/>
      </patternFill>
    </fill>
    <fill>
      <patternFill patternType="solid">
        <fgColor rgb="FFC4D79B"/>
        <bgColor rgb="FF000000"/>
      </patternFill>
    </fill>
    <fill>
      <patternFill patternType="solid">
        <fgColor rgb="FF76933C"/>
        <bgColor rgb="FF000000"/>
      </patternFill>
    </fill>
    <fill>
      <patternFill patternType="solid">
        <fgColor rgb="FFFFFFCC"/>
        <bgColor rgb="FF000000"/>
      </patternFill>
    </fill>
    <fill>
      <patternFill patternType="solid">
        <fgColor rgb="FFFFFF99"/>
        <bgColor rgb="FF000000"/>
      </patternFill>
    </fill>
    <fill>
      <patternFill patternType="solid">
        <fgColor rgb="FFE4DFEC"/>
        <bgColor rgb="FF000000"/>
      </patternFill>
    </fill>
    <fill>
      <patternFill patternType="solid">
        <fgColor rgb="FFDAEEF3"/>
        <bgColor rgb="FF000000"/>
      </patternFill>
    </fill>
    <fill>
      <patternFill patternType="solid">
        <fgColor rgb="FF92CDDC"/>
        <bgColor rgb="FF000000"/>
      </patternFill>
    </fill>
    <fill>
      <patternFill patternType="solid">
        <fgColor rgb="FF3DA2BD"/>
        <bgColor rgb="FF000000"/>
      </patternFill>
    </fill>
    <fill>
      <patternFill patternType="solid">
        <fgColor rgb="FF31869B"/>
        <bgColor rgb="FF000000"/>
      </patternFill>
    </fill>
    <fill>
      <patternFill patternType="solid">
        <fgColor rgb="FFFDE9D9"/>
        <bgColor rgb="FF000000"/>
      </patternFill>
    </fill>
    <fill>
      <patternFill patternType="solid">
        <fgColor rgb="FFFABF8F"/>
        <bgColor rgb="FF000000"/>
      </patternFill>
    </fill>
    <fill>
      <patternFill patternType="solid">
        <fgColor rgb="FFF6903C"/>
        <bgColor rgb="FF000000"/>
      </patternFill>
    </fill>
    <fill>
      <patternFill patternType="solid">
        <fgColor rgb="FFE26B0A"/>
        <bgColor rgb="FF000000"/>
      </patternFill>
    </fill>
    <fill>
      <patternFill patternType="solid">
        <fgColor rgb="FFB1A0C7"/>
        <bgColor rgb="FF000000"/>
      </patternFill>
    </fill>
    <fill>
      <patternFill patternType="solid">
        <fgColor rgb="FF60497A"/>
        <bgColor rgb="FF000000"/>
      </patternFill>
    </fill>
  </fills>
  <borders count="85">
    <border>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thin">
        <color indexed="64"/>
      </top>
      <bottom style="double">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style="thin">
        <color indexed="64"/>
      </right>
      <top style="medium">
        <color indexed="64"/>
      </top>
      <bottom style="thin">
        <color indexed="64"/>
      </bottom>
      <diagonal/>
    </border>
    <border>
      <left style="double">
        <color indexed="64"/>
      </left>
      <right style="double">
        <color indexed="64"/>
      </right>
      <top style="thin">
        <color indexed="64"/>
      </top>
      <bottom style="medium">
        <color indexed="64"/>
      </bottom>
      <diagonal/>
    </border>
    <border>
      <left/>
      <right style="medium">
        <color indexed="64"/>
      </right>
      <top/>
      <bottom style="double">
        <color indexed="64"/>
      </bottom>
      <diagonal/>
    </border>
    <border>
      <left/>
      <right style="thin">
        <color theme="3" tint="0.59996337778862885"/>
      </right>
      <top/>
      <bottom/>
      <diagonal/>
    </border>
    <border>
      <left/>
      <right style="thin">
        <color theme="3" tint="0.59996337778862885"/>
      </right>
      <top/>
      <bottom style="thin">
        <color theme="3" tint="0.59996337778862885"/>
      </bottom>
      <diagonal/>
    </border>
    <border>
      <left/>
      <right/>
      <top/>
      <bottom style="thin">
        <color theme="3" tint="0.59996337778862885"/>
      </bottom>
      <diagonal/>
    </border>
    <border>
      <left/>
      <right style="thin">
        <color theme="3" tint="0.39994506668294322"/>
      </right>
      <top/>
      <bottom style="thin">
        <color theme="3" tint="0.39994506668294322"/>
      </bottom>
      <diagonal/>
    </border>
    <border>
      <left/>
      <right style="thin">
        <color theme="3" tint="0.39994506668294322"/>
      </right>
      <top/>
      <bottom/>
      <diagonal/>
    </border>
    <border>
      <left/>
      <right/>
      <top/>
      <bottom style="thin">
        <color theme="3" tint="0.39994506668294322"/>
      </bottom>
      <diagonal/>
    </border>
    <border>
      <left/>
      <right style="thin">
        <color theme="3" tint="0.39994506668294322"/>
      </right>
      <top style="thin">
        <color theme="3" tint="0.59996337778862885"/>
      </top>
      <bottom style="medium">
        <color theme="1"/>
      </bottom>
      <diagonal/>
    </border>
    <border>
      <left/>
      <right/>
      <top style="thin">
        <color theme="3" tint="0.3999450666829432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3">
    <xf numFmtId="0" fontId="0" fillId="0" borderId="0"/>
    <xf numFmtId="43" fontId="1" fillId="0" borderId="0" applyFont="0" applyFill="0" applyBorder="0" applyAlignment="0" applyProtection="0"/>
    <xf numFmtId="43" fontId="30" fillId="0" borderId="0" applyFont="0" applyFill="0" applyBorder="0" applyAlignment="0" applyProtection="0"/>
    <xf numFmtId="43" fontId="31" fillId="0" borderId="0" applyFont="0" applyFill="0" applyBorder="0" applyAlignment="0" applyProtection="0"/>
    <xf numFmtId="0" fontId="9"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5" fillId="0" borderId="0"/>
    <xf numFmtId="0" fontId="29" fillId="0" borderId="0"/>
    <xf numFmtId="0" fontId="30" fillId="0" borderId="0"/>
    <xf numFmtId="0" fontId="31" fillId="0" borderId="0"/>
    <xf numFmtId="0" fontId="31" fillId="0" borderId="0"/>
    <xf numFmtId="9" fontId="1" fillId="0" borderId="0" applyFont="0" applyFill="0" applyBorder="0" applyAlignment="0" applyProtection="0"/>
    <xf numFmtId="9" fontId="30" fillId="0" borderId="0" applyFont="0" applyFill="0" applyBorder="0" applyAlignment="0" applyProtection="0"/>
  </cellStyleXfs>
  <cellXfs count="948">
    <xf numFmtId="0" fontId="0" fillId="0" borderId="0" xfId="0"/>
    <xf numFmtId="0" fontId="2" fillId="0" borderId="0" xfId="0" applyFont="1"/>
    <xf numFmtId="0" fontId="4" fillId="0" borderId="0" xfId="0" applyFont="1"/>
    <xf numFmtId="0" fontId="5" fillId="0" borderId="0" xfId="0" applyFont="1"/>
    <xf numFmtId="165" fontId="0" fillId="0" borderId="0" xfId="1" applyNumberFormat="1" applyFont="1"/>
    <xf numFmtId="0" fontId="6" fillId="0" borderId="0" xfId="0" applyFont="1"/>
    <xf numFmtId="0" fontId="2" fillId="2" borderId="0" xfId="0" applyFont="1" applyFill="1"/>
    <xf numFmtId="0" fontId="2" fillId="3" borderId="0" xfId="0" applyFont="1" applyFill="1"/>
    <xf numFmtId="0" fontId="0" fillId="3" borderId="1" xfId="0" applyFill="1" applyBorder="1"/>
    <xf numFmtId="0" fontId="0" fillId="3" borderId="2" xfId="0" applyFill="1" applyBorder="1"/>
    <xf numFmtId="0" fontId="0" fillId="3" borderId="3" xfId="0" applyFill="1" applyBorder="1"/>
    <xf numFmtId="165" fontId="0" fillId="0" borderId="0" xfId="1" applyNumberFormat="1" applyFont="1" applyFill="1" applyBorder="1"/>
    <xf numFmtId="165" fontId="0" fillId="0" borderId="0" xfId="1" applyNumberFormat="1" applyFont="1" applyFill="1"/>
    <xf numFmtId="0" fontId="0" fillId="3" borderId="4" xfId="0" applyFill="1" applyBorder="1"/>
    <xf numFmtId="0" fontId="4" fillId="3" borderId="0" xfId="0" applyFont="1" applyFill="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4" fillId="2" borderId="0" xfId="0" applyFont="1" applyFill="1"/>
    <xf numFmtId="0" fontId="2" fillId="4" borderId="0" xfId="0" applyFont="1" applyFill="1"/>
    <xf numFmtId="0" fontId="2" fillId="0" borderId="11" xfId="0" applyFont="1" applyBorder="1"/>
    <xf numFmtId="0" fontId="0" fillId="0" borderId="12" xfId="0" applyBorder="1"/>
    <xf numFmtId="0" fontId="0" fillId="0" borderId="14" xfId="0" applyBorder="1"/>
    <xf numFmtId="0" fontId="0" fillId="0" borderId="15" xfId="0" applyBorder="1"/>
    <xf numFmtId="0" fontId="0" fillId="0" borderId="16" xfId="0" applyBorder="1"/>
    <xf numFmtId="0" fontId="0" fillId="0" borderId="9" xfId="0" applyBorder="1"/>
    <xf numFmtId="165" fontId="0" fillId="0" borderId="0" xfId="1" applyNumberFormat="1" applyFont="1" applyBorder="1" applyProtection="1"/>
    <xf numFmtId="169" fontId="0" fillId="0" borderId="0" xfId="1" applyNumberFormat="1" applyFont="1" applyBorder="1" applyProtection="1"/>
    <xf numFmtId="0" fontId="0" fillId="0" borderId="10" xfId="0" applyBorder="1"/>
    <xf numFmtId="0" fontId="0" fillId="0" borderId="6" xfId="0" applyBorder="1"/>
    <xf numFmtId="169" fontId="0" fillId="0" borderId="12" xfId="1" applyNumberFormat="1" applyFont="1" applyBorder="1" applyProtection="1"/>
    <xf numFmtId="165" fontId="0" fillId="0" borderId="13" xfId="1" applyNumberFormat="1" applyFont="1" applyBorder="1" applyProtection="1"/>
    <xf numFmtId="165" fontId="0" fillId="0" borderId="0" xfId="1" applyNumberFormat="1" applyFont="1" applyFill="1" applyBorder="1" applyProtection="1"/>
    <xf numFmtId="0" fontId="0" fillId="0" borderId="17" xfId="0" applyBorder="1" applyAlignment="1">
      <alignment horizontal="center"/>
    </xf>
    <xf numFmtId="0" fontId="0" fillId="0" borderId="18" xfId="0" applyBorder="1" applyAlignment="1">
      <alignment horizontal="center"/>
    </xf>
    <xf numFmtId="165" fontId="0" fillId="0" borderId="21" xfId="1" applyNumberFormat="1" applyFont="1" applyBorder="1" applyAlignment="1" applyProtection="1">
      <alignment horizontal="center"/>
    </xf>
    <xf numFmtId="0" fontId="11" fillId="0" borderId="0" xfId="0" applyFont="1"/>
    <xf numFmtId="165" fontId="11" fillId="0" borderId="0" xfId="1" applyNumberFormat="1" applyFont="1" applyFill="1"/>
    <xf numFmtId="0" fontId="12" fillId="0" borderId="0" xfId="0" applyFont="1"/>
    <xf numFmtId="0" fontId="0" fillId="0" borderId="0" xfId="0" applyAlignment="1">
      <alignment horizontal="left"/>
    </xf>
    <xf numFmtId="0" fontId="0" fillId="0" borderId="25" xfId="0" applyBorder="1"/>
    <xf numFmtId="0" fontId="0" fillId="0" borderId="26" xfId="0" applyBorder="1"/>
    <xf numFmtId="0" fontId="0" fillId="0" borderId="27" xfId="0" applyBorder="1" applyAlignment="1">
      <alignment horizontal="center" wrapText="1"/>
    </xf>
    <xf numFmtId="0" fontId="0" fillId="0" borderId="28" xfId="0" applyBorder="1" applyAlignment="1">
      <alignment horizontal="center" wrapText="1"/>
    </xf>
    <xf numFmtId="0" fontId="11" fillId="0" borderId="0" xfId="0" applyFont="1" applyAlignment="1">
      <alignment horizontal="right"/>
    </xf>
    <xf numFmtId="0" fontId="2" fillId="0" borderId="0" xfId="0" applyFont="1" applyAlignment="1">
      <alignment horizontal="center"/>
    </xf>
    <xf numFmtId="0" fontId="9" fillId="0" borderId="0" xfId="4" applyAlignment="1" applyProtection="1"/>
    <xf numFmtId="0" fontId="6" fillId="0" borderId="0" xfId="0" applyFont="1" applyAlignment="1">
      <alignment horizontal="center" wrapText="1"/>
    </xf>
    <xf numFmtId="165" fontId="6" fillId="0" borderId="0" xfId="1" applyNumberFormat="1" applyFont="1" applyAlignment="1">
      <alignment horizontal="center" wrapText="1"/>
    </xf>
    <xf numFmtId="0" fontId="6" fillId="0" borderId="0" xfId="0" applyFont="1" applyAlignment="1">
      <alignment wrapText="1"/>
    </xf>
    <xf numFmtId="0" fontId="4" fillId="0" borderId="0" xfId="0" applyFont="1" applyAlignment="1">
      <alignment horizontal="left" wrapText="1"/>
    </xf>
    <xf numFmtId="165" fontId="5" fillId="0" borderId="0" xfId="1" applyNumberFormat="1" applyFont="1" applyFill="1"/>
    <xf numFmtId="0" fontId="6" fillId="0" borderId="0" xfId="0" applyFont="1" applyProtection="1">
      <protection hidden="1"/>
    </xf>
    <xf numFmtId="0" fontId="5" fillId="0" borderId="0" xfId="0" applyFont="1" applyProtection="1">
      <protection hidden="1"/>
    </xf>
    <xf numFmtId="0" fontId="0" fillId="2" borderId="8" xfId="0" applyFill="1" applyBorder="1" applyAlignment="1">
      <alignment horizontal="right" wrapText="1"/>
    </xf>
    <xf numFmtId="0" fontId="0" fillId="2" borderId="9" xfId="0" applyFill="1" applyBorder="1" applyAlignment="1">
      <alignment horizontal="right" wrapText="1"/>
    </xf>
    <xf numFmtId="0" fontId="0" fillId="2" borderId="34" xfId="0" applyFill="1" applyBorder="1" applyAlignment="1">
      <alignment horizontal="right" wrapText="1"/>
    </xf>
    <xf numFmtId="0" fontId="0" fillId="2" borderId="35" xfId="0" applyFill="1" applyBorder="1"/>
    <xf numFmtId="0" fontId="0" fillId="2" borderId="10" xfId="0" applyFill="1" applyBorder="1" applyAlignment="1">
      <alignment horizontal="left" vertical="center" wrapText="1"/>
    </xf>
    <xf numFmtId="0" fontId="0" fillId="2" borderId="6" xfId="0" applyFill="1" applyBorder="1" applyAlignment="1">
      <alignment horizontal="center" wrapText="1"/>
    </xf>
    <xf numFmtId="0" fontId="0" fillId="2" borderId="1" xfId="0" applyFill="1" applyBorder="1"/>
    <xf numFmtId="0" fontId="0" fillId="2" borderId="2" xfId="0" applyFill="1" applyBorder="1"/>
    <xf numFmtId="0" fontId="0" fillId="2" borderId="36" xfId="0" applyFill="1" applyBorder="1"/>
    <xf numFmtId="0" fontId="0" fillId="2" borderId="3" xfId="0" applyFill="1" applyBorder="1" applyAlignment="1">
      <alignment horizontal="center" wrapText="1"/>
    </xf>
    <xf numFmtId="0" fontId="0" fillId="2" borderId="14" xfId="0" applyFill="1" applyBorder="1"/>
    <xf numFmtId="0" fontId="0" fillId="2" borderId="25" xfId="0" applyFill="1" applyBorder="1"/>
    <xf numFmtId="165" fontId="0" fillId="5" borderId="0" xfId="1" applyNumberFormat="1" applyFont="1" applyFill="1" applyBorder="1" applyProtection="1"/>
    <xf numFmtId="165" fontId="0" fillId="3" borderId="0" xfId="1" applyNumberFormat="1" applyFont="1" applyFill="1" applyBorder="1" applyProtection="1"/>
    <xf numFmtId="165" fontId="0" fillId="3" borderId="15" xfId="1" applyNumberFormat="1" applyFont="1" applyFill="1" applyBorder="1" applyProtection="1">
      <protection locked="0"/>
    </xf>
    <xf numFmtId="0" fontId="13" fillId="3" borderId="0" xfId="0" applyFont="1" applyFill="1" applyAlignment="1" applyProtection="1">
      <alignment vertical="top"/>
      <protection locked="0"/>
    </xf>
    <xf numFmtId="43" fontId="0" fillId="3" borderId="15" xfId="1" applyFont="1" applyFill="1" applyBorder="1" applyProtection="1">
      <protection locked="0"/>
    </xf>
    <xf numFmtId="165" fontId="0" fillId="3" borderId="0" xfId="1" applyNumberFormat="1" applyFont="1" applyFill="1" applyBorder="1"/>
    <xf numFmtId="164" fontId="0" fillId="3" borderId="15" xfId="1" applyNumberFormat="1" applyFont="1" applyFill="1" applyBorder="1" applyProtection="1">
      <protection locked="0"/>
    </xf>
    <xf numFmtId="165" fontId="0" fillId="3" borderId="0" xfId="1" applyNumberFormat="1" applyFont="1" applyFill="1" applyBorder="1" applyProtection="1">
      <protection locked="0"/>
    </xf>
    <xf numFmtId="0" fontId="0" fillId="5" borderId="8" xfId="0" applyFill="1" applyBorder="1" applyAlignment="1">
      <alignment horizontal="right"/>
    </xf>
    <xf numFmtId="0" fontId="0" fillId="5" borderId="5" xfId="0" applyFill="1" applyBorder="1"/>
    <xf numFmtId="0" fontId="0" fillId="5" borderId="1" xfId="0" applyFill="1" applyBorder="1"/>
    <xf numFmtId="0" fontId="0" fillId="5" borderId="9" xfId="0" applyFill="1" applyBorder="1" applyAlignment="1">
      <alignment horizontal="right"/>
    </xf>
    <xf numFmtId="0" fontId="0" fillId="5" borderId="0" xfId="0" applyFill="1"/>
    <xf numFmtId="0" fontId="0" fillId="5" borderId="2" xfId="0" applyFill="1" applyBorder="1"/>
    <xf numFmtId="0" fontId="0" fillId="5" borderId="34" xfId="0" applyFill="1" applyBorder="1" applyAlignment="1">
      <alignment horizontal="right"/>
    </xf>
    <xf numFmtId="0" fontId="0" fillId="5" borderId="35" xfId="0" applyFill="1" applyBorder="1"/>
    <xf numFmtId="0" fontId="0" fillId="5" borderId="36" xfId="0" applyFill="1" applyBorder="1"/>
    <xf numFmtId="0" fontId="0" fillId="3" borderId="8" xfId="0" applyFill="1" applyBorder="1" applyAlignment="1">
      <alignment horizontal="right" vertical="top" wrapText="1"/>
    </xf>
    <xf numFmtId="0" fontId="0" fillId="3" borderId="5" xfId="0" applyFill="1" applyBorder="1"/>
    <xf numFmtId="10" fontId="0" fillId="3" borderId="5" xfId="11" applyNumberFormat="1" applyFont="1" applyFill="1" applyBorder="1" applyProtection="1"/>
    <xf numFmtId="0" fontId="0" fillId="3" borderId="9" xfId="0" applyFill="1" applyBorder="1" applyAlignment="1">
      <alignment horizontal="right" vertical="top" wrapText="1"/>
    </xf>
    <xf numFmtId="0" fontId="0" fillId="3" borderId="0" xfId="0" applyFill="1"/>
    <xf numFmtId="10" fontId="0" fillId="3" borderId="0" xfId="11" applyNumberFormat="1" applyFont="1" applyFill="1" applyBorder="1" applyProtection="1"/>
    <xf numFmtId="0" fontId="0" fillId="3" borderId="10" xfId="0" applyFill="1" applyBorder="1" applyAlignment="1">
      <alignment horizontal="right" vertical="top" wrapText="1"/>
    </xf>
    <xf numFmtId="10" fontId="0" fillId="3" borderId="6" xfId="11" applyNumberFormat="1" applyFont="1" applyFill="1" applyBorder="1" applyProtection="1"/>
    <xf numFmtId="0" fontId="0" fillId="3" borderId="6" xfId="0" applyFill="1" applyBorder="1"/>
    <xf numFmtId="0" fontId="0" fillId="3" borderId="9" xfId="0" applyFill="1" applyBorder="1" applyAlignment="1">
      <alignment horizontal="right"/>
    </xf>
    <xf numFmtId="0" fontId="0" fillId="5" borderId="26" xfId="0" applyFill="1" applyBorder="1"/>
    <xf numFmtId="0" fontId="0" fillId="5" borderId="14" xfId="0" applyFill="1" applyBorder="1"/>
    <xf numFmtId="0" fontId="0" fillId="5" borderId="25" xfId="0" applyFill="1" applyBorder="1"/>
    <xf numFmtId="0" fontId="0" fillId="3" borderId="14" xfId="0" applyFill="1" applyBorder="1"/>
    <xf numFmtId="0" fontId="0" fillId="3" borderId="25" xfId="0" applyFill="1" applyBorder="1"/>
    <xf numFmtId="0" fontId="18" fillId="0" borderId="0" xfId="0" applyFont="1"/>
    <xf numFmtId="0" fontId="0" fillId="2" borderId="0" xfId="0" applyFill="1" applyProtection="1">
      <protection locked="0"/>
    </xf>
    <xf numFmtId="165" fontId="0" fillId="5" borderId="8" xfId="1" applyNumberFormat="1" applyFont="1" applyFill="1" applyBorder="1" applyProtection="1">
      <protection locked="0"/>
    </xf>
    <xf numFmtId="165" fontId="0" fillId="5" borderId="10" xfId="1" applyNumberFormat="1" applyFont="1" applyFill="1" applyBorder="1" applyProtection="1">
      <protection locked="0"/>
    </xf>
    <xf numFmtId="9" fontId="0" fillId="5" borderId="10" xfId="11" applyFont="1" applyFill="1" applyBorder="1" applyProtection="1">
      <protection locked="0"/>
    </xf>
    <xf numFmtId="169" fontId="0" fillId="5" borderId="0" xfId="1" applyNumberFormat="1" applyFont="1" applyFill="1" applyBorder="1" applyProtection="1"/>
    <xf numFmtId="169" fontId="0" fillId="5" borderId="0" xfId="1" applyNumberFormat="1" applyFont="1" applyFill="1" applyBorder="1" applyProtection="1">
      <protection locked="0"/>
    </xf>
    <xf numFmtId="165" fontId="0" fillId="5" borderId="2" xfId="1" applyNumberFormat="1" applyFont="1" applyFill="1" applyBorder="1" applyProtection="1">
      <protection locked="0"/>
    </xf>
    <xf numFmtId="165" fontId="0" fillId="5" borderId="19" xfId="1" applyNumberFormat="1" applyFont="1" applyFill="1" applyBorder="1" applyProtection="1">
      <protection locked="0"/>
    </xf>
    <xf numFmtId="169" fontId="0" fillId="5" borderId="6" xfId="1" applyNumberFormat="1" applyFont="1" applyFill="1" applyBorder="1" applyProtection="1">
      <protection locked="0"/>
    </xf>
    <xf numFmtId="165" fontId="0" fillId="5" borderId="3" xfId="1" applyNumberFormat="1" applyFont="1" applyFill="1" applyBorder="1" applyProtection="1">
      <protection locked="0"/>
    </xf>
    <xf numFmtId="165" fontId="0" fillId="5" borderId="20" xfId="1" applyNumberFormat="1" applyFont="1" applyFill="1" applyBorder="1" applyProtection="1">
      <protection locked="0"/>
    </xf>
    <xf numFmtId="164" fontId="0" fillId="5" borderId="22" xfId="1" applyNumberFormat="1" applyFont="1" applyFill="1" applyBorder="1" applyProtection="1">
      <protection locked="0"/>
    </xf>
    <xf numFmtId="0" fontId="2" fillId="0" borderId="0" xfId="0" applyFont="1" applyAlignment="1">
      <alignment wrapText="1"/>
    </xf>
    <xf numFmtId="0" fontId="32" fillId="0" borderId="0" xfId="0" applyFont="1"/>
    <xf numFmtId="0" fontId="28" fillId="0" borderId="0" xfId="0" applyFont="1"/>
    <xf numFmtId="0" fontId="5" fillId="0" borderId="0" xfId="0" applyFont="1" applyAlignment="1">
      <alignment horizontal="left"/>
    </xf>
    <xf numFmtId="0" fontId="2" fillId="0" borderId="17" xfId="0" applyFont="1" applyBorder="1"/>
    <xf numFmtId="0" fontId="2" fillId="0" borderId="21" xfId="0" applyFont="1" applyBorder="1"/>
    <xf numFmtId="0" fontId="2" fillId="0" borderId="0" xfId="0" applyFont="1" applyProtection="1">
      <protection hidden="1"/>
    </xf>
    <xf numFmtId="0" fontId="2" fillId="0" borderId="8" xfId="0" applyFont="1" applyBorder="1" applyAlignment="1" applyProtection="1">
      <alignment vertical="center"/>
      <protection hidden="1"/>
    </xf>
    <xf numFmtId="0" fontId="2" fillId="0" borderId="22" xfId="0" applyFont="1" applyBorder="1" applyProtection="1">
      <protection hidden="1"/>
    </xf>
    <xf numFmtId="0" fontId="2" fillId="0" borderId="7" xfId="0" applyFont="1" applyBorder="1" applyAlignment="1" applyProtection="1">
      <alignment horizontal="center" wrapText="1"/>
      <protection hidden="1"/>
    </xf>
    <xf numFmtId="0" fontId="2" fillId="0" borderId="8" xfId="0" applyFont="1" applyBorder="1" applyProtection="1">
      <protection hidden="1"/>
    </xf>
    <xf numFmtId="0" fontId="34" fillId="0" borderId="0" xfId="0" applyFont="1"/>
    <xf numFmtId="0" fontId="2" fillId="0" borderId="15" xfId="0" applyFont="1" applyBorder="1" applyAlignment="1">
      <alignment horizontal="left"/>
    </xf>
    <xf numFmtId="0" fontId="2" fillId="0" borderId="15" xfId="0" applyFont="1" applyBorder="1"/>
    <xf numFmtId="0" fontId="22" fillId="0" borderId="0" xfId="0" applyFont="1" applyAlignment="1">
      <alignment horizontal="left" wrapText="1"/>
    </xf>
    <xf numFmtId="0" fontId="23" fillId="0" borderId="0" xfId="0" applyFont="1" applyAlignment="1">
      <alignment horizontal="left" wrapText="1"/>
    </xf>
    <xf numFmtId="0" fontId="5" fillId="0" borderId="0" xfId="6"/>
    <xf numFmtId="0" fontId="2" fillId="0" borderId="0" xfId="6" applyFont="1"/>
    <xf numFmtId="0" fontId="35" fillId="0" borderId="0" xfId="6" applyFont="1"/>
    <xf numFmtId="0" fontId="4" fillId="0" borderId="0" xfId="6" applyFont="1"/>
    <xf numFmtId="0" fontId="9" fillId="0" borderId="0" xfId="5" applyAlignment="1" applyProtection="1"/>
    <xf numFmtId="0" fontId="0" fillId="3" borderId="10" xfId="0" applyFill="1" applyBorder="1" applyAlignment="1">
      <alignment horizontal="right"/>
    </xf>
    <xf numFmtId="0" fontId="0" fillId="5" borderId="10" xfId="0" applyFill="1" applyBorder="1" applyAlignment="1">
      <alignment horizontal="right"/>
    </xf>
    <xf numFmtId="0" fontId="0" fillId="5" borderId="6" xfId="0" applyFill="1" applyBorder="1"/>
    <xf numFmtId="0" fontId="0" fillId="5" borderId="3" xfId="0" applyFill="1" applyBorder="1"/>
    <xf numFmtId="3" fontId="0" fillId="0" borderId="0" xfId="1" applyNumberFormat="1" applyFont="1" applyFill="1" applyBorder="1" applyProtection="1"/>
    <xf numFmtId="9" fontId="0" fillId="0" borderId="0" xfId="11" applyFont="1" applyFill="1" applyBorder="1" applyProtection="1"/>
    <xf numFmtId="0" fontId="8" fillId="3" borderId="0" xfId="0" applyFont="1" applyFill="1" applyProtection="1">
      <protection locked="0"/>
    </xf>
    <xf numFmtId="3" fontId="0" fillId="0" borderId="0" xfId="0" applyNumberFormat="1"/>
    <xf numFmtId="0" fontId="0" fillId="13" borderId="0" xfId="0" applyFill="1"/>
    <xf numFmtId="165" fontId="0" fillId="13" borderId="0" xfId="1" applyNumberFormat="1" applyFont="1" applyFill="1" applyBorder="1" applyProtection="1">
      <protection locked="0"/>
    </xf>
    <xf numFmtId="165" fontId="0" fillId="13" borderId="0" xfId="1" applyNumberFormat="1" applyFont="1" applyFill="1" applyBorder="1" applyProtection="1"/>
    <xf numFmtId="165" fontId="0" fillId="13" borderId="0" xfId="1" applyNumberFormat="1" applyFont="1" applyFill="1" applyBorder="1"/>
    <xf numFmtId="0" fontId="0" fillId="7" borderId="0" xfId="0" applyFill="1"/>
    <xf numFmtId="165" fontId="0" fillId="0" borderId="48" xfId="1" applyNumberFormat="1" applyFont="1" applyFill="1" applyBorder="1" applyProtection="1"/>
    <xf numFmtId="165" fontId="0" fillId="0" borderId="35" xfId="1" applyNumberFormat="1" applyFont="1" applyFill="1" applyBorder="1" applyProtection="1"/>
    <xf numFmtId="0" fontId="37" fillId="0" borderId="45" xfId="0" applyFont="1" applyBorder="1"/>
    <xf numFmtId="165" fontId="0" fillId="0" borderId="48" xfId="1" applyNumberFormat="1" applyFont="1" applyFill="1" applyBorder="1"/>
    <xf numFmtId="165" fontId="0" fillId="0" borderId="46" xfId="1" applyNumberFormat="1" applyFont="1" applyFill="1" applyBorder="1"/>
    <xf numFmtId="43" fontId="0" fillId="3" borderId="49" xfId="1" applyFont="1" applyFill="1" applyBorder="1" applyProtection="1">
      <protection locked="0"/>
    </xf>
    <xf numFmtId="165" fontId="0" fillId="0" borderId="35" xfId="1" applyNumberFormat="1" applyFont="1" applyFill="1" applyBorder="1"/>
    <xf numFmtId="0" fontId="13" fillId="13" borderId="0" xfId="0" applyFont="1" applyFill="1" applyAlignment="1" applyProtection="1">
      <alignment horizontal="left"/>
      <protection locked="0"/>
    </xf>
    <xf numFmtId="9" fontId="0" fillId="0" borderId="46" xfId="11" applyFont="1" applyFill="1" applyBorder="1" applyProtection="1">
      <protection locked="0"/>
    </xf>
    <xf numFmtId="0" fontId="0" fillId="0" borderId="46" xfId="0" applyBorder="1"/>
    <xf numFmtId="0" fontId="32" fillId="0" borderId="46" xfId="0" applyFont="1" applyBorder="1"/>
    <xf numFmtId="0" fontId="0" fillId="0" borderId="45" xfId="0" applyBorder="1"/>
    <xf numFmtId="0" fontId="0" fillId="0" borderId="32" xfId="0" applyBorder="1"/>
    <xf numFmtId="0" fontId="2" fillId="13" borderId="9" xfId="0" applyFont="1" applyFill="1" applyBorder="1" applyAlignment="1">
      <alignment vertical="center"/>
    </xf>
    <xf numFmtId="0" fontId="0" fillId="13" borderId="9" xfId="0" quotePrefix="1" applyFill="1" applyBorder="1" applyAlignment="1">
      <alignment horizontal="left"/>
    </xf>
    <xf numFmtId="0" fontId="0" fillId="13" borderId="2" xfId="0" applyFill="1" applyBorder="1"/>
    <xf numFmtId="0" fontId="13" fillId="13" borderId="9" xfId="0" applyFont="1" applyFill="1" applyBorder="1" applyAlignment="1" applyProtection="1">
      <alignment horizontal="right"/>
      <protection locked="0"/>
    </xf>
    <xf numFmtId="0" fontId="2" fillId="13" borderId="9" xfId="0" applyFont="1" applyFill="1" applyBorder="1" applyAlignment="1">
      <alignment vertical="top"/>
    </xf>
    <xf numFmtId="0" fontId="0" fillId="13" borderId="9" xfId="0" applyFill="1" applyBorder="1"/>
    <xf numFmtId="0" fontId="0" fillId="13" borderId="9" xfId="0" applyFill="1" applyBorder="1" applyAlignment="1">
      <alignment vertical="top"/>
    </xf>
    <xf numFmtId="0" fontId="0" fillId="13" borderId="9" xfId="0" applyFill="1" applyBorder="1" applyAlignment="1">
      <alignment horizontal="right" vertical="top"/>
    </xf>
    <xf numFmtId="0" fontId="2" fillId="13" borderId="9" xfId="0" applyFont="1" applyFill="1" applyBorder="1" applyAlignment="1">
      <alignment horizontal="right" vertical="top"/>
    </xf>
    <xf numFmtId="0" fontId="2" fillId="13" borderId="9" xfId="0" applyFont="1" applyFill="1" applyBorder="1" applyAlignment="1">
      <alignment horizontal="left"/>
    </xf>
    <xf numFmtId="0" fontId="0" fillId="13" borderId="9" xfId="0" applyFill="1" applyBorder="1" applyAlignment="1">
      <alignment horizontal="right"/>
    </xf>
    <xf numFmtId="0" fontId="13" fillId="13" borderId="2" xfId="0" applyFont="1" applyFill="1" applyBorder="1" applyAlignment="1" applyProtection="1">
      <alignment horizontal="center"/>
      <protection locked="0"/>
    </xf>
    <xf numFmtId="0" fontId="0" fillId="13" borderId="9" xfId="0" applyFill="1" applyBorder="1" applyAlignment="1">
      <alignment horizontal="right" vertical="center"/>
    </xf>
    <xf numFmtId="0" fontId="0" fillId="13" borderId="9" xfId="0" applyFill="1" applyBorder="1" applyAlignment="1">
      <alignment horizontal="left"/>
    </xf>
    <xf numFmtId="0" fontId="2" fillId="13" borderId="9" xfId="0" applyFont="1" applyFill="1" applyBorder="1" applyAlignment="1">
      <alignment horizontal="right"/>
    </xf>
    <xf numFmtId="0" fontId="0" fillId="0" borderId="45" xfId="0" applyBorder="1" applyAlignment="1">
      <alignment horizontal="right"/>
    </xf>
    <xf numFmtId="0" fontId="2" fillId="13" borderId="9" xfId="0" applyFont="1" applyFill="1" applyBorder="1"/>
    <xf numFmtId="0" fontId="1" fillId="13" borderId="9" xfId="0" applyFont="1" applyFill="1" applyBorder="1" applyAlignment="1">
      <alignment horizontal="right"/>
    </xf>
    <xf numFmtId="165" fontId="13" fillId="13" borderId="2" xfId="1" applyNumberFormat="1" applyFont="1" applyFill="1" applyBorder="1" applyAlignment="1" applyProtection="1">
      <alignment horizontal="left"/>
      <protection locked="0"/>
    </xf>
    <xf numFmtId="0" fontId="14" fillId="13" borderId="9" xfId="0" applyFont="1" applyFill="1" applyBorder="1" applyAlignment="1">
      <alignment horizontal="left"/>
    </xf>
    <xf numFmtId="0" fontId="14" fillId="13" borderId="2" xfId="0" applyFont="1" applyFill="1" applyBorder="1" applyAlignment="1">
      <alignment horizontal="right"/>
    </xf>
    <xf numFmtId="0" fontId="0" fillId="0" borderId="51" xfId="0" applyBorder="1"/>
    <xf numFmtId="0" fontId="0" fillId="0" borderId="36" xfId="0" applyBorder="1"/>
    <xf numFmtId="0" fontId="2" fillId="3" borderId="9" xfId="0" applyFont="1" applyFill="1" applyBorder="1" applyAlignment="1">
      <alignment horizontal="left"/>
    </xf>
    <xf numFmtId="0" fontId="20" fillId="3" borderId="2" xfId="0" applyFont="1" applyFill="1" applyBorder="1" applyProtection="1">
      <protection locked="0" hidden="1"/>
    </xf>
    <xf numFmtId="0" fontId="0" fillId="3" borderId="9" xfId="0" applyFill="1" applyBorder="1" applyAlignment="1">
      <alignment horizontal="left"/>
    </xf>
    <xf numFmtId="0" fontId="13" fillId="3" borderId="2" xfId="0" applyFont="1" applyFill="1" applyBorder="1" applyAlignment="1" applyProtection="1">
      <alignment horizontal="center"/>
      <protection locked="0"/>
    </xf>
    <xf numFmtId="0" fontId="2" fillId="3" borderId="2" xfId="0" applyFont="1" applyFill="1" applyBorder="1"/>
    <xf numFmtId="0" fontId="2" fillId="3" borderId="34" xfId="0" applyFont="1" applyFill="1" applyBorder="1" applyAlignment="1">
      <alignment horizontal="right"/>
    </xf>
    <xf numFmtId="0" fontId="2" fillId="2" borderId="9" xfId="0" applyFont="1" applyFill="1" applyBorder="1" applyAlignment="1">
      <alignment vertical="center"/>
    </xf>
    <xf numFmtId="0" fontId="9" fillId="7" borderId="9" xfId="4" applyFill="1" applyBorder="1" applyAlignment="1" applyProtection="1">
      <alignment horizontal="left" indent="2"/>
    </xf>
    <xf numFmtId="0" fontId="0" fillId="7" borderId="2" xfId="0" applyFill="1" applyBorder="1"/>
    <xf numFmtId="0" fontId="13" fillId="2" borderId="2" xfId="0" applyFont="1" applyFill="1" applyBorder="1" applyAlignment="1" applyProtection="1">
      <alignment horizontal="left" vertical="center"/>
      <protection locked="0"/>
    </xf>
    <xf numFmtId="0" fontId="0" fillId="7" borderId="10" xfId="0" applyFill="1" applyBorder="1"/>
    <xf numFmtId="0" fontId="11" fillId="0" borderId="34" xfId="0" applyFont="1" applyBorder="1" applyAlignment="1">
      <alignment horizontal="left"/>
    </xf>
    <xf numFmtId="0" fontId="1" fillId="0" borderId="0" xfId="0" applyFont="1"/>
    <xf numFmtId="0" fontId="39" fillId="13" borderId="9" xfId="0" applyFont="1" applyFill="1" applyBorder="1" applyAlignment="1" applyProtection="1">
      <alignment horizontal="left"/>
      <protection locked="0" hidden="1"/>
    </xf>
    <xf numFmtId="165" fontId="0" fillId="13" borderId="48" xfId="1" applyNumberFormat="1" applyFont="1" applyFill="1" applyBorder="1" applyProtection="1">
      <protection locked="0"/>
    </xf>
    <xf numFmtId="43" fontId="0" fillId="3" borderId="48" xfId="1" applyFont="1" applyFill="1" applyBorder="1" applyProtection="1">
      <protection locked="0"/>
    </xf>
    <xf numFmtId="0" fontId="2" fillId="3" borderId="9" xfId="0" applyFont="1" applyFill="1" applyBorder="1" applyAlignment="1">
      <alignment horizontal="right"/>
    </xf>
    <xf numFmtId="43" fontId="0" fillId="3" borderId="35" xfId="1" applyFont="1" applyFill="1" applyBorder="1" applyProtection="1">
      <protection locked="0"/>
    </xf>
    <xf numFmtId="0" fontId="13" fillId="0" borderId="36" xfId="0" applyFont="1" applyBorder="1" applyProtection="1">
      <protection locked="0"/>
    </xf>
    <xf numFmtId="0" fontId="40" fillId="0" borderId="0" xfId="4" applyFont="1" applyFill="1" applyAlignment="1" applyProtection="1">
      <alignment horizontal="left" vertical="center" wrapText="1" indent="15"/>
      <protection locked="0"/>
    </xf>
    <xf numFmtId="0" fontId="1" fillId="0" borderId="0" xfId="6" applyFont="1"/>
    <xf numFmtId="0" fontId="1" fillId="13" borderId="9" xfId="0" applyFont="1" applyFill="1" applyBorder="1"/>
    <xf numFmtId="9" fontId="0" fillId="13" borderId="0" xfId="11" applyFont="1" applyFill="1" applyBorder="1" applyProtection="1">
      <protection locked="0"/>
    </xf>
    <xf numFmtId="0" fontId="1" fillId="13" borderId="9" xfId="0" applyFont="1" applyFill="1" applyBorder="1" applyAlignment="1">
      <alignment vertical="center"/>
    </xf>
    <xf numFmtId="0" fontId="0" fillId="13" borderId="2" xfId="0" applyFill="1" applyBorder="1" applyAlignment="1">
      <alignment vertical="center"/>
    </xf>
    <xf numFmtId="0" fontId="5" fillId="0" borderId="0" xfId="0" applyFont="1" applyAlignment="1">
      <alignment vertical="center"/>
    </xf>
    <xf numFmtId="9" fontId="0" fillId="13" borderId="0" xfId="11" applyFont="1" applyFill="1" applyBorder="1" applyAlignment="1" applyProtection="1">
      <alignment vertical="center"/>
      <protection locked="0"/>
    </xf>
    <xf numFmtId="0" fontId="1" fillId="13" borderId="2" xfId="0" applyFont="1" applyFill="1" applyBorder="1"/>
    <xf numFmtId="0" fontId="1" fillId="14" borderId="9" xfId="0" applyFont="1" applyFill="1" applyBorder="1" applyProtection="1">
      <protection hidden="1"/>
    </xf>
    <xf numFmtId="0" fontId="1" fillId="0" borderId="9" xfId="0" applyFont="1" applyBorder="1" applyProtection="1">
      <protection hidden="1"/>
    </xf>
    <xf numFmtId="0" fontId="0" fillId="0" borderId="34" xfId="0" applyBorder="1" applyAlignment="1">
      <alignment horizontal="right"/>
    </xf>
    <xf numFmtId="0" fontId="2" fillId="7" borderId="50" xfId="0" applyFont="1" applyFill="1" applyBorder="1" applyAlignment="1">
      <alignment vertical="top"/>
    </xf>
    <xf numFmtId="0" fontId="9" fillId="7" borderId="34" xfId="4" applyFill="1" applyBorder="1" applyAlignment="1" applyProtection="1">
      <alignment horizontal="left" indent="2"/>
    </xf>
    <xf numFmtId="0" fontId="0" fillId="2" borderId="35" xfId="0" applyFill="1" applyBorder="1" applyProtection="1">
      <protection locked="0"/>
    </xf>
    <xf numFmtId="0" fontId="33" fillId="13" borderId="2" xfId="0" applyFont="1" applyFill="1" applyBorder="1" applyAlignment="1" applyProtection="1">
      <alignment wrapText="1"/>
      <protection locked="0"/>
    </xf>
    <xf numFmtId="0" fontId="33" fillId="13" borderId="2" xfId="0" applyFont="1" applyFill="1" applyBorder="1" applyAlignment="1" applyProtection="1">
      <alignment horizontal="center"/>
      <protection locked="0"/>
    </xf>
    <xf numFmtId="0" fontId="39" fillId="13" borderId="9" xfId="0" applyFont="1" applyFill="1" applyBorder="1" applyAlignment="1" applyProtection="1">
      <alignment horizontal="left"/>
      <protection locked="0"/>
    </xf>
    <xf numFmtId="0" fontId="0" fillId="13" borderId="9" xfId="0" applyFill="1" applyBorder="1" applyAlignment="1" applyProtection="1">
      <alignment horizontal="left"/>
      <protection locked="0"/>
    </xf>
    <xf numFmtId="0" fontId="39" fillId="13" borderId="2" xfId="0" applyFont="1" applyFill="1" applyBorder="1" applyAlignment="1" applyProtection="1">
      <alignment horizontal="right"/>
      <protection locked="0"/>
    </xf>
    <xf numFmtId="165" fontId="20" fillId="3" borderId="9" xfId="1" applyNumberFormat="1" applyFont="1" applyFill="1" applyBorder="1" applyAlignment="1" applyProtection="1">
      <protection locked="0"/>
    </xf>
    <xf numFmtId="0" fontId="2" fillId="13" borderId="9" xfId="0" quotePrefix="1" applyFont="1" applyFill="1" applyBorder="1" applyAlignment="1" applyProtection="1">
      <alignment horizontal="left"/>
      <protection locked="0"/>
    </xf>
    <xf numFmtId="0" fontId="0" fillId="3" borderId="9" xfId="0" applyFill="1" applyBorder="1" applyAlignment="1" applyProtection="1">
      <alignment horizontal="left"/>
      <protection locked="0"/>
    </xf>
    <xf numFmtId="0" fontId="20" fillId="3" borderId="2" xfId="0" applyFont="1" applyFill="1" applyBorder="1" applyProtection="1">
      <protection locked="0"/>
    </xf>
    <xf numFmtId="0" fontId="0" fillId="13" borderId="9" xfId="0" quotePrefix="1" applyFill="1" applyBorder="1" applyAlignment="1" applyProtection="1">
      <alignment horizontal="left"/>
      <protection locked="0"/>
    </xf>
    <xf numFmtId="9" fontId="0" fillId="0" borderId="16" xfId="11" applyFont="1" applyFill="1" applyBorder="1" applyProtection="1">
      <protection locked="0"/>
    </xf>
    <xf numFmtId="43" fontId="0" fillId="0" borderId="24" xfId="1" applyFont="1" applyFill="1" applyBorder="1" applyProtection="1">
      <protection locked="0"/>
    </xf>
    <xf numFmtId="0" fontId="0" fillId="5" borderId="27" xfId="0" applyFill="1" applyBorder="1" applyAlignment="1" applyProtection="1">
      <alignment horizontal="center" wrapText="1"/>
      <protection locked="0"/>
    </xf>
    <xf numFmtId="0" fontId="0" fillId="5" borderId="21" xfId="0" applyFill="1" applyBorder="1" applyAlignment="1" applyProtection="1">
      <alignment horizontal="center" wrapText="1"/>
      <protection locked="0"/>
    </xf>
    <xf numFmtId="0" fontId="0" fillId="3" borderId="21" xfId="0" applyFill="1" applyBorder="1" applyAlignment="1" applyProtection="1">
      <alignment horizontal="center" wrapText="1"/>
      <protection locked="0"/>
    </xf>
    <xf numFmtId="0" fontId="0" fillId="2" borderId="27" xfId="0" applyFill="1" applyBorder="1" applyAlignment="1" applyProtection="1">
      <alignment horizontal="center" wrapText="1"/>
      <protection locked="0"/>
    </xf>
    <xf numFmtId="0" fontId="0" fillId="2" borderId="37" xfId="0" applyFill="1" applyBorder="1" applyAlignment="1" applyProtection="1">
      <alignment horizontal="center" wrapText="1"/>
      <protection locked="0"/>
    </xf>
    <xf numFmtId="0" fontId="0" fillId="2" borderId="21" xfId="0" applyFill="1" applyBorder="1" applyAlignment="1" applyProtection="1">
      <alignment horizontal="center" wrapText="1"/>
      <protection locked="0"/>
    </xf>
    <xf numFmtId="164" fontId="4" fillId="4" borderId="0" xfId="1" applyNumberFormat="1" applyFont="1" applyFill="1" applyProtection="1">
      <protection locked="0"/>
    </xf>
    <xf numFmtId="0" fontId="0" fillId="2" borderId="6" xfId="0" applyFill="1" applyBorder="1" applyProtection="1">
      <protection locked="0"/>
    </xf>
    <xf numFmtId="0" fontId="0" fillId="3" borderId="2" xfId="0" applyFill="1" applyBorder="1" applyProtection="1">
      <protection locked="0"/>
    </xf>
    <xf numFmtId="0" fontId="0" fillId="3" borderId="3" xfId="0" applyFill="1" applyBorder="1" applyProtection="1">
      <protection locked="0"/>
    </xf>
    <xf numFmtId="165" fontId="1" fillId="0" borderId="0" xfId="1" applyNumberFormat="1" applyFont="1" applyBorder="1" applyProtection="1">
      <protection locked="0"/>
    </xf>
    <xf numFmtId="0" fontId="1" fillId="0" borderId="2" xfId="0" applyFont="1" applyBorder="1" applyProtection="1">
      <protection locked="0"/>
    </xf>
    <xf numFmtId="0" fontId="1" fillId="14" borderId="2" xfId="0" applyFont="1" applyFill="1" applyBorder="1" applyProtection="1">
      <protection locked="0"/>
    </xf>
    <xf numFmtId="165" fontId="1" fillId="14" borderId="0" xfId="1" quotePrefix="1" applyNumberFormat="1" applyFont="1" applyFill="1" applyBorder="1" applyProtection="1">
      <protection locked="0"/>
    </xf>
    <xf numFmtId="0" fontId="13" fillId="13" borderId="2" xfId="0" applyFont="1" applyFill="1" applyBorder="1" applyAlignment="1" applyProtection="1">
      <alignment horizontal="left"/>
      <protection locked="0"/>
    </xf>
    <xf numFmtId="0" fontId="1" fillId="13" borderId="9" xfId="0" applyFont="1" applyFill="1" applyBorder="1" applyAlignment="1">
      <alignment horizontal="right" vertical="center"/>
    </xf>
    <xf numFmtId="9" fontId="2" fillId="0" borderId="0" xfId="11" applyFont="1"/>
    <xf numFmtId="168" fontId="2" fillId="0" borderId="0" xfId="11" applyNumberFormat="1" applyFont="1"/>
    <xf numFmtId="11" fontId="2" fillId="0" borderId="0" xfId="1" applyNumberFormat="1" applyFont="1"/>
    <xf numFmtId="176" fontId="2" fillId="0" borderId="0" xfId="0" applyNumberFormat="1" applyFont="1"/>
    <xf numFmtId="0" fontId="1" fillId="0" borderId="0" xfId="0" applyFont="1" applyAlignment="1">
      <alignment wrapText="1"/>
    </xf>
    <xf numFmtId="0" fontId="4" fillId="0" borderId="0" xfId="0" applyFont="1" applyAlignment="1">
      <alignment wrapText="1"/>
    </xf>
    <xf numFmtId="0" fontId="1" fillId="0" borderId="0" xfId="0" applyFont="1" applyAlignment="1">
      <alignment horizontal="center" wrapText="1"/>
    </xf>
    <xf numFmtId="9" fontId="1" fillId="0" borderId="0" xfId="11" applyFont="1"/>
    <xf numFmtId="168" fontId="1" fillId="0" borderId="0" xfId="11" applyNumberFormat="1" applyFont="1"/>
    <xf numFmtId="174" fontId="1" fillId="0" borderId="0" xfId="1" applyNumberFormat="1" applyFont="1"/>
    <xf numFmtId="0" fontId="1" fillId="0" borderId="0" xfId="0" applyFont="1" applyAlignment="1">
      <alignment horizontal="center"/>
    </xf>
    <xf numFmtId="11" fontId="1" fillId="0" borderId="0" xfId="1" applyNumberFormat="1" applyFont="1"/>
    <xf numFmtId="43" fontId="1" fillId="0" borderId="0" xfId="1" applyFont="1"/>
    <xf numFmtId="9" fontId="1" fillId="0" borderId="0" xfId="0" applyNumberFormat="1" applyFont="1"/>
    <xf numFmtId="2" fontId="1" fillId="0" borderId="0" xfId="0" applyNumberFormat="1" applyFont="1"/>
    <xf numFmtId="168" fontId="1" fillId="0" borderId="0" xfId="0" applyNumberFormat="1" applyFont="1"/>
    <xf numFmtId="175" fontId="1" fillId="0" borderId="0" xfId="0" applyNumberFormat="1" applyFont="1"/>
    <xf numFmtId="172" fontId="1" fillId="0" borderId="0" xfId="0" applyNumberFormat="1" applyFont="1"/>
    <xf numFmtId="176" fontId="1" fillId="0" borderId="0" xfId="0" applyNumberFormat="1" applyFont="1"/>
    <xf numFmtId="0" fontId="33" fillId="13" borderId="2" xfId="0" applyFont="1" applyFill="1" applyBorder="1"/>
    <xf numFmtId="0" fontId="42" fillId="13" borderId="2" xfId="0" applyFont="1" applyFill="1" applyBorder="1"/>
    <xf numFmtId="0" fontId="1" fillId="0" borderId="19" xfId="0" applyFont="1" applyBorder="1"/>
    <xf numFmtId="0" fontId="33" fillId="13" borderId="0" xfId="0" applyFont="1" applyFill="1" applyAlignment="1">
      <alignment horizontal="left"/>
    </xf>
    <xf numFmtId="0" fontId="42" fillId="13" borderId="2" xfId="0" applyFont="1" applyFill="1" applyBorder="1" applyAlignment="1">
      <alignment horizontal="left"/>
    </xf>
    <xf numFmtId="0" fontId="9" fillId="13" borderId="0" xfId="4" applyFill="1" applyBorder="1" applyAlignment="1" applyProtection="1">
      <alignment horizontal="center" vertical="center"/>
    </xf>
    <xf numFmtId="165" fontId="0" fillId="4" borderId="49" xfId="1" applyNumberFormat="1" applyFont="1" applyFill="1" applyBorder="1" applyProtection="1">
      <protection locked="0"/>
    </xf>
    <xf numFmtId="165" fontId="0" fillId="4" borderId="15" xfId="1" applyNumberFormat="1" applyFont="1" applyFill="1" applyBorder="1" applyProtection="1">
      <protection locked="0"/>
    </xf>
    <xf numFmtId="0" fontId="0" fillId="4" borderId="0" xfId="0" applyFill="1" applyProtection="1">
      <protection locked="0"/>
    </xf>
    <xf numFmtId="9" fontId="0" fillId="4" borderId="15" xfId="11" applyFont="1" applyFill="1" applyBorder="1" applyProtection="1">
      <protection locked="0"/>
    </xf>
    <xf numFmtId="165" fontId="0" fillId="4" borderId="0" xfId="1" applyNumberFormat="1" applyFont="1" applyFill="1" applyBorder="1" applyProtection="1">
      <protection locked="0"/>
    </xf>
    <xf numFmtId="43" fontId="0" fillId="4" borderId="15" xfId="1" applyFont="1" applyFill="1" applyBorder="1" applyProtection="1">
      <protection locked="0"/>
    </xf>
    <xf numFmtId="164" fontId="0" fillId="4" borderId="49" xfId="1" applyNumberFormat="1" applyFont="1" applyFill="1" applyBorder="1" applyProtection="1">
      <protection locked="0"/>
    </xf>
    <xf numFmtId="9" fontId="0" fillId="4" borderId="49" xfId="11" applyFont="1" applyFill="1" applyBorder="1" applyProtection="1">
      <protection locked="0"/>
    </xf>
    <xf numFmtId="0" fontId="0" fillId="15" borderId="0" xfId="0" applyFill="1" applyProtection="1">
      <protection locked="0"/>
    </xf>
    <xf numFmtId="0" fontId="13" fillId="17" borderId="2" xfId="0" applyFont="1" applyFill="1" applyBorder="1" applyAlignment="1" applyProtection="1">
      <alignment horizontal="left" vertical="top"/>
      <protection locked="0"/>
    </xf>
    <xf numFmtId="0" fontId="2" fillId="17" borderId="9" xfId="0" applyFont="1" applyFill="1" applyBorder="1" applyAlignment="1">
      <alignment vertical="top"/>
    </xf>
    <xf numFmtId="0" fontId="0" fillId="17" borderId="0" xfId="0" applyFill="1" applyProtection="1">
      <protection locked="0"/>
    </xf>
    <xf numFmtId="0" fontId="2" fillId="17" borderId="9" xfId="0" applyFont="1" applyFill="1" applyBorder="1" applyAlignment="1">
      <alignment horizontal="left"/>
    </xf>
    <xf numFmtId="165" fontId="0" fillId="17" borderId="0" xfId="1" applyNumberFormat="1" applyFont="1" applyFill="1" applyBorder="1"/>
    <xf numFmtId="0" fontId="0" fillId="17" borderId="9" xfId="0" applyFill="1" applyBorder="1" applyAlignment="1">
      <alignment horizontal="left"/>
    </xf>
    <xf numFmtId="165" fontId="0" fillId="17" borderId="15" xfId="1" applyNumberFormat="1" applyFont="1" applyFill="1" applyBorder="1" applyProtection="1">
      <protection locked="0"/>
    </xf>
    <xf numFmtId="0" fontId="2" fillId="17" borderId="9" xfId="0" applyFont="1" applyFill="1" applyBorder="1" applyAlignment="1">
      <alignment horizontal="right"/>
    </xf>
    <xf numFmtId="0" fontId="0" fillId="17" borderId="2" xfId="0" applyFill="1" applyBorder="1"/>
    <xf numFmtId="0" fontId="0" fillId="17" borderId="9" xfId="0" applyFill="1" applyBorder="1" applyAlignment="1">
      <alignment horizontal="right"/>
    </xf>
    <xf numFmtId="165" fontId="0" fillId="17" borderId="0" xfId="1" applyNumberFormat="1" applyFont="1" applyFill="1" applyBorder="1" applyProtection="1">
      <protection locked="0"/>
    </xf>
    <xf numFmtId="0" fontId="13" fillId="17" borderId="2" xfId="0" applyFont="1" applyFill="1" applyBorder="1" applyAlignment="1" applyProtection="1">
      <alignment horizontal="center" vertical="top"/>
      <protection locked="0"/>
    </xf>
    <xf numFmtId="9" fontId="13" fillId="17" borderId="35" xfId="11" applyFont="1" applyFill="1" applyBorder="1" applyAlignment="1" applyProtection="1">
      <alignment horizontal="center"/>
      <protection locked="0"/>
    </xf>
    <xf numFmtId="0" fontId="1" fillId="17" borderId="9" xfId="0" applyFont="1" applyFill="1" applyBorder="1" applyAlignment="1">
      <alignment horizontal="left"/>
    </xf>
    <xf numFmtId="165" fontId="1" fillId="17" borderId="0" xfId="1" applyNumberFormat="1" applyFont="1" applyFill="1" applyBorder="1" applyProtection="1">
      <protection locked="0"/>
    </xf>
    <xf numFmtId="0" fontId="14" fillId="17" borderId="2" xfId="0" applyFont="1" applyFill="1" applyBorder="1" applyAlignment="1" applyProtection="1">
      <alignment horizontal="center" vertical="top"/>
      <protection locked="0"/>
    </xf>
    <xf numFmtId="9" fontId="0" fillId="17" borderId="0" xfId="11" applyFont="1" applyFill="1" applyBorder="1" applyProtection="1">
      <protection locked="0"/>
    </xf>
    <xf numFmtId="0" fontId="1" fillId="17" borderId="9" xfId="0" applyFont="1" applyFill="1" applyBorder="1" applyAlignment="1">
      <alignment horizontal="right"/>
    </xf>
    <xf numFmtId="0" fontId="1" fillId="17" borderId="2" xfId="0" applyFont="1" applyFill="1" applyBorder="1"/>
    <xf numFmtId="165" fontId="0" fillId="15" borderId="15" xfId="1" applyNumberFormat="1" applyFont="1" applyFill="1" applyBorder="1" applyProtection="1">
      <protection locked="0"/>
    </xf>
    <xf numFmtId="9" fontId="0" fillId="15" borderId="15" xfId="11" applyFont="1" applyFill="1" applyBorder="1" applyProtection="1">
      <protection locked="0"/>
    </xf>
    <xf numFmtId="0" fontId="2" fillId="16" borderId="9" xfId="0" applyFont="1" applyFill="1" applyBorder="1"/>
    <xf numFmtId="0" fontId="0" fillId="16" borderId="0" xfId="0" applyFill="1"/>
    <xf numFmtId="0" fontId="0" fillId="16" borderId="2" xfId="0" applyFill="1" applyBorder="1"/>
    <xf numFmtId="0" fontId="0" fillId="16" borderId="9" xfId="0" applyFill="1" applyBorder="1"/>
    <xf numFmtId="0" fontId="0" fillId="16" borderId="0" xfId="0" applyFill="1" applyAlignment="1">
      <alignment horizontal="left"/>
    </xf>
    <xf numFmtId="0" fontId="19" fillId="16" borderId="9" xfId="0" applyFont="1" applyFill="1" applyBorder="1" applyAlignment="1" applyProtection="1">
      <alignment horizontal="left"/>
      <protection locked="0"/>
    </xf>
    <xf numFmtId="0" fontId="0" fillId="16" borderId="9" xfId="0" applyFill="1" applyBorder="1" applyAlignment="1">
      <alignment horizontal="right"/>
    </xf>
    <xf numFmtId="167" fontId="0" fillId="16" borderId="15" xfId="11" applyNumberFormat="1" applyFont="1" applyFill="1" applyBorder="1" applyProtection="1">
      <protection locked="0"/>
    </xf>
    <xf numFmtId="0" fontId="13" fillId="16" borderId="2" xfId="0" applyFont="1" applyFill="1" applyBorder="1" applyAlignment="1" applyProtection="1">
      <alignment horizontal="left"/>
      <protection locked="0"/>
    </xf>
    <xf numFmtId="0" fontId="2" fillId="16" borderId="9" xfId="0" applyFont="1" applyFill="1" applyBorder="1" applyAlignment="1">
      <alignment horizontal="right"/>
    </xf>
    <xf numFmtId="165" fontId="0" fillId="16" borderId="49" xfId="1" applyNumberFormat="1" applyFont="1" applyFill="1" applyBorder="1" applyProtection="1">
      <protection locked="0"/>
    </xf>
    <xf numFmtId="165" fontId="0" fillId="16" borderId="48" xfId="1" applyNumberFormat="1" applyFont="1" applyFill="1" applyBorder="1" applyProtection="1">
      <protection locked="0"/>
    </xf>
    <xf numFmtId="0" fontId="2" fillId="16" borderId="9" xfId="0" applyFont="1" applyFill="1" applyBorder="1" applyAlignment="1">
      <alignment horizontal="left"/>
    </xf>
    <xf numFmtId="165" fontId="0" fillId="16" borderId="0" xfId="1" applyNumberFormat="1" applyFont="1" applyFill="1" applyBorder="1"/>
    <xf numFmtId="164" fontId="0" fillId="16" borderId="15" xfId="1" applyNumberFormat="1" applyFont="1" applyFill="1" applyBorder="1" applyProtection="1">
      <protection locked="0"/>
    </xf>
    <xf numFmtId="0" fontId="1" fillId="16" borderId="2" xfId="0" applyFont="1" applyFill="1" applyBorder="1"/>
    <xf numFmtId="172" fontId="33" fillId="16" borderId="48" xfId="1" applyNumberFormat="1" applyFont="1" applyFill="1" applyBorder="1" applyProtection="1">
      <protection locked="0"/>
    </xf>
    <xf numFmtId="0" fontId="2" fillId="16" borderId="9" xfId="0" applyFont="1" applyFill="1" applyBorder="1" applyAlignment="1">
      <alignment vertical="top"/>
    </xf>
    <xf numFmtId="169" fontId="0" fillId="16" borderId="15" xfId="1" applyNumberFormat="1" applyFont="1" applyFill="1" applyBorder="1" applyProtection="1">
      <protection locked="0"/>
    </xf>
    <xf numFmtId="169" fontId="0" fillId="16" borderId="49" xfId="1" applyNumberFormat="1" applyFont="1" applyFill="1" applyBorder="1" applyProtection="1">
      <protection locked="0"/>
    </xf>
    <xf numFmtId="169" fontId="0" fillId="16" borderId="48" xfId="1" applyNumberFormat="1" applyFont="1" applyFill="1" applyBorder="1" applyProtection="1">
      <protection locked="0"/>
    </xf>
    <xf numFmtId="0" fontId="42" fillId="16" borderId="0" xfId="0" applyFont="1" applyFill="1" applyAlignment="1" applyProtection="1">
      <alignment horizontal="left"/>
      <protection locked="0"/>
    </xf>
    <xf numFmtId="0" fontId="41" fillId="16" borderId="2" xfId="0" applyFont="1" applyFill="1" applyBorder="1" applyAlignment="1" applyProtection="1">
      <alignment horizontal="left" wrapText="1"/>
      <protection locked="0"/>
    </xf>
    <xf numFmtId="165" fontId="0" fillId="16" borderId="0" xfId="1" applyNumberFormat="1" applyFont="1" applyFill="1" applyBorder="1" applyProtection="1">
      <protection locked="0"/>
    </xf>
    <xf numFmtId="0" fontId="0" fillId="16" borderId="9" xfId="0" applyFill="1" applyBorder="1" applyAlignment="1">
      <alignment vertical="top"/>
    </xf>
    <xf numFmtId="0" fontId="43" fillId="16" borderId="9" xfId="0" applyFont="1" applyFill="1" applyBorder="1" applyProtection="1">
      <protection locked="0"/>
    </xf>
    <xf numFmtId="0" fontId="0" fillId="16" borderId="10" xfId="0" applyFill="1" applyBorder="1" applyAlignment="1">
      <alignment horizontal="right"/>
    </xf>
    <xf numFmtId="169" fontId="0" fillId="16" borderId="6" xfId="1" applyNumberFormat="1" applyFont="1" applyFill="1" applyBorder="1" applyProtection="1">
      <protection locked="0"/>
    </xf>
    <xf numFmtId="0" fontId="33" fillId="16" borderId="3" xfId="0" applyFont="1" applyFill="1" applyBorder="1" applyAlignment="1" applyProtection="1">
      <alignment horizontal="center" vertical="center"/>
      <protection locked="0"/>
    </xf>
    <xf numFmtId="0" fontId="47" fillId="16" borderId="9" xfId="0" applyFont="1" applyFill="1" applyBorder="1" applyAlignment="1" applyProtection="1">
      <alignment horizontal="left"/>
      <protection locked="0"/>
    </xf>
    <xf numFmtId="0" fontId="47" fillId="16" borderId="9" xfId="0" applyFont="1" applyFill="1" applyBorder="1" applyAlignment="1" applyProtection="1">
      <alignment horizontal="left"/>
      <protection locked="0" hidden="1"/>
    </xf>
    <xf numFmtId="165" fontId="0" fillId="15" borderId="15" xfId="1" applyNumberFormat="1" applyFont="1" applyFill="1" applyBorder="1" applyAlignment="1" applyProtection="1">
      <protection locked="0"/>
    </xf>
    <xf numFmtId="0" fontId="0" fillId="9" borderId="0" xfId="0" applyFill="1"/>
    <xf numFmtId="0" fontId="33" fillId="13" borderId="0" xfId="0" applyFont="1" applyFill="1" applyProtection="1">
      <protection locked="0"/>
    </xf>
    <xf numFmtId="0" fontId="33" fillId="13" borderId="9" xfId="0" applyFont="1" applyFill="1" applyBorder="1" applyAlignment="1" applyProtection="1">
      <alignment horizontal="center" vertical="center"/>
      <protection locked="0"/>
    </xf>
    <xf numFmtId="0" fontId="42" fillId="13" borderId="2" xfId="0" applyFont="1" applyFill="1" applyBorder="1" applyAlignment="1" applyProtection="1">
      <alignment horizontal="left"/>
      <protection locked="0"/>
    </xf>
    <xf numFmtId="0" fontId="5" fillId="0" borderId="0" xfId="6" applyAlignment="1">
      <alignment horizontal="left" vertical="center"/>
    </xf>
    <xf numFmtId="0" fontId="0" fillId="0" borderId="0" xfId="0" applyAlignment="1">
      <alignment vertical="center"/>
    </xf>
    <xf numFmtId="0" fontId="5" fillId="0" borderId="0" xfId="6" applyAlignment="1">
      <alignment vertical="center"/>
    </xf>
    <xf numFmtId="0" fontId="0" fillId="0" borderId="0" xfId="0" applyAlignment="1">
      <alignment horizontal="left" vertical="center"/>
    </xf>
    <xf numFmtId="0" fontId="1" fillId="0" borderId="0" xfId="6" applyFont="1" applyAlignment="1">
      <alignment horizontal="left" vertical="center" wrapText="1"/>
    </xf>
    <xf numFmtId="0" fontId="5" fillId="0" borderId="0" xfId="6" applyAlignment="1">
      <alignment horizontal="left" vertical="center" wrapText="1"/>
    </xf>
    <xf numFmtId="0" fontId="8" fillId="0" borderId="0" xfId="6" applyFont="1" applyAlignment="1">
      <alignment horizontal="left" vertical="center" wrapText="1"/>
    </xf>
    <xf numFmtId="0" fontId="1" fillId="17" borderId="9" xfId="0" applyFont="1" applyFill="1" applyBorder="1" applyAlignment="1">
      <alignment horizontal="right" vertical="top"/>
    </xf>
    <xf numFmtId="0" fontId="0" fillId="0" borderId="37" xfId="0" applyBorder="1" applyAlignment="1">
      <alignment horizontal="center" wrapText="1"/>
    </xf>
    <xf numFmtId="0" fontId="1" fillId="0" borderId="55" xfId="0" applyFont="1" applyBorder="1" applyAlignment="1">
      <alignment horizontal="center" wrapText="1"/>
    </xf>
    <xf numFmtId="0" fontId="2" fillId="0" borderId="0" xfId="0" applyFont="1" applyAlignment="1">
      <alignment horizontal="left" vertical="center"/>
    </xf>
    <xf numFmtId="0" fontId="0" fillId="3" borderId="26" xfId="0" applyFill="1" applyBorder="1" applyAlignment="1">
      <alignment vertical="center"/>
    </xf>
    <xf numFmtId="0" fontId="0" fillId="2" borderId="26" xfId="0" applyFill="1" applyBorder="1" applyAlignment="1">
      <alignment vertical="center"/>
    </xf>
    <xf numFmtId="0" fontId="1" fillId="0" borderId="28" xfId="0" applyFont="1" applyBorder="1" applyAlignment="1">
      <alignment horizontal="center" wrapText="1"/>
    </xf>
    <xf numFmtId="0" fontId="22" fillId="0" borderId="0" xfId="0" applyFont="1" applyAlignment="1">
      <alignment horizontal="left" vertical="center" wrapText="1"/>
    </xf>
    <xf numFmtId="0" fontId="23" fillId="0" borderId="0" xfId="0" applyFont="1" applyAlignment="1">
      <alignment horizontal="left" vertical="center" wrapText="1"/>
    </xf>
    <xf numFmtId="165" fontId="33" fillId="13" borderId="0" xfId="1" quotePrefix="1" applyNumberFormat="1" applyFont="1" applyFill="1" applyBorder="1" applyAlignment="1" applyProtection="1">
      <alignment horizontal="center"/>
      <protection locked="0"/>
    </xf>
    <xf numFmtId="0" fontId="2" fillId="0" borderId="0" xfId="0" applyFont="1" applyAlignment="1">
      <alignment vertical="center"/>
    </xf>
    <xf numFmtId="0" fontId="44" fillId="0" borderId="0" xfId="0" applyFont="1" applyAlignment="1">
      <alignment horizontal="left" vertical="center"/>
    </xf>
    <xf numFmtId="165" fontId="2" fillId="0" borderId="0" xfId="1" applyNumberFormat="1" applyFont="1" applyFill="1" applyBorder="1" applyAlignment="1" applyProtection="1">
      <alignment vertical="center"/>
    </xf>
    <xf numFmtId="43" fontId="0" fillId="0" borderId="0" xfId="1" applyFont="1" applyFill="1" applyBorder="1" applyAlignment="1" applyProtection="1">
      <alignment vertical="center"/>
    </xf>
    <xf numFmtId="165" fontId="0" fillId="0" borderId="0" xfId="1" applyNumberFormat="1" applyFont="1" applyFill="1" applyBorder="1" applyAlignment="1" applyProtection="1">
      <alignment vertical="center"/>
    </xf>
    <xf numFmtId="10" fontId="0" fillId="0" borderId="0" xfId="11" applyNumberFormat="1" applyFont="1" applyFill="1" applyBorder="1" applyAlignment="1" applyProtection="1">
      <alignment vertical="center"/>
    </xf>
    <xf numFmtId="10" fontId="0" fillId="2" borderId="15" xfId="11" applyNumberFormat="1" applyFont="1" applyFill="1" applyBorder="1" applyProtection="1">
      <protection locked="0"/>
    </xf>
    <xf numFmtId="0" fontId="38" fillId="0" borderId="0" xfId="0" applyFont="1" applyAlignment="1">
      <alignment horizontal="center" vertical="center"/>
    </xf>
    <xf numFmtId="0" fontId="13" fillId="0" borderId="0" xfId="0" applyFont="1" applyProtection="1">
      <protection locked="0"/>
    </xf>
    <xf numFmtId="0" fontId="13" fillId="0" borderId="0" xfId="0" applyFont="1" applyAlignment="1" applyProtection="1">
      <alignment horizontal="center" vertical="center" wrapText="1"/>
      <protection locked="0"/>
    </xf>
    <xf numFmtId="0" fontId="33" fillId="0" borderId="0" xfId="0" applyFont="1" applyAlignment="1" applyProtection="1">
      <alignment horizontal="center" vertical="center" wrapText="1"/>
      <protection locked="0"/>
    </xf>
    <xf numFmtId="0" fontId="13" fillId="0" borderId="0" xfId="0" applyFont="1" applyAlignment="1" applyProtection="1">
      <alignment horizontal="center"/>
      <protection locked="0"/>
    </xf>
    <xf numFmtId="0" fontId="33" fillId="0" borderId="0" xfId="0" applyFont="1" applyAlignment="1" applyProtection="1">
      <alignment wrapText="1"/>
      <protection locked="0"/>
    </xf>
    <xf numFmtId="0" fontId="42" fillId="0" borderId="0" xfId="0" applyFont="1"/>
    <xf numFmtId="0" fontId="33" fillId="0" borderId="0" xfId="0" applyFont="1"/>
    <xf numFmtId="0" fontId="13" fillId="0" borderId="0" xfId="0" applyFont="1" applyAlignment="1" applyProtection="1">
      <alignment horizontal="left"/>
      <protection locked="0"/>
    </xf>
    <xf numFmtId="0" fontId="33" fillId="0" borderId="0" xfId="0" applyFont="1" applyAlignment="1" applyProtection="1">
      <alignment horizontal="center"/>
      <protection locked="0"/>
    </xf>
    <xf numFmtId="0" fontId="42" fillId="0" borderId="0" xfId="0" applyFont="1" applyAlignment="1" applyProtection="1">
      <alignment horizontal="left"/>
      <protection locked="0"/>
    </xf>
    <xf numFmtId="0" fontId="42" fillId="0" borderId="0" xfId="0" applyFont="1" applyAlignment="1">
      <alignment horizontal="left"/>
    </xf>
    <xf numFmtId="165" fontId="13" fillId="0" borderId="0" xfId="1" applyNumberFormat="1" applyFont="1" applyFill="1" applyBorder="1" applyAlignment="1" applyProtection="1">
      <alignment horizontal="left"/>
      <protection locked="0"/>
    </xf>
    <xf numFmtId="0" fontId="14" fillId="0" borderId="0" xfId="0" applyFont="1" applyAlignment="1">
      <alignment horizontal="right"/>
    </xf>
    <xf numFmtId="0" fontId="39" fillId="0" borderId="0" xfId="0" applyFont="1" applyAlignment="1" applyProtection="1">
      <alignment horizontal="right"/>
      <protection locked="0"/>
    </xf>
    <xf numFmtId="0" fontId="20" fillId="0" borderId="0" xfId="0" applyFont="1" applyProtection="1">
      <protection locked="0" hidden="1"/>
    </xf>
    <xf numFmtId="0" fontId="20" fillId="0" borderId="0" xfId="0" applyFont="1" applyProtection="1">
      <protection locked="0"/>
    </xf>
    <xf numFmtId="0" fontId="13" fillId="0" borderId="0" xfId="0" applyFont="1" applyAlignment="1" applyProtection="1">
      <alignment horizontal="left" vertical="top"/>
      <protection locked="0"/>
    </xf>
    <xf numFmtId="0" fontId="13" fillId="0" borderId="0" xfId="0" applyFont="1" applyAlignment="1" applyProtection="1">
      <alignment horizontal="center" vertical="top"/>
      <protection locked="0"/>
    </xf>
    <xf numFmtId="0" fontId="14" fillId="0" borderId="0" xfId="0" applyFont="1" applyAlignment="1" applyProtection="1">
      <alignment horizontal="center" vertical="top"/>
      <protection locked="0"/>
    </xf>
    <xf numFmtId="0" fontId="33" fillId="0" borderId="0" xfId="0" applyFont="1" applyAlignment="1" applyProtection="1">
      <alignment horizontal="center" vertical="center"/>
      <protection locked="0"/>
    </xf>
    <xf numFmtId="0" fontId="13" fillId="0" borderId="0" xfId="0" applyFont="1" applyAlignment="1" applyProtection="1">
      <alignment horizontal="left" vertical="center"/>
      <protection locked="0"/>
    </xf>
    <xf numFmtId="0" fontId="41" fillId="0" borderId="0" xfId="0" applyFont="1" applyAlignment="1" applyProtection="1">
      <alignment horizontal="left" wrapText="1"/>
      <protection locked="0"/>
    </xf>
    <xf numFmtId="0" fontId="0" fillId="20" borderId="0" xfId="0" applyFill="1"/>
    <xf numFmtId="0" fontId="0" fillId="20" borderId="58" xfId="0" applyFill="1" applyBorder="1"/>
    <xf numFmtId="0" fontId="0" fillId="20" borderId="60" xfId="0" applyFill="1" applyBorder="1"/>
    <xf numFmtId="0" fontId="0" fillId="20" borderId="59" xfId="0" applyFill="1" applyBorder="1"/>
    <xf numFmtId="0" fontId="5" fillId="18" borderId="0" xfId="6" applyFill="1"/>
    <xf numFmtId="0" fontId="5" fillId="18" borderId="62" xfId="6" applyFill="1" applyBorder="1"/>
    <xf numFmtId="0" fontId="5" fillId="18" borderId="63" xfId="6" applyFill="1" applyBorder="1"/>
    <xf numFmtId="0" fontId="5" fillId="18" borderId="61" xfId="6" applyFill="1" applyBorder="1"/>
    <xf numFmtId="0" fontId="11" fillId="9" borderId="0" xfId="0" applyFont="1" applyFill="1"/>
    <xf numFmtId="0" fontId="0" fillId="9" borderId="17" xfId="0" applyFill="1" applyBorder="1"/>
    <xf numFmtId="0" fontId="0" fillId="9" borderId="9" xfId="0" applyFill="1" applyBorder="1" applyAlignment="1">
      <alignment horizontal="center"/>
    </xf>
    <xf numFmtId="3" fontId="0" fillId="9" borderId="9" xfId="0" applyNumberFormat="1" applyFill="1" applyBorder="1" applyAlignment="1">
      <alignment horizontal="center"/>
    </xf>
    <xf numFmtId="3" fontId="0" fillId="9" borderId="10" xfId="0" applyNumberFormat="1" applyFill="1" applyBorder="1" applyAlignment="1">
      <alignment horizontal="center"/>
    </xf>
    <xf numFmtId="0" fontId="0" fillId="9" borderId="8" xfId="0" applyFill="1" applyBorder="1"/>
    <xf numFmtId="0" fontId="2" fillId="9" borderId="10" xfId="0" applyFont="1" applyFill="1" applyBorder="1"/>
    <xf numFmtId="0" fontId="0" fillId="9" borderId="9" xfId="0" applyFill="1" applyBorder="1"/>
    <xf numFmtId="0" fontId="0" fillId="9" borderId="2" xfId="0" applyFill="1" applyBorder="1"/>
    <xf numFmtId="0" fontId="0" fillId="9" borderId="6" xfId="0" applyFill="1" applyBorder="1"/>
    <xf numFmtId="0" fontId="0" fillId="9" borderId="10" xfId="0" applyFill="1" applyBorder="1"/>
    <xf numFmtId="0" fontId="0" fillId="9" borderId="3" xfId="0" applyFill="1" applyBorder="1"/>
    <xf numFmtId="0" fontId="18" fillId="9" borderId="0" xfId="0" applyFont="1" applyFill="1"/>
    <xf numFmtId="0" fontId="0" fillId="9" borderId="8" xfId="0" applyFill="1" applyBorder="1" applyAlignment="1">
      <alignment horizontal="center"/>
    </xf>
    <xf numFmtId="0" fontId="0" fillId="9" borderId="1" xfId="0" applyFill="1" applyBorder="1"/>
    <xf numFmtId="0" fontId="18" fillId="9" borderId="19" xfId="0" applyFont="1" applyFill="1" applyBorder="1"/>
    <xf numFmtId="0" fontId="2" fillId="9" borderId="0" xfId="0" applyFont="1" applyFill="1"/>
    <xf numFmtId="0" fontId="9" fillId="9" borderId="0" xfId="4" applyFill="1" applyAlignment="1" applyProtection="1"/>
    <xf numFmtId="165" fontId="1" fillId="4" borderId="15" xfId="1" applyNumberFormat="1" applyFont="1" applyFill="1" applyBorder="1" applyProtection="1">
      <protection locked="0"/>
    </xf>
    <xf numFmtId="0" fontId="15" fillId="0" borderId="0" xfId="0" applyFont="1"/>
    <xf numFmtId="0" fontId="49" fillId="0" borderId="0" xfId="0" applyFont="1"/>
    <xf numFmtId="180" fontId="15" fillId="0" borderId="0" xfId="0" applyNumberFormat="1" applyFont="1" applyAlignment="1">
      <alignment horizontal="right"/>
    </xf>
    <xf numFmtId="180" fontId="15" fillId="0" borderId="0" xfId="0" applyNumberFormat="1" applyFont="1" applyAlignment="1">
      <alignment horizontal="left"/>
    </xf>
    <xf numFmtId="184" fontId="15" fillId="0" borderId="0" xfId="0" applyNumberFormat="1" applyFont="1" applyAlignment="1">
      <alignment horizontal="right"/>
    </xf>
    <xf numFmtId="181" fontId="15" fillId="0" borderId="0" xfId="0" applyNumberFormat="1" applyFont="1" applyAlignment="1">
      <alignment horizontal="right"/>
    </xf>
    <xf numFmtId="4" fontId="15" fillId="0" borderId="0" xfId="0" applyNumberFormat="1" applyFont="1" applyAlignment="1">
      <alignment horizontal="right"/>
    </xf>
    <xf numFmtId="176" fontId="15" fillId="0" borderId="0" xfId="0" applyNumberFormat="1" applyFont="1" applyAlignment="1">
      <alignment horizontal="right"/>
    </xf>
    <xf numFmtId="3" fontId="15" fillId="0" borderId="0" xfId="0" applyNumberFormat="1" applyFont="1" applyAlignment="1">
      <alignment horizontal="center"/>
    </xf>
    <xf numFmtId="0" fontId="50" fillId="0" borderId="0" xfId="0" applyFont="1" applyAlignment="1">
      <alignment wrapText="1"/>
    </xf>
    <xf numFmtId="43" fontId="15" fillId="0" borderId="0" xfId="0" applyNumberFormat="1" applyFont="1" applyAlignment="1">
      <alignment wrapText="1"/>
    </xf>
    <xf numFmtId="0" fontId="50" fillId="0" borderId="0" xfId="0" quotePrefix="1" applyFont="1" applyAlignment="1">
      <alignment horizontal="left" wrapText="1"/>
    </xf>
    <xf numFmtId="180" fontId="50" fillId="0" borderId="0" xfId="0" applyNumberFormat="1" applyFont="1"/>
    <xf numFmtId="180" fontId="50" fillId="0" borderId="0" xfId="0" quotePrefix="1" applyNumberFormat="1" applyFont="1" applyAlignment="1">
      <alignment horizontal="left"/>
    </xf>
    <xf numFmtId="4" fontId="50" fillId="0" borderId="0" xfId="0" applyNumberFormat="1" applyFont="1"/>
    <xf numFmtId="4" fontId="50" fillId="0" borderId="0" xfId="0" quotePrefix="1" applyNumberFormat="1" applyFont="1" applyAlignment="1">
      <alignment horizontal="left"/>
    </xf>
    <xf numFmtId="181" fontId="50" fillId="0" borderId="0" xfId="0" applyNumberFormat="1" applyFont="1"/>
    <xf numFmtId="181" fontId="50" fillId="0" borderId="0" xfId="0" quotePrefix="1" applyNumberFormat="1" applyFont="1" applyAlignment="1">
      <alignment horizontal="left"/>
    </xf>
    <xf numFmtId="49" fontId="50" fillId="0" borderId="0" xfId="0" applyNumberFormat="1" applyFont="1"/>
    <xf numFmtId="181" fontId="50" fillId="0" borderId="0" xfId="0" quotePrefix="1" applyNumberFormat="1" applyFont="1" applyAlignment="1">
      <alignment horizontal="left" wrapText="1"/>
    </xf>
    <xf numFmtId="4" fontId="50" fillId="0" borderId="0" xfId="0" applyNumberFormat="1" applyFont="1" applyAlignment="1">
      <alignment horizontal="left"/>
    </xf>
    <xf numFmtId="180" fontId="50" fillId="0" borderId="0" xfId="0" applyNumberFormat="1" applyFont="1" applyAlignment="1">
      <alignment horizontal="left"/>
    </xf>
    <xf numFmtId="176" fontId="50" fillId="0" borderId="0" xfId="0" quotePrefix="1" applyNumberFormat="1" applyFont="1" applyAlignment="1">
      <alignment horizontal="left"/>
    </xf>
    <xf numFmtId="176" fontId="50" fillId="0" borderId="0" xfId="0" applyNumberFormat="1" applyFont="1" applyAlignment="1">
      <alignment horizontal="left"/>
    </xf>
    <xf numFmtId="0" fontId="50" fillId="5" borderId="0" xfId="0" applyFont="1" applyFill="1" applyAlignment="1">
      <alignment wrapText="1"/>
    </xf>
    <xf numFmtId="180" fontId="50" fillId="0" borderId="0" xfId="0" quotePrefix="1" applyNumberFormat="1" applyFont="1" applyAlignment="1">
      <alignment horizontal="left" wrapText="1"/>
    </xf>
    <xf numFmtId="180" fontId="50" fillId="11" borderId="0" xfId="0" quotePrefix="1" applyNumberFormat="1" applyFont="1" applyFill="1" applyAlignment="1">
      <alignment horizontal="left" wrapText="1"/>
    </xf>
    <xf numFmtId="4" fontId="50" fillId="0" borderId="0" xfId="0" quotePrefix="1" applyNumberFormat="1" applyFont="1" applyAlignment="1">
      <alignment horizontal="left" wrapText="1"/>
    </xf>
    <xf numFmtId="180" fontId="50" fillId="0" borderId="0" xfId="0" applyNumberFormat="1" applyFont="1" applyAlignment="1">
      <alignment horizontal="left" wrapText="1"/>
    </xf>
    <xf numFmtId="181" fontId="50" fillId="11" borderId="0" xfId="0" quotePrefix="1" applyNumberFormat="1" applyFont="1" applyFill="1" applyAlignment="1">
      <alignment horizontal="left" wrapText="1"/>
    </xf>
    <xf numFmtId="4" fontId="50" fillId="11" borderId="0" xfId="0" quotePrefix="1" applyNumberFormat="1" applyFont="1" applyFill="1" applyAlignment="1">
      <alignment horizontal="left" wrapText="1"/>
    </xf>
    <xf numFmtId="4" fontId="50" fillId="12" borderId="0" xfId="0" quotePrefix="1" applyNumberFormat="1" applyFont="1" applyFill="1" applyAlignment="1">
      <alignment horizontal="left" wrapText="1"/>
    </xf>
    <xf numFmtId="4" fontId="50" fillId="0" borderId="0" xfId="0" applyNumberFormat="1" applyFont="1" applyAlignment="1">
      <alignment horizontal="left" wrapText="1"/>
    </xf>
    <xf numFmtId="181" fontId="50" fillId="11" borderId="0" xfId="0" applyNumberFormat="1" applyFont="1" applyFill="1" applyAlignment="1">
      <alignment horizontal="left" wrapText="1"/>
    </xf>
    <xf numFmtId="181" fontId="50" fillId="0" borderId="0" xfId="0" applyNumberFormat="1" applyFont="1" applyAlignment="1">
      <alignment horizontal="left" wrapText="1"/>
    </xf>
    <xf numFmtId="176" fontId="50" fillId="0" borderId="0" xfId="0" quotePrefix="1" applyNumberFormat="1" applyFont="1" applyAlignment="1">
      <alignment horizontal="left" wrapText="1"/>
    </xf>
    <xf numFmtId="0" fontId="50" fillId="6" borderId="0" xfId="6" applyFont="1" applyFill="1" applyAlignment="1">
      <alignment wrapText="1"/>
    </xf>
    <xf numFmtId="0" fontId="50" fillId="0" borderId="0" xfId="6" applyFont="1" applyAlignment="1">
      <alignment wrapText="1"/>
    </xf>
    <xf numFmtId="0" fontId="50" fillId="2" borderId="0" xfId="6" applyFont="1" applyFill="1" applyAlignment="1">
      <alignment wrapText="1"/>
    </xf>
    <xf numFmtId="0" fontId="49" fillId="0" borderId="0" xfId="0" applyFont="1" applyAlignment="1">
      <alignment wrapText="1"/>
    </xf>
    <xf numFmtId="165" fontId="2" fillId="0" borderId="0" xfId="1" applyNumberFormat="1" applyFont="1" applyFill="1"/>
    <xf numFmtId="0" fontId="2" fillId="13" borderId="9" xfId="0" applyFont="1" applyFill="1" applyBorder="1" applyAlignment="1">
      <alignment horizontal="left" vertical="center"/>
    </xf>
    <xf numFmtId="0" fontId="1" fillId="2" borderId="9" xfId="0" applyFont="1" applyFill="1" applyBorder="1" applyAlignment="1">
      <alignment horizontal="right" wrapText="1"/>
    </xf>
    <xf numFmtId="43" fontId="0" fillId="0" borderId="0" xfId="1" applyFont="1" applyFill="1" applyBorder="1" applyProtection="1">
      <protection locked="0"/>
    </xf>
    <xf numFmtId="0" fontId="37" fillId="19" borderId="0" xfId="0" applyFont="1" applyFill="1" applyAlignment="1">
      <alignment horizontal="left"/>
    </xf>
    <xf numFmtId="0" fontId="40" fillId="19" borderId="64" xfId="4" applyFont="1" applyFill="1" applyBorder="1" applyAlignment="1" applyProtection="1">
      <alignment horizontal="left" vertical="center" wrapText="1" indent="15"/>
      <protection locked="0"/>
    </xf>
    <xf numFmtId="0" fontId="33" fillId="13" borderId="0" xfId="0" applyFont="1" applyFill="1" applyAlignment="1" applyProtection="1">
      <alignment horizontal="center"/>
      <protection locked="0"/>
    </xf>
    <xf numFmtId="4" fontId="50" fillId="14" borderId="0" xfId="0" applyNumberFormat="1" applyFont="1" applyFill="1"/>
    <xf numFmtId="4" fontId="50" fillId="14" borderId="0" xfId="0" quotePrefix="1" applyNumberFormat="1" applyFont="1" applyFill="1" applyAlignment="1">
      <alignment horizontal="left" wrapText="1"/>
    </xf>
    <xf numFmtId="0" fontId="15" fillId="21" borderId="0" xfId="0" applyFont="1" applyFill="1"/>
    <xf numFmtId="165" fontId="0" fillId="0" borderId="31" xfId="1" applyNumberFormat="1" applyFont="1" applyFill="1" applyBorder="1" applyProtection="1">
      <protection locked="0" hidden="1"/>
    </xf>
    <xf numFmtId="9" fontId="0" fillId="0" borderId="16" xfId="11" applyFont="1" applyFill="1" applyBorder="1" applyProtection="1">
      <protection locked="0" hidden="1"/>
    </xf>
    <xf numFmtId="3" fontId="0" fillId="0" borderId="41" xfId="1" applyNumberFormat="1" applyFont="1" applyFill="1" applyBorder="1" applyProtection="1">
      <protection locked="0" hidden="1"/>
    </xf>
    <xf numFmtId="9" fontId="0" fillId="0" borderId="32" xfId="11" applyFont="1" applyFill="1" applyBorder="1" applyProtection="1">
      <protection locked="0" hidden="1"/>
    </xf>
    <xf numFmtId="3" fontId="0" fillId="0" borderId="56" xfId="1" applyNumberFormat="1" applyFont="1" applyFill="1" applyBorder="1" applyProtection="1">
      <protection locked="0" hidden="1"/>
    </xf>
    <xf numFmtId="9" fontId="0" fillId="0" borderId="33" xfId="11" applyFont="1" applyFill="1" applyBorder="1" applyProtection="1">
      <protection locked="0" hidden="1"/>
    </xf>
    <xf numFmtId="43" fontId="0" fillId="0" borderId="15" xfId="1" applyFont="1" applyFill="1" applyBorder="1" applyProtection="1">
      <protection locked="0" hidden="1"/>
    </xf>
    <xf numFmtId="43" fontId="0" fillId="0" borderId="24" xfId="1" applyFont="1" applyFill="1" applyBorder="1" applyProtection="1">
      <protection locked="0" hidden="1"/>
    </xf>
    <xf numFmtId="0" fontId="2" fillId="0" borderId="0" xfId="0" applyFont="1" applyAlignment="1" applyProtection="1">
      <alignment horizontal="right" vertical="center"/>
      <protection locked="0" hidden="1"/>
    </xf>
    <xf numFmtId="0" fontId="0" fillId="0" borderId="0" xfId="0" applyAlignment="1" applyProtection="1">
      <alignment vertical="center"/>
      <protection hidden="1"/>
    </xf>
    <xf numFmtId="0" fontId="2" fillId="0" borderId="0" xfId="0" applyFont="1" applyAlignment="1" applyProtection="1">
      <alignment horizontal="center" vertical="center"/>
      <protection locked="0" hidden="1"/>
    </xf>
    <xf numFmtId="0" fontId="0" fillId="5" borderId="5" xfId="0" applyFill="1" applyBorder="1" applyProtection="1">
      <protection locked="0" hidden="1"/>
    </xf>
    <xf numFmtId="0" fontId="0" fillId="5" borderId="5" xfId="0" applyFill="1" applyBorder="1" applyProtection="1">
      <protection hidden="1"/>
    </xf>
    <xf numFmtId="0" fontId="0" fillId="5" borderId="0" xfId="0" applyFill="1" applyProtection="1">
      <protection locked="0" hidden="1"/>
    </xf>
    <xf numFmtId="0" fontId="0" fillId="5" borderId="0" xfId="0" applyFill="1" applyProtection="1">
      <protection hidden="1"/>
    </xf>
    <xf numFmtId="165" fontId="0" fillId="5" borderId="0" xfId="1" applyNumberFormat="1" applyFont="1" applyFill="1" applyBorder="1" applyProtection="1">
      <protection locked="0" hidden="1"/>
    </xf>
    <xf numFmtId="165" fontId="0" fillId="5" borderId="35" xfId="1" applyNumberFormat="1" applyFont="1" applyFill="1" applyBorder="1" applyProtection="1">
      <protection locked="0" hidden="1"/>
    </xf>
    <xf numFmtId="0" fontId="0" fillId="5" borderId="35" xfId="0" applyFill="1" applyBorder="1" applyProtection="1">
      <protection hidden="1"/>
    </xf>
    <xf numFmtId="165" fontId="2" fillId="5" borderId="35" xfId="1" applyNumberFormat="1" applyFont="1" applyFill="1" applyBorder="1" applyProtection="1">
      <protection locked="0" hidden="1"/>
    </xf>
    <xf numFmtId="0" fontId="2" fillId="5" borderId="35" xfId="0" applyFont="1" applyFill="1" applyBorder="1" applyProtection="1">
      <protection hidden="1"/>
    </xf>
    <xf numFmtId="165" fontId="0" fillId="5" borderId="0" xfId="0" applyNumberFormat="1" applyFill="1" applyProtection="1">
      <protection locked="0" hidden="1"/>
    </xf>
    <xf numFmtId="165" fontId="2" fillId="5" borderId="6" xfId="1" applyNumberFormat="1" applyFont="1" applyFill="1" applyBorder="1" applyProtection="1">
      <protection locked="0" hidden="1"/>
    </xf>
    <xf numFmtId="0" fontId="2" fillId="5" borderId="6" xfId="0" applyFont="1" applyFill="1" applyBorder="1" applyProtection="1">
      <protection hidden="1"/>
    </xf>
    <xf numFmtId="0" fontId="0" fillId="3" borderId="5" xfId="0" applyFill="1" applyBorder="1" applyProtection="1">
      <protection locked="0" hidden="1"/>
    </xf>
    <xf numFmtId="0" fontId="0" fillId="3" borderId="5" xfId="0" applyFill="1" applyBorder="1" applyProtection="1">
      <protection hidden="1"/>
    </xf>
    <xf numFmtId="43" fontId="0" fillId="3" borderId="0" xfId="1" applyFont="1" applyFill="1" applyBorder="1" applyProtection="1">
      <protection locked="0" hidden="1"/>
    </xf>
    <xf numFmtId="0" fontId="0" fillId="3" borderId="0" xfId="0" applyFill="1" applyProtection="1">
      <protection hidden="1"/>
    </xf>
    <xf numFmtId="10" fontId="0" fillId="3" borderId="6" xfId="11" applyNumberFormat="1" applyFont="1" applyFill="1" applyBorder="1" applyProtection="1">
      <protection locked="0" hidden="1"/>
    </xf>
    <xf numFmtId="0" fontId="0" fillId="3" borderId="6" xfId="0" applyFill="1" applyBorder="1" applyProtection="1">
      <protection hidden="1"/>
    </xf>
    <xf numFmtId="165" fontId="0" fillId="3" borderId="5" xfId="1" applyNumberFormat="1" applyFont="1" applyFill="1" applyBorder="1" applyProtection="1">
      <protection locked="0" hidden="1"/>
    </xf>
    <xf numFmtId="0" fontId="0" fillId="3" borderId="0" xfId="0" applyFill="1" applyProtection="1">
      <protection locked="0" hidden="1"/>
    </xf>
    <xf numFmtId="43" fontId="0" fillId="3" borderId="6" xfId="1" applyFont="1" applyFill="1" applyBorder="1" applyProtection="1">
      <protection locked="0" hidden="1"/>
    </xf>
    <xf numFmtId="165" fontId="0" fillId="3" borderId="6" xfId="1" applyNumberFormat="1" applyFont="1" applyFill="1" applyBorder="1" applyProtection="1">
      <protection hidden="1"/>
    </xf>
    <xf numFmtId="0" fontId="0" fillId="2" borderId="5" xfId="0" applyFill="1" applyBorder="1" applyProtection="1">
      <protection hidden="1"/>
    </xf>
    <xf numFmtId="0" fontId="0" fillId="2" borderId="0" xfId="0" applyFill="1" applyAlignment="1" applyProtection="1">
      <alignment vertical="center"/>
      <protection hidden="1"/>
    </xf>
    <xf numFmtId="0" fontId="0" fillId="2" borderId="0" xfId="0" applyFill="1" applyProtection="1">
      <protection hidden="1"/>
    </xf>
    <xf numFmtId="0" fontId="0" fillId="2" borderId="0" xfId="0" applyFill="1" applyAlignment="1" applyProtection="1">
      <alignment horizontal="left"/>
      <protection locked="0" hidden="1"/>
    </xf>
    <xf numFmtId="166" fontId="0" fillId="2" borderId="35" xfId="0" applyNumberFormat="1" applyFill="1" applyBorder="1" applyAlignment="1" applyProtection="1">
      <alignment vertical="center"/>
      <protection locked="0" hidden="1"/>
    </xf>
    <xf numFmtId="0" fontId="0" fillId="2" borderId="35" xfId="0" applyFill="1" applyBorder="1" applyProtection="1">
      <protection hidden="1"/>
    </xf>
    <xf numFmtId="165" fontId="0" fillId="2" borderId="0" xfId="1" applyNumberFormat="1" applyFont="1" applyFill="1" applyBorder="1" applyAlignment="1" applyProtection="1">
      <protection locked="0" hidden="1"/>
    </xf>
    <xf numFmtId="165" fontId="0" fillId="2" borderId="0" xfId="0" applyNumberFormat="1" applyFill="1" applyAlignment="1" applyProtection="1">
      <alignment vertical="center"/>
      <protection locked="0" hidden="1"/>
    </xf>
    <xf numFmtId="165" fontId="0" fillId="2" borderId="0" xfId="1" applyNumberFormat="1" applyFont="1" applyFill="1" applyBorder="1" applyAlignment="1" applyProtection="1">
      <alignment vertical="center"/>
      <protection locked="0" hidden="1"/>
    </xf>
    <xf numFmtId="165" fontId="2" fillId="2" borderId="6" xfId="1" applyNumberFormat="1" applyFont="1" applyFill="1" applyBorder="1" applyAlignment="1" applyProtection="1">
      <alignment horizontal="left" vertical="center"/>
      <protection locked="0" hidden="1"/>
    </xf>
    <xf numFmtId="0" fontId="2" fillId="2" borderId="6" xfId="0" applyFont="1" applyFill="1" applyBorder="1" applyAlignment="1" applyProtection="1">
      <alignment horizontal="left" vertical="center"/>
      <protection hidden="1"/>
    </xf>
    <xf numFmtId="43" fontId="0" fillId="5" borderId="15" xfId="1" applyFont="1" applyFill="1" applyBorder="1" applyProtection="1">
      <protection locked="0" hidden="1"/>
    </xf>
    <xf numFmtId="43" fontId="0" fillId="5" borderId="18" xfId="1" applyFont="1" applyFill="1" applyBorder="1" applyProtection="1">
      <protection locked="0" hidden="1"/>
    </xf>
    <xf numFmtId="165" fontId="0" fillId="5" borderId="15" xfId="1" applyNumberFormat="1" applyFont="1" applyFill="1" applyBorder="1" applyProtection="1">
      <protection locked="0" hidden="1"/>
    </xf>
    <xf numFmtId="165" fontId="0" fillId="5" borderId="18" xfId="1" applyNumberFormat="1" applyFont="1" applyFill="1" applyBorder="1" applyProtection="1">
      <protection locked="0" hidden="1"/>
    </xf>
    <xf numFmtId="165" fontId="0" fillId="5" borderId="29" xfId="1" applyNumberFormat="1" applyFont="1" applyFill="1" applyBorder="1" applyProtection="1">
      <protection locked="0" hidden="1"/>
    </xf>
    <xf numFmtId="165" fontId="0" fillId="5" borderId="39" xfId="1" applyNumberFormat="1" applyFont="1" applyFill="1" applyBorder="1" applyProtection="1">
      <protection locked="0" hidden="1"/>
    </xf>
    <xf numFmtId="43" fontId="0" fillId="3" borderId="18" xfId="1" applyFont="1" applyFill="1" applyBorder="1" applyProtection="1">
      <protection locked="0" hidden="1"/>
    </xf>
    <xf numFmtId="165" fontId="0" fillId="3" borderId="18" xfId="1" applyNumberFormat="1" applyFont="1" applyFill="1" applyBorder="1" applyProtection="1">
      <protection locked="0" hidden="1"/>
    </xf>
    <xf numFmtId="165" fontId="0" fillId="3" borderId="39" xfId="1" applyNumberFormat="1" applyFont="1" applyFill="1" applyBorder="1" applyProtection="1">
      <protection locked="0" hidden="1"/>
    </xf>
    <xf numFmtId="43" fontId="0" fillId="2" borderId="15" xfId="1" applyFont="1" applyFill="1" applyBorder="1" applyProtection="1">
      <protection locked="0" hidden="1"/>
    </xf>
    <xf numFmtId="43" fontId="0" fillId="2" borderId="23" xfId="1" applyFont="1" applyFill="1" applyBorder="1" applyProtection="1">
      <protection locked="0" hidden="1"/>
    </xf>
    <xf numFmtId="43" fontId="0" fillId="2" borderId="18" xfId="1" applyFont="1" applyFill="1" applyBorder="1" applyProtection="1">
      <protection locked="0" hidden="1"/>
    </xf>
    <xf numFmtId="165" fontId="0" fillId="2" borderId="15" xfId="1" applyNumberFormat="1" applyFont="1" applyFill="1" applyBorder="1" applyProtection="1">
      <protection locked="0" hidden="1"/>
    </xf>
    <xf numFmtId="165" fontId="0" fillId="2" borderId="18" xfId="1" applyNumberFormat="1" applyFont="1" applyFill="1" applyBorder="1" applyProtection="1">
      <protection locked="0" hidden="1"/>
    </xf>
    <xf numFmtId="179" fontId="0" fillId="2" borderId="15" xfId="1" applyNumberFormat="1" applyFont="1" applyFill="1" applyBorder="1" applyProtection="1">
      <protection locked="0" hidden="1"/>
    </xf>
    <xf numFmtId="183" fontId="0" fillId="2" borderId="18" xfId="1" applyNumberFormat="1" applyFont="1" applyFill="1" applyBorder="1" applyProtection="1">
      <protection locked="0" hidden="1"/>
    </xf>
    <xf numFmtId="37" fontId="0" fillId="2" borderId="18" xfId="1" applyNumberFormat="1" applyFont="1" applyFill="1" applyBorder="1" applyProtection="1">
      <protection locked="0" hidden="1"/>
    </xf>
    <xf numFmtId="165" fontId="0" fillId="2" borderId="23" xfId="1" applyNumberFormat="1" applyFont="1" applyFill="1" applyBorder="1" applyProtection="1">
      <protection locked="0" hidden="1"/>
    </xf>
    <xf numFmtId="165" fontId="0" fillId="2" borderId="29" xfId="1" applyNumberFormat="1" applyFont="1" applyFill="1" applyBorder="1" applyProtection="1">
      <protection locked="0" hidden="1"/>
    </xf>
    <xf numFmtId="165" fontId="0" fillId="2" borderId="38" xfId="1" applyNumberFormat="1" applyFont="1" applyFill="1" applyBorder="1" applyProtection="1">
      <protection locked="0" hidden="1"/>
    </xf>
    <xf numFmtId="165" fontId="0" fillId="2" borderId="39" xfId="1" applyNumberFormat="1" applyFont="1" applyFill="1" applyBorder="1" applyProtection="1">
      <protection locked="0" hidden="1"/>
    </xf>
    <xf numFmtId="43" fontId="0" fillId="0" borderId="16" xfId="1" applyFont="1" applyFill="1" applyBorder="1" applyProtection="1">
      <protection locked="0" hidden="1"/>
    </xf>
    <xf numFmtId="165" fontId="0" fillId="0" borderId="29" xfId="1" applyNumberFormat="1" applyFont="1" applyFill="1" applyBorder="1" applyProtection="1">
      <protection locked="0" hidden="1"/>
    </xf>
    <xf numFmtId="165" fontId="0" fillId="0" borderId="30" xfId="1" applyNumberFormat="1" applyFont="1" applyFill="1" applyBorder="1" applyProtection="1">
      <protection locked="0" hidden="1"/>
    </xf>
    <xf numFmtId="171" fontId="0" fillId="0" borderId="16" xfId="1" applyNumberFormat="1" applyFont="1" applyFill="1" applyBorder="1" applyProtection="1">
      <protection locked="0" hidden="1"/>
    </xf>
    <xf numFmtId="43" fontId="0" fillId="0" borderId="30" xfId="1" applyFont="1" applyFill="1" applyBorder="1" applyProtection="1">
      <protection locked="0" hidden="1"/>
    </xf>
    <xf numFmtId="0" fontId="2" fillId="0" borderId="0" xfId="0" applyFont="1" applyAlignment="1" applyProtection="1">
      <alignment horizontal="left" vertical="center" indent="1"/>
      <protection hidden="1"/>
    </xf>
    <xf numFmtId="0" fontId="22" fillId="0" borderId="0" xfId="0" applyFont="1" applyAlignment="1" applyProtection="1">
      <alignment horizontal="left" vertical="center" wrapText="1"/>
      <protection hidden="1"/>
    </xf>
    <xf numFmtId="0" fontId="2" fillId="0" borderId="0" xfId="0" applyFont="1" applyAlignment="1" applyProtection="1">
      <alignment horizontal="left" vertical="center"/>
      <protection hidden="1"/>
    </xf>
    <xf numFmtId="0" fontId="23" fillId="0" borderId="0" xfId="0" applyFont="1" applyAlignment="1" applyProtection="1">
      <alignment horizontal="left" vertical="center" wrapText="1"/>
      <protection hidden="1"/>
    </xf>
    <xf numFmtId="0" fontId="0" fillId="0" borderId="0" xfId="0" applyProtection="1">
      <protection hidden="1"/>
    </xf>
    <xf numFmtId="0" fontId="16" fillId="0" borderId="0" xfId="0" applyFont="1" applyProtection="1">
      <protection hidden="1"/>
    </xf>
    <xf numFmtId="0" fontId="16" fillId="0" borderId="0" xfId="0" applyFont="1" applyAlignment="1" applyProtection="1">
      <alignment horizontal="center"/>
      <protection hidden="1"/>
    </xf>
    <xf numFmtId="0" fontId="16" fillId="0" borderId="0" xfId="0" applyFont="1" applyAlignment="1" applyProtection="1">
      <alignment horizontal="left"/>
      <protection locked="0" hidden="1"/>
    </xf>
    <xf numFmtId="0" fontId="0" fillId="0" borderId="0" xfId="0" applyAlignment="1" applyProtection="1">
      <alignment horizontal="left"/>
      <protection hidden="1"/>
    </xf>
    <xf numFmtId="0" fontId="1" fillId="0" borderId="0" xfId="0" applyFont="1" applyAlignment="1" applyProtection="1">
      <alignment horizontal="left"/>
      <protection hidden="1"/>
    </xf>
    <xf numFmtId="0" fontId="1" fillId="0" borderId="0" xfId="0" applyFont="1" applyAlignment="1" applyProtection="1">
      <alignment horizontal="left"/>
      <protection locked="0" hidden="1"/>
    </xf>
    <xf numFmtId="0" fontId="0" fillId="0" borderId="0" xfId="0" applyAlignment="1" applyProtection="1">
      <alignment horizontal="right"/>
      <protection hidden="1"/>
    </xf>
    <xf numFmtId="0" fontId="0" fillId="0" borderId="0" xfId="0" applyAlignment="1" applyProtection="1">
      <alignment horizontal="left"/>
      <protection locked="0" hidden="1"/>
    </xf>
    <xf numFmtId="0" fontId="1" fillId="0" borderId="0" xfId="0" applyFont="1" applyAlignment="1" applyProtection="1">
      <alignment horizontal="center"/>
      <protection hidden="1"/>
    </xf>
    <xf numFmtId="0" fontId="15" fillId="0" borderId="0" xfId="0" applyFont="1" applyAlignment="1" applyProtection="1">
      <alignment horizontal="left"/>
      <protection hidden="1"/>
    </xf>
    <xf numFmtId="0" fontId="0" fillId="0" borderId="0" xfId="0" applyAlignment="1" applyProtection="1">
      <alignment horizontal="center"/>
      <protection locked="0" hidden="1"/>
    </xf>
    <xf numFmtId="0" fontId="1" fillId="0" borderId="0" xfId="0" applyFont="1" applyProtection="1">
      <protection hidden="1"/>
    </xf>
    <xf numFmtId="0" fontId="0" fillId="0" borderId="0" xfId="0" applyAlignment="1" applyProtection="1">
      <alignment horizontal="center"/>
      <protection hidden="1"/>
    </xf>
    <xf numFmtId="0" fontId="0" fillId="0" borderId="0" xfId="0" applyAlignment="1" applyProtection="1">
      <alignment horizontal="right"/>
      <protection locked="0" hidden="1"/>
    </xf>
    <xf numFmtId="0" fontId="0" fillId="0" borderId="0" xfId="0" applyAlignment="1" applyProtection="1">
      <alignment horizontal="left" vertical="center"/>
      <protection locked="0" hidden="1"/>
    </xf>
    <xf numFmtId="0" fontId="0" fillId="0" borderId="0" xfId="0" applyAlignment="1" applyProtection="1">
      <alignment vertical="top"/>
      <protection hidden="1"/>
    </xf>
    <xf numFmtId="164" fontId="0" fillId="4" borderId="8" xfId="1" applyNumberFormat="1" applyFont="1" applyFill="1" applyBorder="1" applyProtection="1">
      <protection locked="0" hidden="1"/>
    </xf>
    <xf numFmtId="165" fontId="0" fillId="4" borderId="9" xfId="1" applyNumberFormat="1" applyFont="1" applyFill="1" applyBorder="1" applyProtection="1">
      <protection locked="0" hidden="1"/>
    </xf>
    <xf numFmtId="169" fontId="0" fillId="4" borderId="10" xfId="1" applyNumberFormat="1" applyFont="1" applyFill="1" applyBorder="1" applyProtection="1">
      <protection locked="0" hidden="1"/>
    </xf>
    <xf numFmtId="43" fontId="0" fillId="0" borderId="0" xfId="1" applyFont="1" applyBorder="1" applyAlignment="1" applyProtection="1">
      <alignment horizontal="right"/>
      <protection locked="0" hidden="1"/>
    </xf>
    <xf numFmtId="165" fontId="0" fillId="0" borderId="19" xfId="1" applyNumberFormat="1" applyFont="1" applyBorder="1" applyProtection="1">
      <protection locked="0" hidden="1"/>
    </xf>
    <xf numFmtId="169" fontId="0" fillId="0" borderId="0" xfId="1" applyNumberFormat="1" applyFont="1" applyBorder="1" applyProtection="1">
      <protection locked="0" hidden="1"/>
    </xf>
    <xf numFmtId="169" fontId="0" fillId="0" borderId="0" xfId="1" applyNumberFormat="1" applyFont="1" applyBorder="1" applyAlignment="1" applyProtection="1">
      <alignment horizontal="right"/>
      <protection locked="0" hidden="1"/>
    </xf>
    <xf numFmtId="169" fontId="0" fillId="0" borderId="6" xfId="1" applyNumberFormat="1" applyFont="1" applyBorder="1" applyAlignment="1" applyProtection="1">
      <alignment horizontal="right"/>
      <protection locked="0" hidden="1"/>
    </xf>
    <xf numFmtId="0" fontId="0" fillId="0" borderId="9" xfId="0" applyBorder="1" applyProtection="1">
      <protection hidden="1"/>
    </xf>
    <xf numFmtId="0" fontId="6" fillId="0" borderId="0" xfId="0" applyFont="1" applyProtection="1">
      <protection locked="0" hidden="1"/>
    </xf>
    <xf numFmtId="0" fontId="32" fillId="0" borderId="0" xfId="0" applyFont="1" applyProtection="1">
      <protection locked="0" hidden="1"/>
    </xf>
    <xf numFmtId="0" fontId="32" fillId="0" borderId="0" xfId="0" applyFont="1" applyAlignment="1" applyProtection="1">
      <alignment horizontal="left"/>
      <protection locked="0" hidden="1"/>
    </xf>
    <xf numFmtId="0" fontId="13" fillId="0" borderId="0" xfId="0" applyFont="1" applyAlignment="1" applyProtection="1">
      <alignment horizontal="left"/>
      <protection locked="0" hidden="1"/>
    </xf>
    <xf numFmtId="0" fontId="13" fillId="0" borderId="0" xfId="0" applyFont="1" applyProtection="1">
      <protection locked="0" hidden="1"/>
    </xf>
    <xf numFmtId="0" fontId="51" fillId="0" borderId="0" xfId="0" applyFont="1" applyProtection="1">
      <protection locked="0" hidden="1"/>
    </xf>
    <xf numFmtId="0" fontId="0" fillId="0" borderId="0" xfId="0" applyAlignment="1" applyProtection="1">
      <alignment horizontal="center" vertical="center"/>
      <protection locked="0" hidden="1"/>
    </xf>
    <xf numFmtId="0" fontId="32" fillId="0" borderId="0" xfId="0" applyFont="1" applyAlignment="1" applyProtection="1">
      <alignment vertical="center"/>
      <protection locked="0" hidden="1"/>
    </xf>
    <xf numFmtId="3" fontId="0" fillId="0" borderId="0" xfId="0" applyNumberFormat="1" applyProtection="1">
      <protection locked="0" hidden="1"/>
    </xf>
    <xf numFmtId="0" fontId="0" fillId="0" borderId="0" xfId="0" applyProtection="1">
      <protection locked="0" hidden="1"/>
    </xf>
    <xf numFmtId="0" fontId="1" fillId="0" borderId="0" xfId="0" applyFont="1" applyProtection="1">
      <protection locked="0" hidden="1"/>
    </xf>
    <xf numFmtId="168" fontId="32" fillId="0" borderId="0" xfId="11" applyNumberFormat="1" applyFont="1" applyFill="1" applyAlignment="1" applyProtection="1">
      <alignment horizontal="left"/>
      <protection locked="0" hidden="1"/>
    </xf>
    <xf numFmtId="0" fontId="0" fillId="9" borderId="6" xfId="0" applyFill="1" applyBorder="1" applyAlignment="1">
      <alignment horizontal="center"/>
    </xf>
    <xf numFmtId="0" fontId="1" fillId="9" borderId="9" xfId="0" applyFont="1" applyFill="1" applyBorder="1"/>
    <xf numFmtId="0" fontId="0" fillId="9" borderId="0" xfId="0" applyFill="1" applyAlignment="1">
      <alignment horizontal="center"/>
    </xf>
    <xf numFmtId="0" fontId="52" fillId="9" borderId="9" xfId="0" applyFont="1" applyFill="1" applyBorder="1"/>
    <xf numFmtId="0" fontId="52" fillId="9" borderId="2" xfId="0" applyFont="1" applyFill="1" applyBorder="1"/>
    <xf numFmtId="0" fontId="52" fillId="9" borderId="0" xfId="0" applyFont="1" applyFill="1"/>
    <xf numFmtId="0" fontId="53" fillId="9" borderId="9" xfId="0" applyFont="1" applyFill="1" applyBorder="1"/>
    <xf numFmtId="0" fontId="53" fillId="9" borderId="2" xfId="0" applyFont="1" applyFill="1" applyBorder="1"/>
    <xf numFmtId="0" fontId="53" fillId="9" borderId="0" xfId="0" applyFont="1" applyFill="1"/>
    <xf numFmtId="0" fontId="1" fillId="9" borderId="10" xfId="0" applyFont="1" applyFill="1" applyBorder="1"/>
    <xf numFmtId="0" fontId="0" fillId="9" borderId="0" xfId="0" applyFill="1" applyAlignment="1">
      <alignment horizontal="left" vertical="center"/>
    </xf>
    <xf numFmtId="0" fontId="2" fillId="9" borderId="20" xfId="0" applyFont="1" applyFill="1" applyBorder="1"/>
    <xf numFmtId="180" fontId="0" fillId="9" borderId="0" xfId="0" applyNumberFormat="1" applyFill="1"/>
    <xf numFmtId="0" fontId="1" fillId="9" borderId="19" xfId="0" applyFont="1" applyFill="1" applyBorder="1"/>
    <xf numFmtId="185" fontId="0" fillId="9" borderId="0" xfId="0" applyNumberFormat="1" applyFill="1"/>
    <xf numFmtId="0" fontId="1" fillId="9" borderId="20" xfId="0" applyFont="1" applyFill="1" applyBorder="1"/>
    <xf numFmtId="0" fontId="1" fillId="9" borderId="2" xfId="0" applyFont="1" applyFill="1" applyBorder="1"/>
    <xf numFmtId="172" fontId="0" fillId="9" borderId="10" xfId="0" applyNumberFormat="1" applyFill="1" applyBorder="1" applyAlignment="1">
      <alignment horizontal="center"/>
    </xf>
    <xf numFmtId="0" fontId="54" fillId="9" borderId="9" xfId="0" applyFont="1" applyFill="1" applyBorder="1" applyAlignment="1">
      <alignment vertical="center"/>
    </xf>
    <xf numFmtId="0" fontId="54" fillId="9" borderId="0" xfId="0" applyFont="1" applyFill="1" applyAlignment="1">
      <alignment vertical="center"/>
    </xf>
    <xf numFmtId="0" fontId="54" fillId="9" borderId="0" xfId="0" applyFont="1" applyFill="1" applyAlignment="1">
      <alignment horizontal="left" vertical="center" wrapText="1"/>
    </xf>
    <xf numFmtId="0" fontId="1" fillId="0" borderId="9" xfId="0" applyFont="1" applyBorder="1"/>
    <xf numFmtId="173" fontId="1" fillId="0" borderId="0" xfId="1" applyNumberFormat="1" applyFont="1" applyBorder="1" applyAlignment="1" applyProtection="1">
      <alignment horizontal="center"/>
      <protection locked="0"/>
    </xf>
    <xf numFmtId="173" fontId="1" fillId="0" borderId="0" xfId="0" applyNumberFormat="1" applyFont="1" applyAlignment="1" applyProtection="1">
      <alignment horizontal="center"/>
      <protection locked="0"/>
    </xf>
    <xf numFmtId="165" fontId="1" fillId="0" borderId="0" xfId="1" applyNumberFormat="1" applyFont="1" applyBorder="1" applyAlignment="1" applyProtection="1">
      <alignment horizontal="center"/>
      <protection locked="0"/>
    </xf>
    <xf numFmtId="0" fontId="49" fillId="0" borderId="66" xfId="0" applyFont="1" applyBorder="1"/>
    <xf numFmtId="9" fontId="49" fillId="0" borderId="66" xfId="11" applyFont="1" applyBorder="1" applyAlignment="1">
      <alignment horizontal="center"/>
    </xf>
    <xf numFmtId="0" fontId="50" fillId="0" borderId="66" xfId="0" applyFont="1" applyBorder="1"/>
    <xf numFmtId="0" fontId="15" fillId="0" borderId="66" xfId="0" applyFont="1" applyBorder="1"/>
    <xf numFmtId="0" fontId="49" fillId="0" borderId="66" xfId="0" applyFont="1" applyBorder="1" applyAlignment="1">
      <alignment horizontal="center"/>
    </xf>
    <xf numFmtId="0" fontId="50" fillId="0" borderId="66" xfId="0" applyFont="1" applyBorder="1" applyAlignment="1">
      <alignment wrapText="1"/>
    </xf>
    <xf numFmtId="0" fontId="9" fillId="7" borderId="9" xfId="4" applyFill="1" applyBorder="1" applyAlignment="1" applyProtection="1">
      <alignment horizontal="left" indent="1"/>
    </xf>
    <xf numFmtId="0" fontId="33" fillId="2" borderId="2" xfId="0" applyFont="1" applyFill="1" applyBorder="1" applyAlignment="1">
      <alignment wrapText="1"/>
    </xf>
    <xf numFmtId="0" fontId="0" fillId="9" borderId="70" xfId="0" applyFill="1" applyBorder="1"/>
    <xf numFmtId="0" fontId="0" fillId="9" borderId="71" xfId="0" applyFill="1" applyBorder="1"/>
    <xf numFmtId="0" fontId="0" fillId="9" borderId="72" xfId="0" applyFill="1" applyBorder="1"/>
    <xf numFmtId="0" fontId="0" fillId="9" borderId="74" xfId="0" applyFill="1" applyBorder="1"/>
    <xf numFmtId="0" fontId="0" fillId="9" borderId="73" xfId="0" applyFill="1" applyBorder="1"/>
    <xf numFmtId="0" fontId="0" fillId="9" borderId="75" xfId="0" applyFill="1" applyBorder="1"/>
    <xf numFmtId="0" fontId="0" fillId="9" borderId="76" xfId="0" applyFill="1" applyBorder="1"/>
    <xf numFmtId="0" fontId="0" fillId="9" borderId="77" xfId="0" applyFill="1" applyBorder="1"/>
    <xf numFmtId="0" fontId="0" fillId="0" borderId="73" xfId="0" applyBorder="1"/>
    <xf numFmtId="165" fontId="0" fillId="0" borderId="0" xfId="1" applyNumberFormat="1" applyFont="1" applyBorder="1" applyProtection="1">
      <protection locked="0" hidden="1"/>
    </xf>
    <xf numFmtId="0" fontId="0" fillId="0" borderId="23" xfId="0" applyBorder="1"/>
    <xf numFmtId="0" fontId="1" fillId="0" borderId="10" xfId="0" applyFont="1" applyBorder="1" applyProtection="1">
      <protection hidden="1"/>
    </xf>
    <xf numFmtId="0" fontId="0" fillId="0" borderId="14" xfId="0" applyBorder="1" applyAlignment="1">
      <alignment vertical="center"/>
    </xf>
    <xf numFmtId="165" fontId="0" fillId="0" borderId="15" xfId="1" applyNumberFormat="1" applyFont="1" applyFill="1" applyBorder="1" applyAlignment="1" applyProtection="1">
      <alignment vertical="center"/>
      <protection locked="0" hidden="1"/>
    </xf>
    <xf numFmtId="165" fontId="0" fillId="0" borderId="23" xfId="1" applyNumberFormat="1" applyFont="1" applyFill="1" applyBorder="1" applyAlignment="1" applyProtection="1">
      <alignment vertical="center"/>
      <protection locked="0" hidden="1"/>
    </xf>
    <xf numFmtId="43" fontId="0" fillId="0" borderId="15" xfId="1" quotePrefix="1" applyFont="1" applyFill="1" applyBorder="1" applyAlignment="1" applyProtection="1">
      <alignment vertical="center"/>
      <protection locked="0" hidden="1"/>
    </xf>
    <xf numFmtId="43" fontId="0" fillId="0" borderId="15" xfId="1" applyFont="1" applyFill="1" applyBorder="1" applyAlignment="1" applyProtection="1">
      <alignment vertical="center"/>
      <protection locked="0" hidden="1"/>
    </xf>
    <xf numFmtId="43" fontId="0" fillId="0" borderId="23" xfId="1" applyFont="1" applyFill="1" applyBorder="1" applyAlignment="1" applyProtection="1">
      <alignment vertical="center"/>
      <protection locked="0" hidden="1"/>
    </xf>
    <xf numFmtId="165" fontId="0" fillId="0" borderId="15" xfId="1" applyNumberFormat="1" applyFont="1" applyFill="1" applyBorder="1" applyAlignment="1" applyProtection="1">
      <alignment vertical="center"/>
      <protection locked="0"/>
    </xf>
    <xf numFmtId="43" fontId="0" fillId="0" borderId="15" xfId="1" applyFont="1" applyFill="1" applyBorder="1" applyAlignment="1" applyProtection="1">
      <alignment vertical="center"/>
      <protection locked="0"/>
    </xf>
    <xf numFmtId="165" fontId="0" fillId="0" borderId="23" xfId="1" applyNumberFormat="1" applyFont="1" applyFill="1" applyBorder="1" applyAlignment="1" applyProtection="1">
      <alignment vertical="center"/>
      <protection locked="0"/>
    </xf>
    <xf numFmtId="0" fontId="55" fillId="0" borderId="67" xfId="0" applyFont="1" applyBorder="1"/>
    <xf numFmtId="0" fontId="1" fillId="9" borderId="0" xfId="0" applyFont="1" applyFill="1" applyProtection="1">
      <protection locked="0" hidden="1"/>
    </xf>
    <xf numFmtId="0" fontId="56" fillId="0" borderId="81" xfId="0" applyFont="1" applyBorder="1" applyAlignment="1">
      <alignment horizontal="center" wrapText="1"/>
    </xf>
    <xf numFmtId="0" fontId="56" fillId="0" borderId="82" xfId="0" applyFont="1" applyBorder="1" applyAlignment="1">
      <alignment horizontal="center" wrapText="1"/>
    </xf>
    <xf numFmtId="0" fontId="56" fillId="0" borderId="83" xfId="0" applyFont="1" applyBorder="1" applyAlignment="1">
      <alignment horizontal="center" wrapText="1"/>
    </xf>
    <xf numFmtId="0" fontId="56" fillId="0" borderId="84" xfId="0" applyFont="1" applyBorder="1" applyAlignment="1">
      <alignment horizontal="center" wrapText="1"/>
    </xf>
    <xf numFmtId="184" fontId="49" fillId="23" borderId="78" xfId="0" applyNumberFormat="1" applyFont="1" applyFill="1" applyBorder="1"/>
    <xf numFmtId="184" fontId="49" fillId="23" borderId="79" xfId="0" applyNumberFormat="1" applyFont="1" applyFill="1" applyBorder="1"/>
    <xf numFmtId="3" fontId="49" fillId="23" borderId="80" xfId="0" applyNumberFormat="1" applyFont="1" applyFill="1" applyBorder="1"/>
    <xf numFmtId="184" fontId="49" fillId="11" borderId="14" xfId="0" applyNumberFormat="1" applyFont="1" applyFill="1" applyBorder="1"/>
    <xf numFmtId="184" fontId="49" fillId="11" borderId="15" xfId="0" applyNumberFormat="1" applyFont="1" applyFill="1" applyBorder="1"/>
    <xf numFmtId="3" fontId="49" fillId="11" borderId="16" xfId="0" applyNumberFormat="1" applyFont="1" applyFill="1" applyBorder="1"/>
    <xf numFmtId="184" fontId="49" fillId="11" borderId="25" xfId="0" applyNumberFormat="1" applyFont="1" applyFill="1" applyBorder="1"/>
    <xf numFmtId="184" fontId="49" fillId="11" borderId="29" xfId="0" applyNumberFormat="1" applyFont="1" applyFill="1" applyBorder="1"/>
    <xf numFmtId="3" fontId="49" fillId="11" borderId="30" xfId="0" applyNumberFormat="1" applyFont="1" applyFill="1" applyBorder="1"/>
    <xf numFmtId="165" fontId="0" fillId="0" borderId="20" xfId="1" applyNumberFormat="1" applyFont="1" applyBorder="1" applyAlignment="1" applyProtection="1">
      <alignment horizontal="right"/>
      <protection locked="0" hidden="1"/>
    </xf>
    <xf numFmtId="165" fontId="0" fillId="0" borderId="19" xfId="1" applyNumberFormat="1" applyFont="1" applyBorder="1" applyAlignment="1" applyProtection="1">
      <alignment horizontal="right"/>
      <protection locked="0" hidden="1"/>
    </xf>
    <xf numFmtId="186" fontId="60" fillId="24" borderId="15" xfId="0" applyNumberFormat="1" applyFont="1" applyFill="1" applyBorder="1"/>
    <xf numFmtId="186" fontId="61" fillId="0" borderId="0" xfId="0" applyNumberFormat="1" applyFont="1"/>
    <xf numFmtId="184" fontId="61" fillId="0" borderId="0" xfId="0" applyNumberFormat="1" applyFont="1"/>
    <xf numFmtId="165" fontId="0" fillId="0" borderId="3" xfId="1" applyNumberFormat="1" applyFont="1" applyBorder="1" applyAlignment="1" applyProtection="1">
      <alignment horizontal="right"/>
      <protection locked="0" hidden="1"/>
    </xf>
    <xf numFmtId="165" fontId="0" fillId="0" borderId="0" xfId="1" applyNumberFormat="1" applyFont="1" applyBorder="1" applyAlignment="1" applyProtection="1">
      <alignment horizontal="right"/>
      <protection locked="0" hidden="1"/>
    </xf>
    <xf numFmtId="0" fontId="62" fillId="25" borderId="15" xfId="0" applyFont="1" applyFill="1" applyBorder="1" applyAlignment="1">
      <alignment horizontal="center" vertical="center" wrapText="1"/>
    </xf>
    <xf numFmtId="0" fontId="62" fillId="26" borderId="15" xfId="0" applyFont="1" applyFill="1" applyBorder="1" applyAlignment="1">
      <alignment horizontal="center" vertical="center" wrapText="1"/>
    </xf>
    <xf numFmtId="0" fontId="62" fillId="27" borderId="15" xfId="0" applyFont="1" applyFill="1" applyBorder="1" applyAlignment="1">
      <alignment horizontal="center" vertical="center" wrapText="1"/>
    </xf>
    <xf numFmtId="0" fontId="62" fillId="28" borderId="15" xfId="0" applyFont="1" applyFill="1" applyBorder="1" applyAlignment="1">
      <alignment horizontal="center" vertical="center" wrapText="1"/>
    </xf>
    <xf numFmtId="0" fontId="63" fillId="29" borderId="15" xfId="0" applyFont="1" applyFill="1" applyBorder="1" applyAlignment="1">
      <alignment horizontal="center" vertical="center" wrapText="1"/>
    </xf>
    <xf numFmtId="0" fontId="62" fillId="30" borderId="15" xfId="0" applyFont="1" applyFill="1" applyBorder="1" applyAlignment="1">
      <alignment horizontal="center" vertical="center" wrapText="1"/>
    </xf>
    <xf numFmtId="0" fontId="62" fillId="31" borderId="15" xfId="0" applyFont="1" applyFill="1" applyBorder="1" applyAlignment="1">
      <alignment horizontal="center" vertical="center" wrapText="1"/>
    </xf>
    <xf numFmtId="0" fontId="62" fillId="32" borderId="15" xfId="0" applyFont="1" applyFill="1" applyBorder="1" applyAlignment="1">
      <alignment horizontal="center" vertical="center" wrapText="1"/>
    </xf>
    <xf numFmtId="0" fontId="62" fillId="33" borderId="15" xfId="0" applyFont="1" applyFill="1" applyBorder="1" applyAlignment="1">
      <alignment horizontal="center" vertical="center" wrapText="1"/>
    </xf>
    <xf numFmtId="0" fontId="62" fillId="34" borderId="15" xfId="0" applyFont="1" applyFill="1" applyBorder="1" applyAlignment="1">
      <alignment horizontal="center" vertical="center" wrapText="1"/>
    </xf>
    <xf numFmtId="0" fontId="62" fillId="35" borderId="15" xfId="0" applyFont="1" applyFill="1" applyBorder="1" applyAlignment="1">
      <alignment horizontal="center" vertical="center" wrapText="1"/>
    </xf>
    <xf numFmtId="0" fontId="63" fillId="36" borderId="15" xfId="0" applyFont="1" applyFill="1" applyBorder="1" applyAlignment="1">
      <alignment horizontal="center" vertical="center" wrapText="1"/>
    </xf>
    <xf numFmtId="0" fontId="62" fillId="37" borderId="15" xfId="0" applyFont="1" applyFill="1" applyBorder="1" applyAlignment="1">
      <alignment horizontal="center" vertical="center" wrapText="1"/>
    </xf>
    <xf numFmtId="0" fontId="62" fillId="38" borderId="15" xfId="0" applyFont="1" applyFill="1" applyBorder="1" applyAlignment="1">
      <alignment horizontal="center" vertical="center" wrapText="1"/>
    </xf>
    <xf numFmtId="0" fontId="62" fillId="39" borderId="15" xfId="0" applyFont="1" applyFill="1" applyBorder="1" applyAlignment="1">
      <alignment horizontal="center" vertical="center" wrapText="1"/>
    </xf>
    <xf numFmtId="0" fontId="62" fillId="40" borderId="15" xfId="0" applyFont="1" applyFill="1" applyBorder="1" applyAlignment="1">
      <alignment horizontal="center" vertical="center" wrapText="1"/>
    </xf>
    <xf numFmtId="0" fontId="62" fillId="41" borderId="15" xfId="0" applyFont="1" applyFill="1" applyBorder="1" applyAlignment="1">
      <alignment horizontal="center" vertical="center" wrapText="1"/>
    </xf>
    <xf numFmtId="0" fontId="63" fillId="42" borderId="15" xfId="0" applyFont="1" applyFill="1" applyBorder="1" applyAlignment="1">
      <alignment horizontal="center" vertical="center" wrapText="1"/>
    </xf>
    <xf numFmtId="0" fontId="62" fillId="25" borderId="15" xfId="0" applyFont="1" applyFill="1" applyBorder="1"/>
    <xf numFmtId="0" fontId="62" fillId="26" borderId="15" xfId="0" applyFont="1" applyFill="1" applyBorder="1"/>
    <xf numFmtId="0" fontId="62" fillId="27" borderId="15" xfId="0" applyFont="1" applyFill="1" applyBorder="1"/>
    <xf numFmtId="0" fontId="62" fillId="28" borderId="15" xfId="0" applyFont="1" applyFill="1" applyBorder="1"/>
    <xf numFmtId="0" fontId="63" fillId="29" borderId="15" xfId="0" applyFont="1" applyFill="1" applyBorder="1"/>
    <xf numFmtId="0" fontId="62" fillId="30" borderId="15" xfId="0" applyFont="1" applyFill="1" applyBorder="1"/>
    <xf numFmtId="0" fontId="62" fillId="31" borderId="15" xfId="0" applyFont="1" applyFill="1" applyBorder="1"/>
    <xf numFmtId="0" fontId="62" fillId="32" borderId="15" xfId="0" applyFont="1" applyFill="1" applyBorder="1"/>
    <xf numFmtId="0" fontId="62" fillId="33" borderId="15" xfId="0" applyFont="1" applyFill="1" applyBorder="1"/>
    <xf numFmtId="0" fontId="62" fillId="34" borderId="15" xfId="0" applyFont="1" applyFill="1" applyBorder="1"/>
    <xf numFmtId="0" fontId="62" fillId="35" borderId="15" xfId="0" applyFont="1" applyFill="1" applyBorder="1"/>
    <xf numFmtId="0" fontId="63" fillId="36" borderId="15" xfId="0" applyFont="1" applyFill="1" applyBorder="1"/>
    <xf numFmtId="0" fontId="62" fillId="37" borderId="15" xfId="0" applyFont="1" applyFill="1" applyBorder="1"/>
    <xf numFmtId="0" fontId="62" fillId="38" borderId="15" xfId="0" applyFont="1" applyFill="1" applyBorder="1"/>
    <xf numFmtId="0" fontId="62" fillId="39" borderId="15" xfId="0" applyFont="1" applyFill="1" applyBorder="1"/>
    <xf numFmtId="0" fontId="62" fillId="40" borderId="15" xfId="0" applyFont="1" applyFill="1" applyBorder="1"/>
    <xf numFmtId="0" fontId="62" fillId="41" borderId="15" xfId="0" applyFont="1" applyFill="1" applyBorder="1"/>
    <xf numFmtId="0" fontId="63" fillId="42" borderId="15" xfId="0" applyFont="1" applyFill="1" applyBorder="1"/>
    <xf numFmtId="0" fontId="64" fillId="26" borderId="15" xfId="0" applyFont="1" applyFill="1" applyBorder="1"/>
    <xf numFmtId="0" fontId="64" fillId="28" borderId="15" xfId="0" applyFont="1" applyFill="1" applyBorder="1"/>
    <xf numFmtId="0" fontId="64" fillId="28" borderId="15" xfId="0" applyFont="1" applyFill="1" applyBorder="1" applyAlignment="1">
      <alignment horizontal="center" vertical="center" wrapText="1"/>
    </xf>
    <xf numFmtId="0" fontId="65" fillId="28" borderId="15" xfId="0" applyFont="1" applyFill="1" applyBorder="1"/>
    <xf numFmtId="0" fontId="65" fillId="28" borderId="15" xfId="0" applyFont="1" applyFill="1" applyBorder="1" applyAlignment="1">
      <alignment horizontal="center" vertical="center" wrapText="1"/>
    </xf>
    <xf numFmtId="0" fontId="64" fillId="30" borderId="15" xfId="0" applyFont="1" applyFill="1" applyBorder="1"/>
    <xf numFmtId="0" fontId="64" fillId="30" borderId="15" xfId="0" applyFont="1" applyFill="1" applyBorder="1" applyAlignment="1">
      <alignment horizontal="center" vertical="center" wrapText="1"/>
    </xf>
    <xf numFmtId="0" fontId="64" fillId="29" borderId="15" xfId="0" applyFont="1" applyFill="1" applyBorder="1"/>
    <xf numFmtId="0" fontId="64" fillId="29" borderId="15" xfId="0" applyFont="1" applyFill="1" applyBorder="1" applyAlignment="1">
      <alignment horizontal="center" vertical="center" wrapText="1"/>
    </xf>
    <xf numFmtId="0" fontId="64" fillId="31" borderId="15" xfId="0" applyFont="1" applyFill="1" applyBorder="1"/>
    <xf numFmtId="0" fontId="64" fillId="31" borderId="15" xfId="0" applyFont="1" applyFill="1" applyBorder="1" applyAlignment="1">
      <alignment horizontal="center" vertical="center" wrapText="1"/>
    </xf>
    <xf numFmtId="166" fontId="61" fillId="0" borderId="0" xfId="0" applyNumberFormat="1" applyFont="1"/>
    <xf numFmtId="3" fontId="66" fillId="0" borderId="15" xfId="0" applyNumberFormat="1" applyFont="1" applyBorder="1" applyAlignment="1">
      <alignment horizontal="right" wrapText="1"/>
    </xf>
    <xf numFmtId="0" fontId="66" fillId="0" borderId="15" xfId="0" applyFont="1" applyBorder="1" applyAlignment="1">
      <alignment horizontal="right" wrapText="1"/>
    </xf>
    <xf numFmtId="0" fontId="33" fillId="2" borderId="9" xfId="0" applyFont="1" applyFill="1" applyBorder="1" applyAlignment="1" applyProtection="1">
      <alignment horizontal="right"/>
      <protection locked="0"/>
    </xf>
    <xf numFmtId="0" fontId="65" fillId="32" borderId="15" xfId="0" applyFont="1" applyFill="1" applyBorder="1"/>
    <xf numFmtId="0" fontId="65" fillId="32" borderId="15" xfId="0" applyFont="1" applyFill="1" applyBorder="1" applyAlignment="1">
      <alignment horizontal="center" vertical="center" wrapText="1"/>
    </xf>
    <xf numFmtId="0" fontId="1" fillId="19" borderId="0" xfId="0" applyFont="1" applyFill="1" applyProtection="1">
      <protection locked="0"/>
    </xf>
    <xf numFmtId="0" fontId="1" fillId="0" borderId="35" xfId="0" applyFont="1" applyBorder="1" applyProtection="1">
      <protection locked="0"/>
    </xf>
    <xf numFmtId="0" fontId="1" fillId="4" borderId="0" xfId="0" applyFont="1" applyFill="1" applyProtection="1">
      <protection locked="0"/>
    </xf>
    <xf numFmtId="0" fontId="1" fillId="13" borderId="0" xfId="0" applyFont="1" applyFill="1"/>
    <xf numFmtId="0" fontId="1" fillId="13" borderId="0" xfId="0" applyFont="1" applyFill="1" applyAlignment="1" applyProtection="1">
      <alignment horizontal="center" vertical="center"/>
      <protection locked="0"/>
    </xf>
    <xf numFmtId="0" fontId="1" fillId="13" borderId="0" xfId="0" applyFont="1" applyFill="1" applyAlignment="1">
      <alignment vertical="center"/>
    </xf>
    <xf numFmtId="0" fontId="1" fillId="13" borderId="9" xfId="0" applyFont="1" applyFill="1" applyBorder="1" applyAlignment="1" applyProtection="1">
      <alignment horizontal="right"/>
      <protection locked="0"/>
    </xf>
    <xf numFmtId="0" fontId="1" fillId="0" borderId="45" xfId="0" applyFont="1" applyBorder="1" applyAlignment="1">
      <alignment horizontal="right"/>
    </xf>
    <xf numFmtId="165" fontId="1" fillId="0" borderId="0" xfId="1" applyNumberFormat="1" applyFont="1" applyFill="1" applyProtection="1">
      <protection locked="0" hidden="1"/>
    </xf>
    <xf numFmtId="0" fontId="1" fillId="0" borderId="45" xfId="0" applyFont="1" applyBorder="1"/>
    <xf numFmtId="0" fontId="1" fillId="0" borderId="46" xfId="0" applyFont="1" applyBorder="1"/>
    <xf numFmtId="0" fontId="1" fillId="0" borderId="32" xfId="0" applyFont="1" applyBorder="1"/>
    <xf numFmtId="0" fontId="1" fillId="13" borderId="9" xfId="0" applyFont="1" applyFill="1" applyBorder="1" applyAlignment="1">
      <alignment vertical="top"/>
    </xf>
    <xf numFmtId="0" fontId="1" fillId="3" borderId="2" xfId="0" applyFont="1" applyFill="1" applyBorder="1"/>
    <xf numFmtId="0" fontId="1" fillId="3" borderId="0" xfId="0" applyFont="1" applyFill="1" applyProtection="1">
      <protection locked="0"/>
    </xf>
    <xf numFmtId="0" fontId="1" fillId="3" borderId="36" xfId="0" applyFont="1" applyFill="1" applyBorder="1"/>
    <xf numFmtId="0" fontId="1" fillId="0" borderId="2" xfId="0" applyFont="1" applyBorder="1"/>
    <xf numFmtId="0" fontId="1" fillId="0" borderId="35" xfId="0" applyFont="1" applyBorder="1"/>
    <xf numFmtId="0" fontId="1" fillId="0" borderId="36" xfId="0" applyFont="1" applyBorder="1"/>
    <xf numFmtId="0" fontId="1" fillId="17" borderId="0" xfId="0" applyFont="1" applyFill="1"/>
    <xf numFmtId="0" fontId="1" fillId="17" borderId="9" xfId="0" applyFont="1" applyFill="1" applyBorder="1"/>
    <xf numFmtId="0" fontId="1" fillId="17" borderId="34" xfId="0" applyFont="1" applyFill="1" applyBorder="1" applyAlignment="1">
      <alignment horizontal="right"/>
    </xf>
    <xf numFmtId="0" fontId="1" fillId="17" borderId="36" xfId="0" applyFont="1" applyFill="1" applyBorder="1"/>
    <xf numFmtId="0" fontId="1" fillId="0" borderId="51" xfId="0" applyFont="1" applyBorder="1"/>
    <xf numFmtId="0" fontId="1" fillId="7" borderId="48" xfId="0" applyFont="1" applyFill="1" applyBorder="1"/>
    <xf numFmtId="0" fontId="1" fillId="7" borderId="51" xfId="0" applyFont="1" applyFill="1" applyBorder="1"/>
    <xf numFmtId="0" fontId="1" fillId="7" borderId="9" xfId="0" applyFont="1" applyFill="1" applyBorder="1"/>
    <xf numFmtId="0" fontId="1" fillId="7" borderId="2" xfId="0" applyFont="1" applyFill="1" applyBorder="1"/>
    <xf numFmtId="0" fontId="1" fillId="2" borderId="36" xfId="0" applyFont="1" applyFill="1" applyBorder="1"/>
    <xf numFmtId="0" fontId="1" fillId="2" borderId="0" xfId="0" applyFont="1" applyFill="1"/>
    <xf numFmtId="0" fontId="1" fillId="2" borderId="2" xfId="0" applyFont="1" applyFill="1" applyBorder="1"/>
    <xf numFmtId="0" fontId="1" fillId="16" borderId="2" xfId="0" quotePrefix="1" applyFont="1" applyFill="1" applyBorder="1"/>
    <xf numFmtId="0" fontId="1" fillId="0" borderId="0" xfId="0" quotePrefix="1" applyFont="1"/>
    <xf numFmtId="0" fontId="1" fillId="0" borderId="8" xfId="0" applyFont="1" applyBorder="1"/>
    <xf numFmtId="0" fontId="1" fillId="0" borderId="1" xfId="0" applyFont="1" applyBorder="1"/>
    <xf numFmtId="0" fontId="1" fillId="0" borderId="9" xfId="0" applyFont="1" applyBorder="1" applyProtection="1">
      <protection locked="0"/>
    </xf>
    <xf numFmtId="0" fontId="1" fillId="0" borderId="10" xfId="0" applyFont="1" applyBorder="1" applyProtection="1">
      <protection locked="0"/>
    </xf>
    <xf numFmtId="0" fontId="1" fillId="0" borderId="3" xfId="0" applyFont="1" applyBorder="1"/>
    <xf numFmtId="0" fontId="1" fillId="9" borderId="14" xfId="0" applyFont="1" applyFill="1" applyBorder="1" applyAlignment="1">
      <alignment vertical="center"/>
    </xf>
    <xf numFmtId="0" fontId="1" fillId="0" borderId="0" xfId="0" applyFont="1" applyAlignment="1" applyProtection="1">
      <alignment vertical="center"/>
      <protection hidden="1"/>
    </xf>
    <xf numFmtId="0" fontId="1" fillId="5" borderId="9" xfId="0" applyFont="1" applyFill="1" applyBorder="1" applyAlignment="1">
      <alignment horizontal="right"/>
    </xf>
    <xf numFmtId="165" fontId="1" fillId="5" borderId="0" xfId="1" applyNumberFormat="1" applyFont="1" applyFill="1" applyBorder="1" applyProtection="1">
      <protection locked="0" hidden="1"/>
    </xf>
    <xf numFmtId="0" fontId="1" fillId="5" borderId="0" xfId="0" applyFont="1" applyFill="1" applyProtection="1">
      <protection hidden="1"/>
    </xf>
    <xf numFmtId="0" fontId="1" fillId="5" borderId="14" xfId="0" applyFont="1" applyFill="1" applyBorder="1"/>
    <xf numFmtId="0" fontId="1" fillId="8" borderId="14" xfId="0" applyFont="1" applyFill="1" applyBorder="1"/>
    <xf numFmtId="0" fontId="1" fillId="7" borderId="14" xfId="0" applyFont="1" applyFill="1" applyBorder="1"/>
    <xf numFmtId="43" fontId="1" fillId="7" borderId="15" xfId="1" applyFont="1" applyFill="1" applyBorder="1" applyProtection="1">
      <protection locked="0" hidden="1"/>
    </xf>
    <xf numFmtId="165" fontId="1" fillId="0" borderId="0" xfId="1" applyNumberFormat="1" applyFont="1"/>
    <xf numFmtId="0" fontId="1" fillId="0" borderId="0" xfId="0" applyFont="1" applyAlignment="1">
      <alignment horizontal="right"/>
    </xf>
    <xf numFmtId="11" fontId="1" fillId="0" borderId="0" xfId="0" applyNumberFormat="1" applyFont="1"/>
    <xf numFmtId="0" fontId="1" fillId="0" borderId="0" xfId="0" applyFont="1" applyAlignment="1">
      <alignment horizontal="left"/>
    </xf>
    <xf numFmtId="10" fontId="1" fillId="0" borderId="0" xfId="0" applyNumberFormat="1" applyFont="1"/>
    <xf numFmtId="0" fontId="1" fillId="0" borderId="21" xfId="0" applyFont="1" applyBorder="1"/>
    <xf numFmtId="0" fontId="1" fillId="0" borderId="18" xfId="0" applyFont="1" applyBorder="1"/>
    <xf numFmtId="165" fontId="1" fillId="0" borderId="0" xfId="1" applyNumberFormat="1" applyFont="1" applyAlignment="1">
      <alignment horizontal="left" wrapText="1"/>
    </xf>
    <xf numFmtId="165" fontId="1" fillId="0" borderId="18" xfId="1" applyNumberFormat="1" applyFont="1" applyBorder="1"/>
    <xf numFmtId="165" fontId="1" fillId="0" borderId="0" xfId="0" applyNumberFormat="1" applyFont="1"/>
    <xf numFmtId="165" fontId="1" fillId="0" borderId="0" xfId="1" applyNumberFormat="1" applyFont="1" applyAlignment="1">
      <alignment horizontal="center" wrapText="1"/>
    </xf>
    <xf numFmtId="43" fontId="1" fillId="0" borderId="18" xfId="1" applyFont="1" applyBorder="1"/>
    <xf numFmtId="9" fontId="1" fillId="0" borderId="18" xfId="11" applyFont="1" applyBorder="1"/>
    <xf numFmtId="43" fontId="1" fillId="0" borderId="0" xfId="0" applyNumberFormat="1" applyFont="1"/>
    <xf numFmtId="169" fontId="1" fillId="0" borderId="18" xfId="1" applyNumberFormat="1" applyFont="1" applyBorder="1"/>
    <xf numFmtId="169" fontId="1" fillId="0" borderId="0" xfId="0" applyNumberFormat="1" applyFont="1"/>
    <xf numFmtId="171" fontId="1" fillId="0" borderId="18" xfId="1" applyNumberFormat="1" applyFont="1" applyBorder="1"/>
    <xf numFmtId="171" fontId="1" fillId="0" borderId="0" xfId="1" applyNumberFormat="1" applyFont="1" applyBorder="1"/>
    <xf numFmtId="165" fontId="1" fillId="0" borderId="39" xfId="1" applyNumberFormat="1" applyFont="1" applyBorder="1"/>
    <xf numFmtId="165" fontId="1" fillId="0" borderId="0" xfId="1" applyNumberFormat="1" applyFont="1" applyBorder="1"/>
    <xf numFmtId="165" fontId="1" fillId="10" borderId="0" xfId="1" applyNumberFormat="1" applyFont="1" applyFill="1" applyAlignment="1"/>
    <xf numFmtId="165" fontId="1" fillId="10" borderId="0" xfId="1" applyNumberFormat="1" applyFont="1" applyFill="1"/>
    <xf numFmtId="165" fontId="1" fillId="0" borderId="0" xfId="1" applyNumberFormat="1" applyFont="1" applyFill="1" applyAlignment="1">
      <alignment horizontal="center" wrapText="1"/>
    </xf>
    <xf numFmtId="165" fontId="1" fillId="0" borderId="0" xfId="1" applyNumberFormat="1" applyFont="1" applyFill="1"/>
    <xf numFmtId="49" fontId="1" fillId="0" borderId="18" xfId="11" applyNumberFormat="1" applyFont="1" applyBorder="1"/>
    <xf numFmtId="10" fontId="1" fillId="0" borderId="18" xfId="11" applyNumberFormat="1" applyFont="1" applyBorder="1"/>
    <xf numFmtId="10" fontId="1" fillId="0" borderId="0" xfId="11" applyNumberFormat="1" applyFont="1" applyFill="1"/>
    <xf numFmtId="0" fontId="1" fillId="10" borderId="0" xfId="0" applyFont="1" applyFill="1"/>
    <xf numFmtId="43" fontId="1" fillId="0" borderId="0" xfId="1" applyFont="1" applyFill="1"/>
    <xf numFmtId="171" fontId="1" fillId="10" borderId="0" xfId="1" applyNumberFormat="1" applyFont="1" applyFill="1" applyBorder="1" applyAlignment="1"/>
    <xf numFmtId="171" fontId="1" fillId="10" borderId="0" xfId="1" applyNumberFormat="1" applyFont="1" applyFill="1" applyBorder="1"/>
    <xf numFmtId="10" fontId="1" fillId="0" borderId="0" xfId="11" applyNumberFormat="1" applyFont="1"/>
    <xf numFmtId="165" fontId="1" fillId="10" borderId="0" xfId="1" applyNumberFormat="1" applyFont="1" applyFill="1" applyAlignment="1">
      <alignment horizontal="center" wrapText="1"/>
    </xf>
    <xf numFmtId="169" fontId="1" fillId="10" borderId="0" xfId="0" applyNumberFormat="1" applyFont="1" applyFill="1"/>
    <xf numFmtId="43" fontId="1" fillId="10" borderId="0" xfId="1" applyFont="1" applyFill="1" applyAlignment="1"/>
    <xf numFmtId="0" fontId="1" fillId="10" borderId="0" xfId="0" applyFont="1" applyFill="1" applyAlignment="1">
      <alignment horizontal="right"/>
    </xf>
    <xf numFmtId="0" fontId="1" fillId="0" borderId="0" xfId="0" applyFont="1" applyProtection="1">
      <protection locked="0"/>
    </xf>
    <xf numFmtId="165" fontId="1" fillId="0" borderId="0" xfId="1" applyNumberFormat="1" applyFont="1" applyProtection="1">
      <protection locked="0"/>
    </xf>
    <xf numFmtId="10" fontId="1" fillId="0" borderId="0" xfId="11" applyNumberFormat="1" applyFont="1" applyProtection="1">
      <protection locked="0"/>
    </xf>
    <xf numFmtId="43" fontId="1" fillId="0" borderId="0" xfId="1" applyFont="1" applyProtection="1">
      <protection locked="0"/>
    </xf>
    <xf numFmtId="169" fontId="1" fillId="0" borderId="0" xfId="0" applyNumberFormat="1" applyFont="1" applyProtection="1">
      <protection locked="0"/>
    </xf>
    <xf numFmtId="171" fontId="1" fillId="0" borderId="0" xfId="1" applyNumberFormat="1" applyFont="1" applyBorder="1" applyProtection="1">
      <protection locked="0"/>
    </xf>
    <xf numFmtId="43" fontId="1" fillId="0" borderId="0" xfId="1" applyFont="1" applyBorder="1" applyProtection="1">
      <protection locked="0"/>
    </xf>
    <xf numFmtId="17" fontId="1" fillId="0" borderId="0" xfId="0" quotePrefix="1" applyNumberFormat="1" applyFont="1"/>
    <xf numFmtId="0" fontId="1" fillId="0" borderId="19" xfId="0" applyFont="1" applyBorder="1" applyAlignment="1">
      <alignment wrapText="1"/>
    </xf>
    <xf numFmtId="173" fontId="1" fillId="0" borderId="15" xfId="0" applyNumberFormat="1" applyFont="1" applyBorder="1" applyProtection="1">
      <protection locked="0"/>
    </xf>
    <xf numFmtId="0" fontId="1" fillId="0" borderId="15" xfId="0" applyFont="1" applyBorder="1"/>
    <xf numFmtId="0" fontId="1" fillId="0" borderId="40" xfId="0" applyFont="1" applyBorder="1"/>
    <xf numFmtId="37" fontId="1" fillId="0" borderId="15" xfId="1" applyNumberFormat="1" applyFont="1" applyBorder="1" applyAlignment="1" applyProtection="1">
      <alignment horizontal="right"/>
      <protection locked="0"/>
    </xf>
    <xf numFmtId="177" fontId="1" fillId="0" borderId="0" xfId="0" applyNumberFormat="1" applyFont="1"/>
    <xf numFmtId="0" fontId="1" fillId="0" borderId="5" xfId="0" applyFont="1" applyBorder="1"/>
    <xf numFmtId="11" fontId="1" fillId="0" borderId="0" xfId="0" applyNumberFormat="1" applyFont="1" applyProtection="1">
      <protection locked="0"/>
    </xf>
    <xf numFmtId="169" fontId="1" fillId="0" borderId="0" xfId="1" applyNumberFormat="1" applyFont="1" applyBorder="1" applyAlignment="1" applyProtection="1">
      <alignment horizontal="right"/>
      <protection locked="0"/>
    </xf>
    <xf numFmtId="164" fontId="1" fillId="0" borderId="0" xfId="1" applyNumberFormat="1" applyFont="1" applyBorder="1" applyAlignment="1" applyProtection="1">
      <alignment horizontal="right"/>
      <protection locked="0"/>
    </xf>
    <xf numFmtId="173" fontId="1" fillId="0" borderId="0" xfId="0" applyNumberFormat="1" applyFont="1" applyAlignment="1" applyProtection="1">
      <alignment horizontal="right"/>
      <protection locked="0"/>
    </xf>
    <xf numFmtId="173" fontId="1" fillId="0" borderId="2" xfId="0" applyNumberFormat="1" applyFont="1" applyBorder="1" applyAlignment="1" applyProtection="1">
      <alignment horizontal="right"/>
      <protection locked="0"/>
    </xf>
    <xf numFmtId="173" fontId="1" fillId="0" borderId="0" xfId="1" applyNumberFormat="1" applyFont="1" applyBorder="1" applyProtection="1">
      <protection locked="0"/>
    </xf>
    <xf numFmtId="173" fontId="1" fillId="0" borderId="0" xfId="0" applyNumberFormat="1" applyFont="1" applyProtection="1">
      <protection locked="0"/>
    </xf>
    <xf numFmtId="173" fontId="1" fillId="0" borderId="0" xfId="1" applyNumberFormat="1" applyFont="1" applyBorder="1" applyAlignment="1" applyProtection="1">
      <alignment horizontal="right"/>
      <protection locked="0"/>
    </xf>
    <xf numFmtId="173" fontId="1" fillId="0" borderId="2" xfId="1" applyNumberFormat="1" applyFont="1" applyBorder="1" applyAlignment="1" applyProtection="1">
      <alignment horizontal="right"/>
      <protection locked="0"/>
    </xf>
    <xf numFmtId="169" fontId="1" fillId="0" borderId="0" xfId="1" applyNumberFormat="1" applyFont="1" applyBorder="1"/>
    <xf numFmtId="169" fontId="1" fillId="0" borderId="0" xfId="1" applyNumberFormat="1" applyFont="1" applyBorder="1" applyProtection="1">
      <protection locked="0"/>
    </xf>
    <xf numFmtId="176" fontId="1" fillId="0" borderId="0" xfId="0" applyNumberFormat="1" applyFont="1" applyProtection="1">
      <protection locked="0"/>
    </xf>
    <xf numFmtId="176" fontId="1" fillId="0" borderId="2" xfId="0" applyNumberFormat="1" applyFont="1" applyBorder="1" applyProtection="1">
      <protection locked="0"/>
    </xf>
    <xf numFmtId="0" fontId="1" fillId="0" borderId="10" xfId="0" applyFont="1" applyBorder="1"/>
    <xf numFmtId="0" fontId="1" fillId="0" borderId="6" xfId="0" applyFont="1" applyBorder="1"/>
    <xf numFmtId="0" fontId="1" fillId="0" borderId="6" xfId="0" applyFont="1" applyBorder="1" applyProtection="1">
      <protection locked="0"/>
    </xf>
    <xf numFmtId="169" fontId="1" fillId="0" borderId="6" xfId="1" applyNumberFormat="1" applyFont="1" applyBorder="1" applyProtection="1">
      <protection locked="0"/>
    </xf>
    <xf numFmtId="43" fontId="1" fillId="0" borderId="6" xfId="1" applyFont="1" applyBorder="1" applyProtection="1">
      <protection locked="0"/>
    </xf>
    <xf numFmtId="176" fontId="1" fillId="0" borderId="6" xfId="0" applyNumberFormat="1" applyFont="1" applyBorder="1" applyProtection="1">
      <protection locked="0"/>
    </xf>
    <xf numFmtId="176" fontId="1" fillId="0" borderId="3" xfId="0" applyNumberFormat="1" applyFont="1" applyBorder="1" applyProtection="1">
      <protection locked="0"/>
    </xf>
    <xf numFmtId="169" fontId="1" fillId="0" borderId="0" xfId="1" applyNumberFormat="1" applyFont="1" applyFill="1"/>
    <xf numFmtId="179" fontId="1" fillId="0" borderId="0" xfId="1" applyNumberFormat="1" applyFont="1" applyFill="1"/>
    <xf numFmtId="4" fontId="1" fillId="0" borderId="0" xfId="0" applyNumberFormat="1" applyFont="1"/>
    <xf numFmtId="164" fontId="1" fillId="0" borderId="0" xfId="1" applyNumberFormat="1" applyFont="1" applyFill="1"/>
    <xf numFmtId="170" fontId="1" fillId="0" borderId="0" xfId="1" applyNumberFormat="1" applyFont="1" applyFill="1"/>
    <xf numFmtId="182" fontId="1" fillId="0" borderId="0" xfId="1" applyNumberFormat="1" applyFont="1" applyFill="1"/>
    <xf numFmtId="168" fontId="1" fillId="0" borderId="0" xfId="11" applyNumberFormat="1" applyFont="1" applyFill="1"/>
    <xf numFmtId="165" fontId="1" fillId="0" borderId="0" xfId="1" applyNumberFormat="1" applyFont="1" applyFill="1" applyAlignment="1">
      <alignment horizontal="left"/>
    </xf>
    <xf numFmtId="39" fontId="1" fillId="0" borderId="0" xfId="1" applyNumberFormat="1" applyFont="1" applyFill="1"/>
    <xf numFmtId="183" fontId="1" fillId="0" borderId="0" xfId="1" applyNumberFormat="1" applyFont="1" applyFill="1"/>
    <xf numFmtId="9" fontId="1" fillId="0" borderId="0" xfId="11" applyFont="1" applyFill="1"/>
    <xf numFmtId="165" fontId="1" fillId="0" borderId="0" xfId="1" applyNumberFormat="1" applyFont="1" applyFill="1" applyProtection="1">
      <protection locked="0"/>
    </xf>
    <xf numFmtId="0" fontId="1" fillId="0" borderId="5" xfId="0" applyFont="1" applyBorder="1" applyAlignment="1" applyProtection="1">
      <alignment horizontal="center" wrapText="1"/>
      <protection hidden="1"/>
    </xf>
    <xf numFmtId="0" fontId="1" fillId="0" borderId="1" xfId="0" applyFont="1" applyBorder="1" applyAlignment="1" applyProtection="1">
      <alignment horizontal="center" wrapText="1"/>
      <protection hidden="1"/>
    </xf>
    <xf numFmtId="0" fontId="1" fillId="0" borderId="7" xfId="0" applyFont="1" applyBorder="1" applyAlignment="1" applyProtection="1">
      <alignment horizontal="center" wrapText="1"/>
      <protection hidden="1"/>
    </xf>
    <xf numFmtId="0" fontId="1" fillId="0" borderId="4" xfId="0" applyFont="1" applyBorder="1" applyAlignment="1" applyProtection="1">
      <alignment horizontal="center" wrapText="1"/>
      <protection hidden="1"/>
    </xf>
    <xf numFmtId="0" fontId="1" fillId="0" borderId="0" xfId="0" applyFont="1" applyAlignment="1" applyProtection="1">
      <alignment horizontal="center" wrapText="1"/>
      <protection locked="0"/>
    </xf>
    <xf numFmtId="0" fontId="1" fillId="0" borderId="2" xfId="0" applyFont="1" applyBorder="1" applyAlignment="1" applyProtection="1">
      <alignment horizontal="center" wrapText="1"/>
      <protection locked="0"/>
    </xf>
    <xf numFmtId="165" fontId="1" fillId="0" borderId="2" xfId="1" applyNumberFormat="1" applyFont="1" applyBorder="1" applyAlignment="1" applyProtection="1">
      <alignment horizontal="center" wrapText="1"/>
      <protection locked="0"/>
    </xf>
    <xf numFmtId="43" fontId="1" fillId="0" borderId="2" xfId="1" applyFont="1" applyBorder="1" applyProtection="1">
      <protection locked="0"/>
    </xf>
    <xf numFmtId="165" fontId="1" fillId="0" borderId="2" xfId="1" applyNumberFormat="1" applyFont="1" applyBorder="1" applyProtection="1">
      <protection locked="0"/>
    </xf>
    <xf numFmtId="165" fontId="1" fillId="0" borderId="0" xfId="0" applyNumberFormat="1" applyFont="1" applyProtection="1">
      <protection locked="0"/>
    </xf>
    <xf numFmtId="165" fontId="1" fillId="0" borderId="6" xfId="1" applyNumberFormat="1" applyFont="1" applyBorder="1" applyProtection="1">
      <protection locked="0"/>
    </xf>
    <xf numFmtId="43" fontId="1" fillId="0" borderId="3" xfId="1" applyFont="1" applyBorder="1" applyProtection="1">
      <protection locked="0"/>
    </xf>
    <xf numFmtId="0" fontId="1" fillId="0" borderId="11" xfId="0" applyFont="1" applyBorder="1" applyProtection="1">
      <protection hidden="1"/>
    </xf>
    <xf numFmtId="0" fontId="1" fillId="0" borderId="12" xfId="0" applyFont="1" applyBorder="1" applyAlignment="1" applyProtection="1">
      <alignment horizontal="center" wrapText="1"/>
      <protection hidden="1"/>
    </xf>
    <xf numFmtId="0" fontId="1" fillId="0" borderId="13" xfId="0" applyFont="1" applyBorder="1" applyAlignment="1" applyProtection="1">
      <alignment horizontal="center" wrapText="1"/>
      <protection hidden="1"/>
    </xf>
    <xf numFmtId="165" fontId="1" fillId="0" borderId="0" xfId="0" applyNumberFormat="1" applyFont="1" applyAlignment="1" applyProtection="1">
      <alignment horizontal="center" wrapText="1"/>
      <protection locked="0"/>
    </xf>
    <xf numFmtId="179" fontId="1" fillId="0" borderId="0" xfId="0" applyNumberFormat="1" applyFont="1" applyProtection="1">
      <protection locked="0"/>
    </xf>
    <xf numFmtId="0" fontId="1" fillId="0" borderId="5" xfId="0" applyFont="1" applyBorder="1" applyProtection="1">
      <protection locked="0"/>
    </xf>
    <xf numFmtId="0" fontId="1" fillId="0" borderId="1" xfId="0" applyFont="1" applyBorder="1" applyProtection="1">
      <protection locked="0"/>
    </xf>
    <xf numFmtId="9" fontId="1" fillId="0" borderId="0" xfId="11" applyFont="1" applyBorder="1" applyProtection="1">
      <protection locked="0"/>
    </xf>
    <xf numFmtId="164" fontId="1" fillId="0" borderId="0" xfId="1" applyNumberFormat="1" applyFont="1" applyBorder="1" applyProtection="1">
      <protection locked="0"/>
    </xf>
    <xf numFmtId="11" fontId="1" fillId="0" borderId="0" xfId="1" applyNumberFormat="1" applyFont="1" applyProtection="1">
      <protection hidden="1"/>
    </xf>
    <xf numFmtId="165" fontId="1" fillId="0" borderId="0" xfId="1" applyNumberFormat="1" applyFont="1" applyProtection="1">
      <protection hidden="1"/>
    </xf>
    <xf numFmtId="168" fontId="1" fillId="0" borderId="0" xfId="0" applyNumberFormat="1" applyFont="1" applyProtection="1">
      <protection locked="0"/>
    </xf>
    <xf numFmtId="170" fontId="1" fillId="0" borderId="0" xfId="1" applyNumberFormat="1" applyFont="1" applyBorder="1" applyProtection="1">
      <protection locked="0"/>
    </xf>
    <xf numFmtId="174" fontId="1" fillId="0" borderId="0" xfId="0" applyNumberFormat="1" applyFont="1" applyProtection="1">
      <protection locked="0"/>
    </xf>
    <xf numFmtId="0" fontId="1" fillId="0" borderId="3" xfId="0" applyFont="1" applyBorder="1" applyProtection="1">
      <protection locked="0"/>
    </xf>
    <xf numFmtId="0" fontId="1" fillId="0" borderId="9" xfId="0" applyFont="1" applyBorder="1" applyAlignment="1">
      <alignment horizontal="left"/>
    </xf>
    <xf numFmtId="166" fontId="1" fillId="0" borderId="0" xfId="0" applyNumberFormat="1" applyFont="1" applyProtection="1">
      <protection locked="0"/>
    </xf>
    <xf numFmtId="3" fontId="1" fillId="0" borderId="0" xfId="0" applyNumberFormat="1" applyFont="1" applyProtection="1">
      <protection locked="0"/>
    </xf>
    <xf numFmtId="3" fontId="1" fillId="0" borderId="6" xfId="0" applyNumberFormat="1" applyFont="1" applyBorder="1" applyProtection="1">
      <protection locked="0"/>
    </xf>
    <xf numFmtId="43" fontId="1" fillId="0" borderId="0" xfId="0" applyNumberFormat="1" applyFont="1" applyProtection="1">
      <protection locked="0"/>
    </xf>
    <xf numFmtId="165" fontId="1" fillId="0" borderId="6" xfId="0" applyNumberFormat="1" applyFont="1" applyBorder="1" applyProtection="1">
      <protection locked="0"/>
    </xf>
    <xf numFmtId="164" fontId="1" fillId="0" borderId="0" xfId="0" applyNumberFormat="1" applyFont="1" applyProtection="1">
      <protection locked="0"/>
    </xf>
    <xf numFmtId="10" fontId="1" fillId="0" borderId="0" xfId="11" applyNumberFormat="1" applyFont="1" applyBorder="1" applyProtection="1">
      <protection locked="0"/>
    </xf>
    <xf numFmtId="165" fontId="1" fillId="14" borderId="0" xfId="1" applyNumberFormat="1" applyFont="1" applyFill="1" applyBorder="1" applyProtection="1">
      <protection locked="0"/>
    </xf>
    <xf numFmtId="0" fontId="1" fillId="0" borderId="2" xfId="0" applyFont="1" applyBorder="1" applyProtection="1">
      <protection hidden="1"/>
    </xf>
    <xf numFmtId="41" fontId="1" fillId="0" borderId="0" xfId="0" applyNumberFormat="1" applyFont="1" applyProtection="1">
      <protection locked="0"/>
    </xf>
    <xf numFmtId="43" fontId="1" fillId="0" borderId="0" xfId="0" applyNumberFormat="1" applyFont="1" applyProtection="1">
      <protection hidden="1"/>
    </xf>
    <xf numFmtId="10" fontId="1" fillId="0" borderId="0" xfId="0" applyNumberFormat="1" applyFont="1" applyProtection="1">
      <protection locked="0"/>
    </xf>
    <xf numFmtId="178" fontId="1" fillId="0" borderId="0" xfId="11" applyNumberFormat="1" applyFont="1" applyBorder="1" applyProtection="1">
      <protection locked="0"/>
    </xf>
    <xf numFmtId="9" fontId="1" fillId="0" borderId="0" xfId="11" applyFont="1" applyProtection="1">
      <protection hidden="1"/>
    </xf>
    <xf numFmtId="0" fontId="1" fillId="0" borderId="1" xfId="0" applyFont="1" applyBorder="1" applyProtection="1">
      <protection hidden="1"/>
    </xf>
    <xf numFmtId="0" fontId="1" fillId="0" borderId="3" xfId="0" applyFont="1" applyBorder="1" applyProtection="1">
      <protection hidden="1"/>
    </xf>
    <xf numFmtId="0" fontId="1" fillId="0" borderId="0" xfId="6" applyFont="1" applyAlignment="1">
      <alignment horizontal="left" wrapText="1"/>
    </xf>
    <xf numFmtId="0" fontId="5" fillId="0" borderId="0" xfId="6" applyAlignment="1">
      <alignment horizontal="left" wrapText="1"/>
    </xf>
    <xf numFmtId="0" fontId="1" fillId="0" borderId="0" xfId="6" applyFont="1" applyAlignment="1">
      <alignment horizontal="left" vertical="center" wrapText="1"/>
    </xf>
    <xf numFmtId="0" fontId="5" fillId="0" borderId="0" xfId="6" applyAlignment="1">
      <alignment horizontal="left" vertical="center" wrapText="1"/>
    </xf>
    <xf numFmtId="0" fontId="54" fillId="0" borderId="65" xfId="6" applyFont="1" applyBorder="1" applyAlignment="1">
      <alignment horizontal="left" vertical="top"/>
    </xf>
    <xf numFmtId="0" fontId="2" fillId="0" borderId="0" xfId="6" applyFont="1" applyAlignment="1">
      <alignment horizontal="left"/>
    </xf>
    <xf numFmtId="0" fontId="4" fillId="0" borderId="0" xfId="6" applyFont="1" applyAlignment="1">
      <alignment horizontal="left" vertical="center" wrapText="1"/>
    </xf>
    <xf numFmtId="0" fontId="38" fillId="0" borderId="52" xfId="0" applyFont="1" applyBorder="1" applyAlignment="1">
      <alignment horizontal="center" vertical="center"/>
    </xf>
    <xf numFmtId="0" fontId="38" fillId="0" borderId="53" xfId="0" applyFont="1" applyBorder="1" applyAlignment="1">
      <alignment horizontal="center" vertical="center"/>
    </xf>
    <xf numFmtId="0" fontId="38" fillId="0" borderId="57" xfId="0" applyFont="1" applyBorder="1" applyAlignment="1">
      <alignment horizontal="center" vertical="center"/>
    </xf>
    <xf numFmtId="0" fontId="16" fillId="7" borderId="9" xfId="4" applyFont="1" applyFill="1" applyBorder="1" applyAlignment="1" applyProtection="1">
      <alignment horizontal="left" indent="2"/>
    </xf>
    <xf numFmtId="0" fontId="16" fillId="7" borderId="0" xfId="4" applyFont="1" applyFill="1" applyBorder="1" applyAlignment="1" applyProtection="1">
      <alignment horizontal="left" indent="2"/>
    </xf>
    <xf numFmtId="0" fontId="36" fillId="13" borderId="0" xfId="0" quotePrefix="1" applyFont="1" applyFill="1" applyAlignment="1" applyProtection="1">
      <alignment wrapText="1"/>
      <protection locked="0"/>
    </xf>
    <xf numFmtId="0" fontId="0" fillId="13" borderId="0" xfId="0" applyFill="1" applyAlignment="1" applyProtection="1">
      <alignment wrapText="1"/>
      <protection locked="0"/>
    </xf>
    <xf numFmtId="0" fontId="11" fillId="0" borderId="50" xfId="0" applyFont="1" applyBorder="1" applyAlignment="1">
      <alignment horizontal="left"/>
    </xf>
    <xf numFmtId="0" fontId="11" fillId="0" borderId="34" xfId="0" applyFont="1" applyBorder="1" applyAlignment="1">
      <alignment horizontal="left"/>
    </xf>
    <xf numFmtId="0" fontId="11" fillId="0" borderId="9" xfId="0" applyFont="1" applyBorder="1" applyAlignment="1">
      <alignment horizontal="left"/>
    </xf>
    <xf numFmtId="0" fontId="13" fillId="0" borderId="0" xfId="0" applyFont="1" applyAlignment="1" applyProtection="1">
      <alignment horizontal="center" vertical="center" wrapText="1"/>
      <protection locked="0" hidden="1"/>
    </xf>
    <xf numFmtId="0" fontId="44" fillId="0" borderId="0" xfId="0" applyFont="1" applyAlignment="1" applyProtection="1">
      <alignment horizontal="left" wrapText="1"/>
      <protection locked="0" hidden="1"/>
    </xf>
    <xf numFmtId="0" fontId="59" fillId="2" borderId="9" xfId="0" applyFont="1" applyFill="1" applyBorder="1" applyAlignment="1">
      <alignment horizontal="left" vertical="center" wrapText="1" indent="1"/>
    </xf>
    <xf numFmtId="0" fontId="38" fillId="0" borderId="54" xfId="0" applyFont="1" applyBorder="1" applyAlignment="1">
      <alignment horizontal="center" vertical="center"/>
    </xf>
    <xf numFmtId="0" fontId="11" fillId="0" borderId="0" xfId="0" applyFont="1" applyAlignment="1">
      <alignment horizontal="left"/>
    </xf>
    <xf numFmtId="0" fontId="11" fillId="0" borderId="35" xfId="0" applyFont="1" applyBorder="1" applyAlignment="1">
      <alignment horizontal="left"/>
    </xf>
    <xf numFmtId="0" fontId="13" fillId="13" borderId="2" xfId="0" applyFont="1" applyFill="1" applyBorder="1" applyAlignment="1" applyProtection="1">
      <alignment horizontal="center" vertical="center" wrapText="1"/>
      <protection locked="0"/>
    </xf>
    <xf numFmtId="0" fontId="33" fillId="13" borderId="2" xfId="0" applyFont="1" applyFill="1" applyBorder="1" applyAlignment="1" applyProtection="1">
      <alignment horizontal="center" vertical="center" wrapText="1"/>
      <protection locked="0"/>
    </xf>
    <xf numFmtId="0" fontId="33" fillId="17" borderId="0" xfId="0" applyFont="1" applyFill="1" applyAlignment="1" applyProtection="1">
      <alignment horizontal="center" vertical="center"/>
      <protection locked="0"/>
    </xf>
    <xf numFmtId="0" fontId="33" fillId="17" borderId="2" xfId="0" applyFont="1" applyFill="1" applyBorder="1" applyAlignment="1" applyProtection="1">
      <alignment horizontal="center" vertical="center"/>
      <protection locked="0"/>
    </xf>
    <xf numFmtId="165" fontId="42" fillId="13" borderId="34" xfId="1" applyNumberFormat="1" applyFont="1" applyFill="1" applyBorder="1" applyAlignment="1" applyProtection="1">
      <alignment horizontal="center" vertical="center" wrapText="1"/>
      <protection locked="0"/>
    </xf>
    <xf numFmtId="165" fontId="42" fillId="13" borderId="35" xfId="1" applyNumberFormat="1" applyFont="1" applyFill="1" applyBorder="1" applyAlignment="1" applyProtection="1">
      <alignment horizontal="center" vertical="center" wrapText="1"/>
      <protection locked="0"/>
    </xf>
    <xf numFmtId="0" fontId="44" fillId="7" borderId="0" xfId="0" applyFont="1" applyFill="1" applyAlignment="1">
      <alignment horizontal="left" vertical="center" wrapText="1"/>
    </xf>
    <xf numFmtId="0" fontId="44" fillId="7" borderId="2" xfId="0" applyFont="1" applyFill="1" applyBorder="1" applyAlignment="1">
      <alignment horizontal="left" vertical="center" wrapText="1"/>
    </xf>
    <xf numFmtId="0" fontId="44" fillId="7" borderId="6" xfId="0" applyFont="1" applyFill="1" applyBorder="1" applyAlignment="1">
      <alignment horizontal="left" vertical="center" wrapText="1"/>
    </xf>
    <xf numFmtId="0" fontId="44" fillId="7" borderId="3" xfId="0" applyFont="1" applyFill="1" applyBorder="1" applyAlignment="1">
      <alignment horizontal="left" vertical="center" wrapText="1"/>
    </xf>
    <xf numFmtId="0" fontId="48" fillId="0" borderId="0" xfId="0" applyFont="1" applyAlignment="1">
      <alignment vertical="center"/>
    </xf>
    <xf numFmtId="0" fontId="0" fillId="0" borderId="0" xfId="0"/>
    <xf numFmtId="0" fontId="16" fillId="0" borderId="0" xfId="0" applyFont="1" applyAlignment="1" applyProtection="1">
      <alignment horizontal="center"/>
      <protection hidden="1"/>
    </xf>
    <xf numFmtId="0" fontId="0" fillId="0" borderId="0" xfId="0" applyAlignment="1" applyProtection="1">
      <alignment horizontal="right"/>
      <protection locked="0" hidden="1"/>
    </xf>
    <xf numFmtId="0" fontId="4" fillId="0" borderId="0" xfId="0" applyFont="1" applyAlignment="1">
      <alignment horizontal="left" wrapText="1"/>
    </xf>
    <xf numFmtId="0" fontId="22" fillId="0" borderId="0" xfId="0" applyFont="1" applyAlignment="1">
      <alignment horizontal="left" wrapText="1"/>
    </xf>
    <xf numFmtId="0" fontId="23" fillId="0" borderId="0" xfId="0" applyFont="1" applyAlignment="1">
      <alignment horizontal="left" wrapText="1"/>
    </xf>
    <xf numFmtId="0" fontId="1" fillId="0" borderId="42" xfId="0" applyFont="1"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22" fillId="0" borderId="0" xfId="0" applyFont="1" applyAlignment="1">
      <alignment horizontal="left" vertical="center" wrapText="1"/>
    </xf>
    <xf numFmtId="0" fontId="23" fillId="0" borderId="0" xfId="0" applyFont="1" applyAlignment="1">
      <alignment horizontal="left" vertical="center" wrapText="1"/>
    </xf>
    <xf numFmtId="0" fontId="21" fillId="0" borderId="5" xfId="0" applyFont="1" applyBorder="1" applyAlignment="1">
      <alignment horizontal="left" wrapText="1"/>
    </xf>
    <xf numFmtId="0" fontId="0" fillId="0" borderId="5" xfId="0" applyBorder="1"/>
    <xf numFmtId="0" fontId="1" fillId="0" borderId="45" xfId="0" applyFont="1" applyBorder="1" applyAlignment="1">
      <alignment vertical="center"/>
    </xf>
    <xf numFmtId="0" fontId="0" fillId="0" borderId="46" xfId="0" applyBorder="1" applyAlignment="1">
      <alignment vertical="center"/>
    </xf>
    <xf numFmtId="0" fontId="0" fillId="0" borderId="47" xfId="0" applyBorder="1" applyAlignment="1">
      <alignment vertical="center"/>
    </xf>
    <xf numFmtId="0" fontId="2" fillId="0" borderId="0" xfId="0" applyFont="1" applyAlignment="1" applyProtection="1">
      <alignment horizontal="center" vertical="center"/>
      <protection locked="0" hidden="1"/>
    </xf>
    <xf numFmtId="0" fontId="0" fillId="0" borderId="0" xfId="0" applyAlignment="1" applyProtection="1">
      <alignment vertical="center"/>
      <protection locked="0" hidden="1"/>
    </xf>
    <xf numFmtId="165" fontId="11" fillId="0" borderId="5" xfId="1" applyNumberFormat="1" applyFont="1" applyFill="1" applyBorder="1" applyAlignment="1">
      <alignment horizontal="center" vertical="center"/>
    </xf>
    <xf numFmtId="165" fontId="11" fillId="0" borderId="6" xfId="1" applyNumberFormat="1" applyFont="1" applyFill="1" applyBorder="1" applyAlignment="1">
      <alignment horizontal="center" vertical="center"/>
    </xf>
    <xf numFmtId="0" fontId="18" fillId="9" borderId="0" xfId="0" applyFont="1" applyFill="1" applyAlignment="1">
      <alignment horizontal="left" vertical="center" wrapText="1"/>
    </xf>
    <xf numFmtId="0" fontId="1" fillId="9" borderId="8" xfId="0" applyFont="1" applyFill="1" applyBorder="1"/>
    <xf numFmtId="0" fontId="0" fillId="9" borderId="1" xfId="0" applyFill="1" applyBorder="1"/>
    <xf numFmtId="0" fontId="0" fillId="9" borderId="10" xfId="0" applyFill="1" applyBorder="1"/>
    <xf numFmtId="0" fontId="0" fillId="9" borderId="3" xfId="0" applyFill="1" applyBorder="1"/>
    <xf numFmtId="0" fontId="1" fillId="9" borderId="5" xfId="0" applyFont="1" applyFill="1" applyBorder="1"/>
    <xf numFmtId="0" fontId="0" fillId="9" borderId="6" xfId="0" applyFill="1" applyBorder="1"/>
    <xf numFmtId="0" fontId="54" fillId="9" borderId="0" xfId="0" applyFont="1" applyFill="1" applyAlignment="1">
      <alignment horizontal="left" vertical="center" wrapText="1"/>
    </xf>
    <xf numFmtId="0" fontId="0" fillId="9" borderId="5" xfId="0" applyFill="1" applyBorder="1"/>
    <xf numFmtId="0" fontId="0" fillId="9" borderId="8" xfId="0" applyFill="1" applyBorder="1"/>
    <xf numFmtId="0" fontId="0" fillId="9" borderId="5" xfId="0" applyFill="1" applyBorder="1" applyAlignment="1">
      <alignment horizontal="center"/>
    </xf>
    <xf numFmtId="0" fontId="0" fillId="9" borderId="1" xfId="0" applyFill="1" applyBorder="1" applyAlignment="1">
      <alignment horizontal="center"/>
    </xf>
    <xf numFmtId="0" fontId="0" fillId="9" borderId="6" xfId="0" applyFill="1" applyBorder="1" applyAlignment="1">
      <alignment horizontal="center"/>
    </xf>
    <xf numFmtId="0" fontId="0" fillId="9" borderId="3" xfId="0" applyFill="1" applyBorder="1" applyAlignment="1">
      <alignment horizontal="center"/>
    </xf>
    <xf numFmtId="0" fontId="58" fillId="22" borderId="73" xfId="0" applyFont="1" applyFill="1" applyBorder="1" applyAlignment="1">
      <alignment horizontal="center" vertical="center"/>
    </xf>
    <xf numFmtId="0" fontId="58" fillId="22" borderId="0" xfId="0" applyFont="1" applyFill="1" applyAlignment="1">
      <alignment horizontal="center" vertical="center"/>
    </xf>
    <xf numFmtId="0" fontId="2" fillId="0" borderId="0" xfId="0" quotePrefix="1" applyFont="1" applyAlignment="1">
      <alignment horizontal="center" wrapText="1"/>
    </xf>
    <xf numFmtId="0" fontId="57" fillId="14" borderId="67" xfId="0" applyFont="1" applyFill="1" applyBorder="1" applyAlignment="1">
      <alignment horizontal="left" vertical="center" wrapText="1"/>
    </xf>
    <xf numFmtId="0" fontId="57" fillId="14" borderId="68" xfId="0" applyFont="1" applyFill="1" applyBorder="1" applyAlignment="1">
      <alignment horizontal="left" vertical="center" wrapText="1"/>
    </xf>
    <xf numFmtId="0" fontId="57" fillId="14" borderId="69" xfId="0" applyFont="1" applyFill="1" applyBorder="1" applyAlignment="1">
      <alignment horizontal="left" vertical="center" wrapText="1"/>
    </xf>
  </cellXfs>
  <cellStyles count="13">
    <cellStyle name="Comma" xfId="1" builtinId="3"/>
    <cellStyle name="Comma 2" xfId="2" xr:uid="{00000000-0005-0000-0000-000001000000}"/>
    <cellStyle name="Comma 2 2" xfId="3" xr:uid="{00000000-0005-0000-0000-000002000000}"/>
    <cellStyle name="Hyperlink" xfId="4" builtinId="8"/>
    <cellStyle name="Hyperlink 2" xfId="5" xr:uid="{00000000-0005-0000-0000-000004000000}"/>
    <cellStyle name="Normal" xfId="0" builtinId="0"/>
    <cellStyle name="Normal 2" xfId="6" xr:uid="{00000000-0005-0000-0000-000006000000}"/>
    <cellStyle name="Normal 3" xfId="7" xr:uid="{00000000-0005-0000-0000-000007000000}"/>
    <cellStyle name="Normal 4" xfId="8" xr:uid="{00000000-0005-0000-0000-000008000000}"/>
    <cellStyle name="Normal 4 2" xfId="9" xr:uid="{00000000-0005-0000-0000-000009000000}"/>
    <cellStyle name="Normal 5" xfId="10" xr:uid="{00000000-0005-0000-0000-00000A000000}"/>
    <cellStyle name="Percent" xfId="11" builtinId="5"/>
    <cellStyle name="Percent 2" xfId="12" xr:uid="{00000000-0005-0000-0000-00000C000000}"/>
  </cellStyles>
  <dxfs count="53">
    <dxf>
      <fill>
        <patternFill>
          <bgColor indexed="52"/>
        </patternFill>
      </fill>
    </dxf>
    <dxf>
      <border>
        <left style="thin">
          <color rgb="FFFF0000"/>
        </left>
        <right style="thin">
          <color rgb="FFFF0000"/>
        </right>
        <bottom style="thin">
          <color rgb="FFFF0000"/>
        </bottom>
        <vertical/>
        <horizontal/>
      </border>
    </dxf>
    <dxf>
      <border>
        <left style="thin">
          <color rgb="FFFF0000"/>
        </left>
        <right style="thin">
          <color rgb="FFFF0000"/>
        </right>
        <top style="thin">
          <color rgb="FFFF0000"/>
        </top>
        <vertical/>
        <horizontal/>
      </border>
    </dxf>
    <dxf>
      <border>
        <left style="thin">
          <color rgb="FFFF0000"/>
        </left>
        <right style="thin">
          <color rgb="FFFF0000"/>
        </right>
        <vertical/>
        <horizontal/>
      </border>
    </dxf>
    <dxf>
      <fill>
        <patternFill>
          <bgColor indexed="11"/>
        </patternFill>
      </fill>
    </dxf>
    <dxf>
      <fill>
        <patternFill>
          <bgColor indexed="11"/>
        </patternFill>
      </fill>
    </dxf>
    <dxf>
      <fill>
        <patternFill>
          <bgColor indexed="52"/>
        </patternFill>
      </fill>
    </dxf>
    <dxf>
      <fill>
        <patternFill>
          <bgColor indexed="52"/>
        </patternFill>
      </fill>
    </dxf>
    <dxf>
      <fill>
        <patternFill>
          <bgColor indexed="13"/>
        </patternFill>
      </fill>
    </dxf>
    <dxf>
      <fill>
        <patternFill>
          <bgColor indexed="11"/>
        </patternFill>
      </fill>
    </dxf>
    <dxf>
      <fill>
        <patternFill>
          <bgColor indexed="11"/>
        </patternFill>
      </fill>
    </dxf>
    <dxf>
      <fill>
        <patternFill>
          <bgColor indexed="11"/>
        </patternFill>
      </fill>
    </dxf>
    <dxf>
      <fill>
        <patternFill>
          <bgColor indexed="52"/>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52"/>
        </patternFill>
      </fill>
    </dxf>
    <dxf>
      <fill>
        <patternFill>
          <bgColor indexed="52"/>
        </patternFill>
      </fill>
    </dxf>
    <dxf>
      <fill>
        <patternFill>
          <bgColor indexed="52"/>
        </patternFill>
      </fill>
    </dxf>
    <dxf>
      <fill>
        <patternFill>
          <bgColor indexed="52"/>
        </patternFill>
      </fill>
    </dxf>
    <dxf>
      <fill>
        <patternFill>
          <bgColor indexed="52"/>
        </patternFill>
      </fill>
    </dxf>
    <dxf>
      <fill>
        <patternFill>
          <bgColor indexed="13"/>
        </patternFill>
      </fill>
    </dxf>
    <dxf>
      <fill>
        <patternFill>
          <bgColor indexed="13"/>
        </patternFill>
      </fill>
    </dxf>
    <dxf>
      <fill>
        <patternFill>
          <bgColor indexed="13"/>
        </patternFill>
      </fill>
    </dxf>
    <dxf>
      <fill>
        <patternFill>
          <bgColor indexed="15"/>
        </patternFill>
      </fill>
    </dxf>
    <dxf>
      <fill>
        <patternFill>
          <bgColor indexed="15"/>
        </patternFill>
      </fill>
    </dxf>
    <dxf>
      <fill>
        <patternFill>
          <bgColor indexed="15"/>
        </patternFill>
      </fill>
    </dxf>
    <dxf>
      <fill>
        <patternFill>
          <bgColor indexed="15"/>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s>
  <tableStyles count="0" defaultTableStyle="TableStyleMedium9" defaultPivotStyle="PivotStyleLight16"/>
  <colors>
    <mruColors>
      <color rgb="FF0D13FF"/>
      <color rgb="FFECF3FA"/>
      <color rgb="FFEEF3F8"/>
      <color rgb="FFECF2F8"/>
      <color rgb="FFE4EEF8"/>
      <color rgb="FFD7E5F5"/>
      <color rgb="FFEEF4F8"/>
      <color rgb="FFE4ECF4"/>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3.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Drop" dropLines="10" dropStyle="combo" dx="22" fmlaLink="chpfuelinput" fmlaRange="lista6" noThreeD="1" sel="0" val="0"/>
</file>

<file path=xl/ctrlProps/ctrlProp7.xml><?xml version="1.0" encoding="utf-8"?>
<formControlPr xmlns="http://schemas.microsoft.com/office/spreadsheetml/2009/9/main" objectType="Drop" dropLines="10" dropStyle="combo" dx="22" fmlaLink="chphoursinput" fmlaRange="listb3" noThreeD="1" sel="0" val="0"/>
</file>

<file path=xl/ctrlProps/ctrlProp8.xml><?xml version="1.0" encoding="utf-8"?>
<formControlPr xmlns="http://schemas.microsoft.com/office/spreadsheetml/2009/9/main" objectType="Drop" dropLines="12" dropStyle="combo" dx="22" fmlaLink="stminput1" fmlaRange="listd2" noThreeD="1" sel="0" val="0"/>
</file>

<file path=xl/ctrlProps/ctrlProp9.xml><?xml version="1.0" encoding="utf-8"?>
<formControlPr xmlns="http://schemas.microsoft.com/office/spreadsheetml/2009/9/main" objectType="Drop" dropLines="20" dropStyle="combo" dx="22" fmlaLink="deinput" fmlaRange="listb5" noThreeD="1" sel="1" val="0"/>
</file>

<file path=xl/ctrlProps/ctrlProp10.xml><?xml version="1.0" encoding="utf-8"?>
<formControlPr xmlns="http://schemas.microsoft.com/office/spreadsheetml/2009/9/main" objectType="Drop" dropLines="13" dropStyle="combo" dx="22" fmlaLink="chptechinput" fmlaRange="ListA1" noThreeD="1" sel="0" val="0"/>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Drop" dropLines="10" dropStyle="combo" dx="22" fmlaLink="deinput2" fmlaRange="Lists!$B$66:$B$117" noThreeD="1" sel="1" val="1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22" fmlaLink="coolinput3" fmlaRange="lista9" noThreeD="1" sel="0" val="0"/>
</file>

<file path=xl/ctrlProps/ctrlProp33.xml><?xml version="1.0" encoding="utf-8"?>
<formControlPr xmlns="http://schemas.microsoft.com/office/spreadsheetml/2009/9/main" objectType="Drop" dropStyle="combo" dx="22" fmlaLink="chpduct1" fmlaRange="listc4" noThreeD="1" sel="0"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Drop" dropStyle="combo" dx="22" fmlaLink="chpheatcoolboth" fmlaRange="listh1" noThreeD="1" sel="0" val="0"/>
</file>

<file path=xl/ctrlProps/ctrlProp37.xml><?xml version="1.0" encoding="utf-8"?>
<formControlPr xmlns="http://schemas.microsoft.com/office/spreadsheetml/2009/9/main" objectType="Drop" dropStyle="combo" dx="22" fmlaLink="chpheatcoolsimultaneous" fmlaRange="listh2" noThreeD="1" sel="0" val="0"/>
</file>

<file path=xl/ctrlProps/ctrlProp38.xml><?xml version="1.0" encoding="utf-8"?>
<formControlPr xmlns="http://schemas.microsoft.com/office/spreadsheetml/2009/9/main" objectType="Drop" dropLines="25" dropStyle="combo" dx="22" fmlaLink="cooldisp1" fmlaRange="listh3" noThreeD="1" sel="0" val="0"/>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Drop" dropLines="7" dropStyle="combo" dx="22" fmlaLink="deinput3" fmlaRange="listb7" noThreeD="1" sel="0" val="0"/>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5.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2.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8.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342900</xdr:colOff>
          <xdr:row>10</xdr:row>
          <xdr:rowOff>190500</xdr:rowOff>
        </xdr:from>
        <xdr:to>
          <xdr:col>9</xdr:col>
          <xdr:colOff>374650</xdr:colOff>
          <xdr:row>13</xdr:row>
          <xdr:rowOff>114300</xdr:rowOff>
        </xdr:to>
        <xdr:sp macro="" textlink="">
          <xdr:nvSpPr>
            <xdr:cNvPr id="21746" name="Button 242" hidden="1">
              <a:extLst>
                <a:ext uri="{63B3BB69-23CF-44E3-9099-C40C66FF867C}">
                  <a14:compatExt spid="_x0000_s21746"/>
                </a:ext>
                <a:ext uri="{FF2B5EF4-FFF2-40B4-BE49-F238E27FC236}">
                  <a16:creationId xmlns:a16="http://schemas.microsoft.com/office/drawing/2014/main" id="{00000000-0008-0000-0000-0000F25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Go to the</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342900</xdr:colOff>
          <xdr:row>31</xdr:row>
          <xdr:rowOff>31750</xdr:rowOff>
        </xdr:from>
        <xdr:to>
          <xdr:col>9</xdr:col>
          <xdr:colOff>381000</xdr:colOff>
          <xdr:row>33</xdr:row>
          <xdr:rowOff>158750</xdr:rowOff>
        </xdr:to>
        <xdr:sp macro="" textlink="">
          <xdr:nvSpPr>
            <xdr:cNvPr id="21751" name="Button 247" hidden="1">
              <a:extLst>
                <a:ext uri="{63B3BB69-23CF-44E3-9099-C40C66FF867C}">
                  <a14:compatExt spid="_x0000_s21751"/>
                </a:ext>
                <a:ext uri="{FF2B5EF4-FFF2-40B4-BE49-F238E27FC236}">
                  <a16:creationId xmlns:a16="http://schemas.microsoft.com/office/drawing/2014/main" id="{00000000-0008-0000-0000-0000F75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Go to the</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342900</xdr:colOff>
          <xdr:row>77</xdr:row>
          <xdr:rowOff>101600</xdr:rowOff>
        </xdr:from>
        <xdr:to>
          <xdr:col>9</xdr:col>
          <xdr:colOff>381000</xdr:colOff>
          <xdr:row>80</xdr:row>
          <xdr:rowOff>31750</xdr:rowOff>
        </xdr:to>
        <xdr:sp macro="" textlink="">
          <xdr:nvSpPr>
            <xdr:cNvPr id="21752" name="Button 248" hidden="1">
              <a:extLst>
                <a:ext uri="{63B3BB69-23CF-44E3-9099-C40C66FF867C}">
                  <a14:compatExt spid="_x0000_s21752"/>
                </a:ext>
                <a:ext uri="{FF2B5EF4-FFF2-40B4-BE49-F238E27FC236}">
                  <a16:creationId xmlns:a16="http://schemas.microsoft.com/office/drawing/2014/main" id="{00000000-0008-0000-0000-0000F85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Go to the</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336550</xdr:colOff>
          <xdr:row>55</xdr:row>
          <xdr:rowOff>152400</xdr:rowOff>
        </xdr:from>
        <xdr:to>
          <xdr:col>9</xdr:col>
          <xdr:colOff>374650</xdr:colOff>
          <xdr:row>58</xdr:row>
          <xdr:rowOff>101600</xdr:rowOff>
        </xdr:to>
        <xdr:sp macro="" textlink="">
          <xdr:nvSpPr>
            <xdr:cNvPr id="21754" name="Button 250" hidden="1">
              <a:extLst>
                <a:ext uri="{63B3BB69-23CF-44E3-9099-C40C66FF867C}">
                  <a14:compatExt spid="_x0000_s21754"/>
                </a:ext>
                <a:ext uri="{FF2B5EF4-FFF2-40B4-BE49-F238E27FC236}">
                  <a16:creationId xmlns:a16="http://schemas.microsoft.com/office/drawing/2014/main" id="{00000000-0008-0000-0000-0000FA5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Go to the</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xdr:twoCellAnchor>
    <xdr:from>
      <xdr:col>1</xdr:col>
      <xdr:colOff>545524</xdr:colOff>
      <xdr:row>145</xdr:row>
      <xdr:rowOff>51954</xdr:rowOff>
    </xdr:from>
    <xdr:to>
      <xdr:col>8</xdr:col>
      <xdr:colOff>187037</xdr:colOff>
      <xdr:row>155</xdr:row>
      <xdr:rowOff>147205</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718706" y="32324386"/>
          <a:ext cx="5850081" cy="17404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CONTACT US</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We welcome your input on the calculator’s usability and functionality. Should you encounter any bugs when using the calculator, or if you have questions about how to use the calculator, please contact the EPA CHP Partnership at </a:t>
          </a:r>
          <a:r>
            <a:rPr lang="en-US" sz="1100" u="sng">
              <a:solidFill>
                <a:srgbClr val="00B0F0"/>
              </a:solidFill>
              <a:effectLst/>
              <a:latin typeface="+mn-lt"/>
              <a:ea typeface="+mn-ea"/>
              <a:cs typeface="+mn-cs"/>
              <a:hlinkClick xmlns:r="http://schemas.openxmlformats.org/officeDocument/2006/relationships" r:id=""/>
            </a:rPr>
            <a:t>chp@epa.gov</a:t>
          </a:r>
          <a:r>
            <a:rPr lang="en-US" sz="1100">
              <a:solidFill>
                <a:schemeClr val="dk1"/>
              </a:solidFill>
              <a:effectLst/>
              <a:latin typeface="+mn-lt"/>
              <a:ea typeface="+mn-ea"/>
              <a:cs typeface="+mn-cs"/>
            </a:rPr>
            <a:t> or 703-373-8108.</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The calculator was originally developed by the U.S. Department of Energy's Distributed Energy Program and Oak Ridge National Laboratory. Modifications and enhancements have been subsequently made by ICF on behalf of the EPA CHP Partnership.</a:t>
          </a:r>
        </a:p>
        <a:p>
          <a:r>
            <a:rPr lang="en-US" sz="1100">
              <a:solidFill>
                <a:schemeClr val="dk1"/>
              </a:solidFill>
              <a:effectLst/>
              <a:latin typeface="+mn-lt"/>
              <a:ea typeface="+mn-ea"/>
              <a:cs typeface="+mn-cs"/>
            </a:rPr>
            <a:t> </a:t>
          </a:r>
        </a:p>
        <a:p>
          <a:endParaRPr lang="en-US" sz="1100"/>
        </a:p>
      </xdr:txBody>
    </xdr:sp>
    <xdr:clientData/>
  </xdr:twoCellAnchor>
  <xdr:twoCellAnchor editAs="oneCell">
    <xdr:from>
      <xdr:col>0</xdr:col>
      <xdr:colOff>6927</xdr:colOff>
      <xdr:row>0</xdr:row>
      <xdr:rowOff>13854</xdr:rowOff>
    </xdr:from>
    <xdr:to>
      <xdr:col>5</xdr:col>
      <xdr:colOff>543642</xdr:colOff>
      <xdr:row>2</xdr:row>
      <xdr:rowOff>187037</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a:stretch>
          <a:fillRect/>
        </a:stretch>
      </xdr:blipFill>
      <xdr:spPr>
        <a:xfrm>
          <a:off x="6927" y="13854"/>
          <a:ext cx="4457551" cy="561110"/>
        </a:xfrm>
        <a:prstGeom prst="rect">
          <a:avLst/>
        </a:prstGeom>
        <a:ln w="6350">
          <a:noFill/>
        </a:ln>
      </xdr:spPr>
    </xdr:pic>
    <xdr:clientData/>
  </xdr:twoCellAnchor>
  <xdr:twoCellAnchor>
    <xdr:from>
      <xdr:col>0</xdr:col>
      <xdr:colOff>121228</xdr:colOff>
      <xdr:row>4</xdr:row>
      <xdr:rowOff>22512</xdr:rowOff>
    </xdr:from>
    <xdr:to>
      <xdr:col>7</xdr:col>
      <xdr:colOff>277092</xdr:colOff>
      <xdr:row>118</xdr:row>
      <xdr:rowOff>83125</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21228" y="833003"/>
          <a:ext cx="6328064" cy="2251190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chemeClr val="dk1"/>
              </a:solidFill>
              <a:effectLst/>
              <a:latin typeface="+mn-lt"/>
              <a:ea typeface="+mn-ea"/>
              <a:cs typeface="+mn-cs"/>
            </a:rPr>
            <a:t>INTRODUCTION AND PURPOSE</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The calculator is a Microsoft Excel-based tool that estimates the energy and emissions savings of a CHP system by comparing the estimated energy use and air pollutant emissions (CO</a:t>
          </a:r>
          <a:r>
            <a:rPr lang="en-US" sz="1100" baseline="-25000">
              <a:solidFill>
                <a:schemeClr val="dk1"/>
              </a:solidFill>
              <a:effectLst/>
              <a:latin typeface="+mn-lt"/>
              <a:ea typeface="+mn-ea"/>
              <a:cs typeface="+mn-cs"/>
            </a:rPr>
            <a:t>2</a:t>
          </a:r>
          <a:r>
            <a:rPr lang="en-US" sz="1100">
              <a:solidFill>
                <a:schemeClr val="dk1"/>
              </a:solidFill>
              <a:effectLst/>
              <a:latin typeface="+mn-lt"/>
              <a:ea typeface="+mn-ea"/>
              <a:cs typeface="+mn-cs"/>
            </a:rPr>
            <a:t>e, SO</a:t>
          </a:r>
          <a:r>
            <a:rPr lang="en-US" sz="1100" baseline="-25000">
              <a:solidFill>
                <a:schemeClr val="dk1"/>
              </a:solidFill>
              <a:effectLst/>
              <a:latin typeface="+mn-lt"/>
              <a:ea typeface="+mn-ea"/>
              <a:cs typeface="+mn-cs"/>
            </a:rPr>
            <a:t>2</a:t>
          </a:r>
          <a:r>
            <a:rPr lang="en-US" sz="1100">
              <a:solidFill>
                <a:schemeClr val="dk1"/>
              </a:solidFill>
              <a:effectLst/>
              <a:latin typeface="+mn-lt"/>
              <a:ea typeface="+mn-ea"/>
              <a:cs typeface="+mn-cs"/>
            </a:rPr>
            <a:t> and NO</a:t>
          </a:r>
          <a:r>
            <a:rPr lang="en-US" sz="1100" baseline="-25000">
              <a:solidFill>
                <a:schemeClr val="dk1"/>
              </a:solidFill>
              <a:effectLst/>
              <a:latin typeface="+mn-lt"/>
              <a:ea typeface="+mn-ea"/>
              <a:cs typeface="+mn-cs"/>
            </a:rPr>
            <a:t>X</a:t>
          </a:r>
          <a:r>
            <a:rPr lang="en-US" sz="1100">
              <a:solidFill>
                <a:schemeClr val="dk1"/>
              </a:solidFill>
              <a:effectLst/>
              <a:latin typeface="+mn-lt"/>
              <a:ea typeface="+mn-ea"/>
              <a:cs typeface="+mn-cs"/>
            </a:rPr>
            <a:t>) of a CHP system and the estimated energy use and emissions associated with the same quantity of grid-supplied power and output from an on-site boiler system.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The calculator is designed for users with at least a moderate understanding of CHP technology and its terminology. </a:t>
          </a:r>
          <a:r>
            <a:rPr lang="en-US" sz="1100">
              <a:solidFill>
                <a:sysClr val="windowText" lastClr="000000"/>
              </a:solidFill>
              <a:effectLst/>
              <a:latin typeface="+mn-lt"/>
              <a:ea typeface="+mn-ea"/>
              <a:cs typeface="+mn-cs"/>
            </a:rPr>
            <a:t>The User Manual, the document attached at the top of this page, provides detailed instructions on how to use this tool.  </a:t>
          </a:r>
          <a:r>
            <a:rPr lang="en-US" sz="1100">
              <a:solidFill>
                <a:schemeClr val="dk1"/>
              </a:solidFill>
              <a:effectLst/>
              <a:latin typeface="+mn-lt"/>
              <a:ea typeface="+mn-ea"/>
              <a:cs typeface="+mn-cs"/>
            </a:rPr>
            <a:t>For more information about CHP technologies, benefits, emissions calculation methodology, and why EPA supports CHP, please visit </a:t>
          </a:r>
          <a:r>
            <a:rPr lang="en-US" sz="1100" u="sng">
              <a:solidFill>
                <a:schemeClr val="dk1"/>
              </a:solidFill>
              <a:effectLst/>
              <a:latin typeface="+mn-lt"/>
              <a:ea typeface="+mn-ea"/>
              <a:cs typeface="+mn-cs"/>
            </a:rPr>
            <a:t>www.epa.gov/chp</a:t>
          </a:r>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Please note that the results generated by the calculator are intended for educational and outreach purposes only and are not intended for use in developing emissions inventories or preparing air permit applications. The accuracy of the results is a function of the accuracy and completeness of the user inputs.</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BASIC DIRECTIONS FOR USE</a:t>
          </a:r>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 The primary components of the calculator are the Inputs and Results Worksheets:</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Inputs Worksheet </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The Inputs Worksheet consists of 32 input fields that are used to characterize the CHP system being evaluated and comparable displaced electricity and thermal production. Note that some inputs are not applicable to every CHP or displaced electricity and thermal production system and therefore do not need to be completed.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Enter Inputs 1 through 6 at a minimum. Default values can be optionally selected for inputs 7 through 25. Please note that the accuracy of the calculator’s results is improved by completing as many inputs as possible with system-specific information.  Values (other than default values) must be entered for inputs 1 through 25 for the most accurate estimates of energy savings.  In addition, inputs 26 through 32 must be entered to estimate emissions savings.</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Each Input field has three components: a question, at least one input cell, and a 'Submit' button. To complete an input, choose one of these three options: </a:t>
          </a:r>
        </a:p>
        <a:p>
          <a:r>
            <a:rPr lang="en-US" sz="1100">
              <a:solidFill>
                <a:schemeClr val="dk1"/>
              </a:solidFill>
              <a:effectLst/>
              <a:latin typeface="+mn-lt"/>
              <a:ea typeface="+mn-ea"/>
              <a:cs typeface="+mn-cs"/>
            </a:rPr>
            <a:t> </a:t>
          </a:r>
        </a:p>
        <a:p>
          <a:r>
            <a:rPr lang="en-US" sz="1100" u="none" strike="noStrike" baseline="0">
              <a:solidFill>
                <a:schemeClr val="dk1"/>
              </a:solidFill>
              <a:effectLst/>
              <a:latin typeface="+mn-lt"/>
              <a:ea typeface="+mn-ea"/>
              <a:cs typeface="+mn-cs"/>
            </a:rPr>
            <a:t>      </a:t>
          </a:r>
          <a:r>
            <a:rPr lang="en-US" sz="1100" u="none" strike="noStrike">
              <a:solidFill>
                <a:schemeClr val="dk1"/>
              </a:solidFill>
              <a:effectLst/>
              <a:latin typeface="+mn-lt"/>
              <a:ea typeface="+mn-ea"/>
              <a:cs typeface="+mn-cs"/>
            </a:rPr>
            <a:t>1) Manually enter or select (from a pull-down menu) system-specific information. </a:t>
          </a:r>
        </a:p>
        <a:p>
          <a:r>
            <a:rPr lang="en-US" sz="1100">
              <a:solidFill>
                <a:schemeClr val="dk1"/>
              </a:solidFill>
              <a:effectLst/>
              <a:latin typeface="+mn-lt"/>
              <a:ea typeface="+mn-ea"/>
              <a:cs typeface="+mn-cs"/>
            </a:rPr>
            <a:t> </a:t>
          </a:r>
        </a:p>
        <a:p>
          <a:r>
            <a:rPr lang="en-US" sz="1100" u="none" strike="noStrike" baseline="0">
              <a:solidFill>
                <a:schemeClr val="dk1"/>
              </a:solidFill>
              <a:effectLst/>
              <a:latin typeface="+mn-lt"/>
              <a:ea typeface="+mn-ea"/>
              <a:cs typeface="+mn-cs"/>
            </a:rPr>
            <a:t>      </a:t>
          </a:r>
          <a:r>
            <a:rPr lang="en-US" sz="1100" u="none" strike="noStrike">
              <a:solidFill>
                <a:schemeClr val="dk1"/>
              </a:solidFill>
              <a:effectLst/>
              <a:latin typeface="+mn-lt"/>
              <a:ea typeface="+mn-ea"/>
              <a:cs typeface="+mn-cs"/>
            </a:rPr>
            <a:t>2) Use default system information provided (in certain cases) in the available Microsoft Excel note. </a:t>
          </a:r>
        </a:p>
        <a:p>
          <a:r>
            <a:rPr lang="en-US" sz="1100">
              <a:solidFill>
                <a:schemeClr val="dk1"/>
              </a:solidFill>
              <a:effectLst/>
              <a:latin typeface="+mn-lt"/>
              <a:ea typeface="+mn-ea"/>
              <a:cs typeface="+mn-cs"/>
            </a:rPr>
            <a:t> </a:t>
          </a:r>
        </a:p>
        <a:p>
          <a:pPr lvl="1"/>
          <a:r>
            <a:rPr lang="en-US" sz="1100" i="1">
              <a:solidFill>
                <a:schemeClr val="dk1"/>
              </a:solidFill>
              <a:effectLst/>
              <a:latin typeface="+mn-lt"/>
              <a:ea typeface="+mn-ea"/>
              <a:cs typeface="+mn-cs"/>
            </a:rPr>
            <a:t>The calculator information for certain inputs in the form of Excel notes. To view the notes,</a:t>
          </a:r>
          <a:r>
            <a:rPr lang="en-US" sz="1100" i="1" baseline="0">
              <a:solidFill>
                <a:schemeClr val="dk1"/>
              </a:solidFill>
              <a:effectLst/>
              <a:latin typeface="+mn-lt"/>
              <a:ea typeface="+mn-ea"/>
              <a:cs typeface="+mn-cs"/>
            </a:rPr>
            <a:t> </a:t>
          </a:r>
          <a:r>
            <a:rPr lang="en-US" sz="1100" i="1">
              <a:solidFill>
                <a:schemeClr val="dk1"/>
              </a:solidFill>
              <a:effectLst/>
              <a:latin typeface="+mn-lt"/>
              <a:ea typeface="+mn-ea"/>
              <a:cs typeface="+mn-cs"/>
            </a:rPr>
            <a:t>move the cursor over red triangle in the upper right-hand corner of the cell. </a:t>
          </a:r>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 </a:t>
          </a:r>
        </a:p>
        <a:p>
          <a:pPr lvl="0" fontAlgn="base"/>
          <a:r>
            <a:rPr lang="en-US" sz="1100" u="none" strike="noStrike">
              <a:solidFill>
                <a:schemeClr val="dk1"/>
              </a:solidFill>
              <a:effectLst/>
              <a:latin typeface="+mn-lt"/>
              <a:ea typeface="+mn-ea"/>
              <a:cs typeface="+mn-cs"/>
            </a:rPr>
            <a:t>      3) Skip the input.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After completing an input, click on the 'Submit' button, which moves the cursor to the next appropriate input field.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Once all inputs are completed, click on one of the 'Check All Inputs and Go to Results' buttons on the Inputs Worksheet. This action will either open the Results Worksheet or display an error message numbers of the Inputs numbers that need attention.</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Example:</a:t>
          </a: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p>
        <a:p>
          <a:endParaRPr lang="en-US" sz="1100"/>
        </a:p>
        <a:p>
          <a:endParaRPr lang="en-US" sz="1100"/>
        </a:p>
        <a:p>
          <a:endParaRPr lang="en-US" sz="1100"/>
        </a:p>
        <a:p>
          <a:endParaRPr lang="en-US" sz="1100"/>
        </a:p>
        <a:p>
          <a:endParaRPr lang="en-US" sz="1100"/>
        </a:p>
        <a:p>
          <a:endParaRPr lang="en-US" sz="1100"/>
        </a:p>
        <a:p>
          <a:r>
            <a:rPr lang="en-US" sz="1100" b="1"/>
            <a:t>Results</a:t>
          </a:r>
          <a:r>
            <a:rPr lang="en-US" sz="1100" b="1" baseline="0"/>
            <a:t> Worksheet</a:t>
          </a:r>
          <a:r>
            <a:rPr lang="en-US" sz="1100" b="1"/>
            <a:t> </a:t>
          </a:r>
        </a:p>
        <a:p>
          <a:r>
            <a:rPr lang="en-US" sz="1100"/>
            <a:t> </a:t>
          </a:r>
        </a:p>
        <a:p>
          <a:r>
            <a:rPr lang="en-US" sz="1100"/>
            <a:t>The Results Worksheet includes several tables: </a:t>
          </a:r>
        </a:p>
        <a:p>
          <a:r>
            <a:rPr lang="en-US" sz="1100"/>
            <a:t> </a:t>
          </a:r>
        </a:p>
        <a:p>
          <a:r>
            <a:rPr lang="en-US" sz="1100"/>
            <a:t>- Table 1: Annual Energy Savings—presents the energy consumption of the CHP and the displaced electricity and thermal production, the total energy savings from using CHP, and CHP energy savings expressed in terms of the annual energy use of passenger cars and annual electricity use in homes.</a:t>
          </a:r>
        </a:p>
        <a:p>
          <a:r>
            <a:rPr lang="en-US" sz="1100"/>
            <a:t> </a:t>
          </a:r>
        </a:p>
        <a:p>
          <a:r>
            <a:rPr lang="en-US" sz="1100"/>
            <a:t>- Table 2: Annual Emissions Savings—presents the emissions associated with CHP and displaced electricity and thermal production systems and the emissions savings by using CHP. It also presents the CHP GHG savings in terms of the emissions associated with passenger vehicles and the generation of electricity used by the average U.S. home.</a:t>
          </a:r>
        </a:p>
        <a:p>
          <a:r>
            <a:rPr lang="en-US" sz="1100"/>
            <a:t>  </a:t>
          </a:r>
        </a:p>
        <a:p>
          <a:r>
            <a:rPr lang="en-US" sz="1100"/>
            <a:t>- Table 3: CHP Technology and Generation Profile—presents a summary of CHP information.</a:t>
          </a:r>
        </a:p>
        <a:p>
          <a:r>
            <a:rPr lang="en-US" sz="1100"/>
            <a:t> </a:t>
          </a:r>
        </a:p>
        <a:p>
          <a:r>
            <a:rPr lang="en-US" sz="1100"/>
            <a:t>- Table 4: Displaced Thermal Energy—presents information about displaced thermal production (i.e., the amount of energy required to produce thermal energy in the displaced electricity and thermal production system). </a:t>
          </a:r>
        </a:p>
        <a:p>
          <a:endParaRPr lang="en-US" sz="1100"/>
        </a:p>
        <a:p>
          <a:r>
            <a:rPr lang="en-US" sz="1100"/>
            <a:t>- Table 5: Displaced Electricity—presents information about the displaced electric production (i.e., the amount of energy required to produce electricity in the displaced electricity and thermal production). </a:t>
          </a:r>
        </a:p>
        <a:p>
          <a:r>
            <a:rPr lang="en-US" sz="1100"/>
            <a:t> </a:t>
          </a:r>
        </a:p>
        <a:p>
          <a:r>
            <a:rPr lang="en-US" sz="1100" b="0" i="1" u="sng"/>
            <a:t>Note: </a:t>
          </a:r>
          <a:r>
            <a:rPr lang="en-US" sz="1100" i="1"/>
            <a:t>If only energy savings associated with CHP are estimated (i.e., only inputs 1 through 25 on the Inputs Worksheet are completed), Tables 1 through 5 only will appear on the Results Worksheet (however, in this case Table 2 will not display data). If all inputs (1 through 32) are estimated, Tables 1 through 10 will appear with displayed data.</a:t>
          </a:r>
          <a:endParaRPr lang="en-US" sz="1100" i="0"/>
        </a:p>
        <a:p>
          <a:endParaRPr lang="en-US" sz="1100" i="0"/>
        </a:p>
        <a:p>
          <a:r>
            <a:rPr lang="en-US" sz="1100" i="0"/>
            <a:t>- Table 6: Annual Analysis for CHP—presents the annual energy use and emissions from the CHP system.</a:t>
          </a:r>
        </a:p>
        <a:p>
          <a:r>
            <a:rPr lang="en-US" sz="1100" i="0"/>
            <a:t> </a:t>
          </a:r>
        </a:p>
        <a:p>
          <a:r>
            <a:rPr lang="en-US" sz="1100" i="0"/>
            <a:t>- Table 7: Annual Analysis for Displaced Thermal Production (non-cooling)–-presents the annual energy use and emissions associated with displaced thermal production. </a:t>
          </a:r>
        </a:p>
        <a:p>
          <a:endParaRPr lang="en-US" sz="1100" i="0"/>
        </a:p>
        <a:p>
          <a:r>
            <a:rPr lang="en-US" sz="1100" i="0"/>
            <a:t>- Table 8: Annual Analysis for Displaced Electricity Production—presents the annual energy use and emissions associated with displaced electricity production. </a:t>
          </a:r>
        </a:p>
        <a:p>
          <a:endParaRPr lang="en-US" sz="1100" i="0"/>
        </a:p>
        <a:p>
          <a:r>
            <a:rPr lang="en-US" sz="1100" i="0"/>
            <a:t>- Table 9: Emission Rates for Displaced Electricity—presents the emissions rates by pollutant for CHP and displaced electricity. </a:t>
          </a:r>
        </a:p>
        <a:p>
          <a:endParaRPr lang="en-US" sz="1100" i="0"/>
        </a:p>
        <a:p>
          <a:r>
            <a:rPr lang="en-US" sz="1100" i="0"/>
            <a:t>- Table 10: Emission Rates for Displaced Thermal—presents the emission rates by pollutant associated with the displaced thermal production. </a:t>
          </a:r>
        </a:p>
        <a:p>
          <a:r>
            <a:rPr lang="en-US" sz="1100" i="0"/>
            <a:t> </a:t>
          </a:r>
        </a:p>
        <a:p>
          <a:r>
            <a:rPr lang="en-US" sz="1100" i="0"/>
            <a:t>In addition to the tables, two schematic flow diagrams appear on the Results Worksheet. If users estimate only energy savings, the diagrams show the energy input and output flows associated with displaced electricity and thermal production and CHP. If the user also estimates emissions savings, the diagrams show the emissions associated with displaced electricity and thermal production and CHP, in addition to the energy use. </a:t>
          </a:r>
        </a:p>
        <a:p>
          <a:endParaRPr lang="en-US" sz="1100" i="0"/>
        </a:p>
        <a:p>
          <a:r>
            <a:rPr lang="en-US" sz="1100" b="1">
              <a:solidFill>
                <a:schemeClr val="dk1"/>
              </a:solidFill>
              <a:effectLst/>
              <a:latin typeface="+mn-lt"/>
              <a:ea typeface="+mn-ea"/>
              <a:cs typeface="+mn-cs"/>
            </a:rPr>
            <a:t>CONTACT US</a:t>
          </a:r>
          <a:endParaRPr lang="en-US">
            <a:effectLst/>
          </a:endParaRPr>
        </a:p>
        <a:p>
          <a:r>
            <a:rPr lang="en-US" sz="1100">
              <a:solidFill>
                <a:schemeClr val="dk1"/>
              </a:solidFill>
              <a:effectLst/>
              <a:latin typeface="+mn-lt"/>
              <a:ea typeface="+mn-ea"/>
              <a:cs typeface="+mn-cs"/>
            </a:rPr>
            <a:t> </a:t>
          </a:r>
          <a:endParaRPr lang="en-US">
            <a:effectLst/>
          </a:endParaRPr>
        </a:p>
        <a:p>
          <a:r>
            <a:rPr lang="en-US" sz="1100">
              <a:solidFill>
                <a:schemeClr val="dk1"/>
              </a:solidFill>
              <a:effectLst/>
              <a:latin typeface="+mn-lt"/>
              <a:ea typeface="+mn-ea"/>
              <a:cs typeface="+mn-cs"/>
            </a:rPr>
            <a:t>We welcome your input on the calculator’s usability and functionality. Should you encounter any bugs when using the calculator, or if you have questions about how to use the calculator, please contact the EPA CHP Partnership at </a:t>
          </a:r>
          <a:r>
            <a:rPr lang="en-US" sz="1100" u="sng">
              <a:solidFill>
                <a:schemeClr val="dk1"/>
              </a:solidFill>
              <a:effectLst/>
              <a:latin typeface="+mn-lt"/>
              <a:ea typeface="+mn-ea"/>
              <a:cs typeface="+mn-cs"/>
            </a:rPr>
            <a:t>chp@epa.gov</a:t>
          </a:r>
          <a:r>
            <a:rPr lang="en-US" sz="1100">
              <a:solidFill>
                <a:schemeClr val="dk1"/>
              </a:solidFill>
              <a:effectLst/>
              <a:latin typeface="+mn-lt"/>
              <a:ea typeface="+mn-ea"/>
              <a:cs typeface="+mn-cs"/>
            </a:rPr>
            <a:t> or 703-373-8108.</a:t>
          </a:r>
          <a:endParaRPr lang="en-US">
            <a:effectLst/>
          </a:endParaRPr>
        </a:p>
        <a:p>
          <a:r>
            <a:rPr lang="en-US" sz="1100">
              <a:solidFill>
                <a:schemeClr val="dk1"/>
              </a:solidFill>
              <a:effectLst/>
              <a:latin typeface="+mn-lt"/>
              <a:ea typeface="+mn-ea"/>
              <a:cs typeface="+mn-cs"/>
            </a:rPr>
            <a:t> </a:t>
          </a:r>
          <a:endParaRPr lang="en-US">
            <a:effectLst/>
          </a:endParaRPr>
        </a:p>
        <a:p>
          <a:r>
            <a:rPr lang="en-US" sz="1100">
              <a:solidFill>
                <a:schemeClr val="dk1"/>
              </a:solidFill>
              <a:effectLst/>
              <a:latin typeface="+mn-lt"/>
              <a:ea typeface="+mn-ea"/>
              <a:cs typeface="+mn-cs"/>
            </a:rPr>
            <a:t>The calculator was originally developed by the U.S. Department of Energy's Distributed Energy Program and Oak Ridge National Laboratory. Modifications and enhancements have been subsequently made by the EPA CHP Partnership.</a:t>
          </a:r>
          <a:endParaRPr lang="en-US">
            <a:effectLst/>
          </a:endParaRPr>
        </a:p>
        <a:p>
          <a:endParaRPr lang="en-US" sz="1100" i="0"/>
        </a:p>
      </xdr:txBody>
    </xdr:sp>
    <xdr:clientData/>
  </xdr:twoCellAnchor>
  <xdr:twoCellAnchor editAs="oneCell">
    <xdr:from>
      <xdr:col>1</xdr:col>
      <xdr:colOff>17320</xdr:colOff>
      <xdr:row>49</xdr:row>
      <xdr:rowOff>161061</xdr:rowOff>
    </xdr:from>
    <xdr:to>
      <xdr:col>7</xdr:col>
      <xdr:colOff>225136</xdr:colOff>
      <xdr:row>65</xdr:row>
      <xdr:rowOff>72739</xdr:rowOff>
    </xdr:to>
    <xdr:pic>
      <xdr:nvPicPr>
        <xdr:cNvPr id="88" name="Picture 87">
          <a:extLst>
            <a:ext uri="{FF2B5EF4-FFF2-40B4-BE49-F238E27FC236}">
              <a16:creationId xmlns:a16="http://schemas.microsoft.com/office/drawing/2014/main" id="{00000000-0008-0000-0000-000058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2" y="10011643"/>
          <a:ext cx="6206834" cy="3125932"/>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7</xdr:col>
          <xdr:colOff>336550</xdr:colOff>
          <xdr:row>110</xdr:row>
          <xdr:rowOff>120650</xdr:rowOff>
        </xdr:from>
        <xdr:to>
          <xdr:col>9</xdr:col>
          <xdr:colOff>374650</xdr:colOff>
          <xdr:row>114</xdr:row>
          <xdr:rowOff>0</xdr:rowOff>
        </xdr:to>
        <xdr:sp macro="" textlink="">
          <xdr:nvSpPr>
            <xdr:cNvPr id="21774" name="Button 270" hidden="1">
              <a:extLst>
                <a:ext uri="{63B3BB69-23CF-44E3-9099-C40C66FF867C}">
                  <a14:compatExt spid="_x0000_s21774"/>
                </a:ext>
                <a:ext uri="{FF2B5EF4-FFF2-40B4-BE49-F238E27FC236}">
                  <a16:creationId xmlns:a16="http://schemas.microsoft.com/office/drawing/2014/main" id="{00000000-0008-0000-0000-00000E55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Go to the</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xdr:twoCellAnchor editAs="oneCell">
    <xdr:from>
      <xdr:col>7</xdr:col>
      <xdr:colOff>76200</xdr:colOff>
      <xdr:row>0</xdr:row>
      <xdr:rowOff>12700</xdr:rowOff>
    </xdr:from>
    <xdr:to>
      <xdr:col>10</xdr:col>
      <xdr:colOff>146050</xdr:colOff>
      <xdr:row>3</xdr:row>
      <xdr:rowOff>25400</xdr:rowOff>
    </xdr:to>
    <xdr:sp macro="" textlink="">
      <xdr:nvSpPr>
        <xdr:cNvPr id="21793" name="Object 289" hidden="1">
          <a:extLst>
            <a:ext uri="{63B3BB69-23CF-44E3-9099-C40C66FF867C}">
              <a14:compatExt xmlns:a14="http://schemas.microsoft.com/office/drawing/2010/main" spid="_x0000_s21793"/>
            </a:ext>
            <a:ext uri="{FF2B5EF4-FFF2-40B4-BE49-F238E27FC236}">
              <a16:creationId xmlns:a16="http://schemas.microsoft.com/office/drawing/2014/main" id="{00000000-0008-0000-0000-00002155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xdr:from>
      <xdr:col>7</xdr:col>
      <xdr:colOff>316949</xdr:colOff>
      <xdr:row>0</xdr:row>
      <xdr:rowOff>1</xdr:rowOff>
    </xdr:from>
    <xdr:to>
      <xdr:col>10</xdr:col>
      <xdr:colOff>390523</xdr:colOff>
      <xdr:row>3</xdr:row>
      <xdr:rowOff>28575</xdr:rowOff>
    </xdr:to>
    <xdr:grpSp>
      <xdr:nvGrpSpPr>
        <xdr:cNvPr id="7" name="Group 6">
          <a:extLst>
            <a:ext uri="{FF2B5EF4-FFF2-40B4-BE49-F238E27FC236}">
              <a16:creationId xmlns:a16="http://schemas.microsoft.com/office/drawing/2014/main" id="{00000000-0008-0000-0000-000007000000}"/>
            </a:ext>
          </a:extLst>
        </xdr:cNvPr>
        <xdr:cNvGrpSpPr/>
      </xdr:nvGrpSpPr>
      <xdr:grpSpPr>
        <a:xfrm>
          <a:off x="6609799" y="1"/>
          <a:ext cx="1689649" cy="625474"/>
          <a:chOff x="8419473" y="1749525"/>
          <a:chExt cx="1584998" cy="793383"/>
        </a:xfrm>
      </xdr:grpSpPr>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3">
            <a:alphaModFix/>
          </a:blip>
          <a:stretch>
            <a:fillRect/>
          </a:stretch>
        </xdr:blipFill>
        <xdr:spPr>
          <a:xfrm>
            <a:off x="8419473" y="1769745"/>
            <a:ext cx="1581254" cy="773163"/>
          </a:xfrm>
          <a:prstGeom prst="rect">
            <a:avLst/>
          </a:prstGeom>
        </xdr:spPr>
      </xdr:pic>
      <mc:AlternateContent xmlns:mc="http://schemas.openxmlformats.org/markup-compatibility/2006">
        <mc:Choice xmlns:a14="http://schemas.microsoft.com/office/drawing/2010/main" Requires="a14">
          <xdr:sp macro="" textlink="">
            <xdr:nvSpPr>
              <xdr:cNvPr id="21780" name="Object 276" hidden="1">
                <a:extLst>
                  <a:ext uri="{63B3BB69-23CF-44E3-9099-C40C66FF867C}">
                    <a14:compatExt spid="_x0000_s21780"/>
                  </a:ext>
                  <a:ext uri="{FF2B5EF4-FFF2-40B4-BE49-F238E27FC236}">
                    <a16:creationId xmlns:a16="http://schemas.microsoft.com/office/drawing/2014/main" id="{00000000-0008-0000-0000-000014550000}"/>
                  </a:ext>
                </a:extLst>
              </xdr:cNvPr>
              <xdr:cNvSpPr/>
            </xdr:nvSpPr>
            <xdr:spPr bwMode="auto">
              <a:xfrm>
                <a:off x="8434687" y="1749525"/>
                <a:ext cx="1569784" cy="7912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6350</xdr:colOff>
          <xdr:row>39</xdr:row>
          <xdr:rowOff>12700</xdr:rowOff>
        </xdr:from>
        <xdr:to>
          <xdr:col>2</xdr:col>
          <xdr:colOff>31750</xdr:colOff>
          <xdr:row>39</xdr:row>
          <xdr:rowOff>241300</xdr:rowOff>
        </xdr:to>
        <xdr:sp macro="" textlink="">
          <xdr:nvSpPr>
            <xdr:cNvPr id="8206" name="Drop Down 14" hidden="1">
              <a:extLst>
                <a:ext uri="{63B3BB69-23CF-44E3-9099-C40C66FF867C}">
                  <a14:compatExt spid="_x0000_s8206"/>
                </a:ext>
                <a:ext uri="{FF2B5EF4-FFF2-40B4-BE49-F238E27FC236}">
                  <a16:creationId xmlns:a16="http://schemas.microsoft.com/office/drawing/2014/main" id="{00000000-0008-0000-0100-00000E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2197100</xdr:colOff>
          <xdr:row>17</xdr:row>
          <xdr:rowOff>31750</xdr:rowOff>
        </xdr:from>
        <xdr:to>
          <xdr:col>2</xdr:col>
          <xdr:colOff>12700</xdr:colOff>
          <xdr:row>17</xdr:row>
          <xdr:rowOff>260350</xdr:rowOff>
        </xdr:to>
        <xdr:sp macro="" textlink="">
          <xdr:nvSpPr>
            <xdr:cNvPr id="8216" name="Drop Down 24" hidden="1">
              <a:extLst>
                <a:ext uri="{63B3BB69-23CF-44E3-9099-C40C66FF867C}">
                  <a14:compatExt spid="_x0000_s8216"/>
                </a:ext>
                <a:ext uri="{FF2B5EF4-FFF2-40B4-BE49-F238E27FC236}">
                  <a16:creationId xmlns:a16="http://schemas.microsoft.com/office/drawing/2014/main" id="{00000000-0008-0000-0100-000018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203200</xdr:colOff>
          <xdr:row>118</xdr:row>
          <xdr:rowOff>222250</xdr:rowOff>
        </xdr:from>
        <xdr:to>
          <xdr:col>2</xdr:col>
          <xdr:colOff>12700</xdr:colOff>
          <xdr:row>119</xdr:row>
          <xdr:rowOff>6350</xdr:rowOff>
        </xdr:to>
        <xdr:sp macro="" textlink="">
          <xdr:nvSpPr>
            <xdr:cNvPr id="8226" name="Drop Down 34" hidden="1">
              <a:extLst>
                <a:ext uri="{63B3BB69-23CF-44E3-9099-C40C66FF867C}">
                  <a14:compatExt spid="_x0000_s8226"/>
                </a:ext>
                <a:ext uri="{FF2B5EF4-FFF2-40B4-BE49-F238E27FC236}">
                  <a16:creationId xmlns:a16="http://schemas.microsoft.com/office/drawing/2014/main" id="{00000000-0008-0000-0100-00002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1511300</xdr:colOff>
          <xdr:row>143</xdr:row>
          <xdr:rowOff>44450</xdr:rowOff>
        </xdr:from>
        <xdr:to>
          <xdr:col>2</xdr:col>
          <xdr:colOff>0</xdr:colOff>
          <xdr:row>144</xdr:row>
          <xdr:rowOff>6350</xdr:rowOff>
        </xdr:to>
        <xdr:sp macro="" textlink="">
          <xdr:nvSpPr>
            <xdr:cNvPr id="8239" name="Drop Down 47" hidden="1">
              <a:extLst>
                <a:ext uri="{63B3BB69-23CF-44E3-9099-C40C66FF867C}">
                  <a14:compatExt spid="_x0000_s8239"/>
                </a:ext>
                <a:ext uri="{FF2B5EF4-FFF2-40B4-BE49-F238E27FC236}">
                  <a16:creationId xmlns:a16="http://schemas.microsoft.com/office/drawing/2014/main" id="{00000000-0008-0000-0100-00002F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2654300</xdr:colOff>
          <xdr:row>3</xdr:row>
          <xdr:rowOff>44450</xdr:rowOff>
        </xdr:from>
        <xdr:to>
          <xdr:col>2</xdr:col>
          <xdr:colOff>6350</xdr:colOff>
          <xdr:row>4</xdr:row>
          <xdr:rowOff>25400</xdr:rowOff>
        </xdr:to>
        <xdr:sp macro="" textlink="">
          <xdr:nvSpPr>
            <xdr:cNvPr id="8284" name="Drop Down 92" hidden="1">
              <a:extLst>
                <a:ext uri="{63B3BB69-23CF-44E3-9099-C40C66FF867C}">
                  <a14:compatExt spid="_x0000_s8284"/>
                </a:ext>
                <a:ext uri="{FF2B5EF4-FFF2-40B4-BE49-F238E27FC236}">
                  <a16:creationId xmlns:a16="http://schemas.microsoft.com/office/drawing/2014/main" id="{00000000-0008-0000-0100-00005C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914400</xdr:colOff>
          <xdr:row>72</xdr:row>
          <xdr:rowOff>38100</xdr:rowOff>
        </xdr:from>
        <xdr:to>
          <xdr:col>2</xdr:col>
          <xdr:colOff>908050</xdr:colOff>
          <xdr:row>73</xdr:row>
          <xdr:rowOff>25400</xdr:rowOff>
        </xdr:to>
        <xdr:sp macro="" textlink="">
          <xdr:nvSpPr>
            <xdr:cNvPr id="8285" name="Button 93" hidden="1">
              <a:extLst>
                <a:ext uri="{63B3BB69-23CF-44E3-9099-C40C66FF867C}">
                  <a14:compatExt spid="_x0000_s8285"/>
                </a:ext>
                <a:ext uri="{FF2B5EF4-FFF2-40B4-BE49-F238E27FC236}">
                  <a16:creationId xmlns:a16="http://schemas.microsoft.com/office/drawing/2014/main" id="{00000000-0008-0000-0100-00005D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Use default for this technology</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1797050</xdr:colOff>
          <xdr:row>72</xdr:row>
          <xdr:rowOff>38100</xdr:rowOff>
        </xdr:from>
        <xdr:to>
          <xdr:col>1</xdr:col>
          <xdr:colOff>838200</xdr:colOff>
          <xdr:row>73</xdr:row>
          <xdr:rowOff>25400</xdr:rowOff>
        </xdr:to>
        <xdr:sp macro="" textlink="">
          <xdr:nvSpPr>
            <xdr:cNvPr id="8286" name="Button 94" hidden="1">
              <a:extLst>
                <a:ext uri="{63B3BB69-23CF-44E3-9099-C40C66FF867C}">
                  <a14:compatExt spid="_x0000_s8286"/>
                </a:ext>
                <a:ext uri="{FF2B5EF4-FFF2-40B4-BE49-F238E27FC236}">
                  <a16:creationId xmlns:a16="http://schemas.microsoft.com/office/drawing/2014/main" id="{00000000-0008-0000-0100-00005E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 Power to Heat ratio</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1435100</xdr:colOff>
          <xdr:row>162</xdr:row>
          <xdr:rowOff>44450</xdr:rowOff>
        </xdr:from>
        <xdr:to>
          <xdr:col>1</xdr:col>
          <xdr:colOff>374650</xdr:colOff>
          <xdr:row>164</xdr:row>
          <xdr:rowOff>25400</xdr:rowOff>
        </xdr:to>
        <xdr:sp macro="" textlink="">
          <xdr:nvSpPr>
            <xdr:cNvPr id="8294" name="Button 102" hidden="1">
              <a:extLst>
                <a:ext uri="{63B3BB69-23CF-44E3-9099-C40C66FF867C}">
                  <a14:compatExt spid="_x0000_s8294"/>
                </a:ext>
                <a:ext uri="{FF2B5EF4-FFF2-40B4-BE49-F238E27FC236}">
                  <a16:creationId xmlns:a16="http://schemas.microsoft.com/office/drawing/2014/main" id="{00000000-0008-0000-0100-000066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 value in one</a:t>
              </a:r>
            </a:p>
            <a:p>
              <a:pPr algn="ctr" rtl="0">
                <a:defRPr sz="1000"/>
              </a:pPr>
              <a:r>
                <a:rPr lang="en-US" sz="1000" b="0" i="0" u="none" strike="noStrike" baseline="0">
                  <a:solidFill>
                    <a:srgbClr val="000000"/>
                  </a:solidFill>
                  <a:latin typeface="Arial"/>
                  <a:cs typeface="Arial"/>
                </a:rPr>
                <a:t>of the following blocks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692150</xdr:colOff>
          <xdr:row>161</xdr:row>
          <xdr:rowOff>63500</xdr:rowOff>
        </xdr:from>
        <xdr:to>
          <xdr:col>2</xdr:col>
          <xdr:colOff>749300</xdr:colOff>
          <xdr:row>162</xdr:row>
          <xdr:rowOff>25400</xdr:rowOff>
        </xdr:to>
        <xdr:sp macro="" textlink="">
          <xdr:nvSpPr>
            <xdr:cNvPr id="8295" name="Button 103" hidden="1">
              <a:extLst>
                <a:ext uri="{63B3BB69-23CF-44E3-9099-C40C66FF867C}">
                  <a14:compatExt spid="_x0000_s8295"/>
                </a:ext>
                <a:ext uri="{FF2B5EF4-FFF2-40B4-BE49-F238E27FC236}">
                  <a16:creationId xmlns:a16="http://schemas.microsoft.com/office/drawing/2014/main" id="{00000000-0008-0000-0100-000067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High sulfur oil: 0.15% or 1,500 ppm</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685800</xdr:colOff>
          <xdr:row>162</xdr:row>
          <xdr:rowOff>114300</xdr:rowOff>
        </xdr:from>
        <xdr:to>
          <xdr:col>2</xdr:col>
          <xdr:colOff>749300</xdr:colOff>
          <xdr:row>163</xdr:row>
          <xdr:rowOff>82550</xdr:rowOff>
        </xdr:to>
        <xdr:sp macro="" textlink="">
          <xdr:nvSpPr>
            <xdr:cNvPr id="8296" name="Button 104" hidden="1">
              <a:extLst>
                <a:ext uri="{63B3BB69-23CF-44E3-9099-C40C66FF867C}">
                  <a14:compatExt spid="_x0000_s8296"/>
                </a:ext>
                <a:ext uri="{FF2B5EF4-FFF2-40B4-BE49-F238E27FC236}">
                  <a16:creationId xmlns:a16="http://schemas.microsoft.com/office/drawing/2014/main" id="{00000000-0008-0000-0100-000068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Low sulfur oil: 0.05% or 500 ppm</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685800</xdr:colOff>
          <xdr:row>163</xdr:row>
          <xdr:rowOff>184150</xdr:rowOff>
        </xdr:from>
        <xdr:to>
          <xdr:col>2</xdr:col>
          <xdr:colOff>749300</xdr:colOff>
          <xdr:row>164</xdr:row>
          <xdr:rowOff>152400</xdr:rowOff>
        </xdr:to>
        <xdr:sp macro="" textlink="">
          <xdr:nvSpPr>
            <xdr:cNvPr id="8297" name="Button 105" hidden="1">
              <a:extLst>
                <a:ext uri="{63B3BB69-23CF-44E3-9099-C40C66FF867C}">
                  <a14:compatExt spid="_x0000_s8297"/>
                </a:ext>
                <a:ext uri="{FF2B5EF4-FFF2-40B4-BE49-F238E27FC236}">
                  <a16:creationId xmlns:a16="http://schemas.microsoft.com/office/drawing/2014/main" id="{00000000-0008-0000-0100-000069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Ultra low sulfur diesel: 15 ppm</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1860550</xdr:colOff>
          <xdr:row>61</xdr:row>
          <xdr:rowOff>114300</xdr:rowOff>
        </xdr:from>
        <xdr:to>
          <xdr:col>1</xdr:col>
          <xdr:colOff>800100</xdr:colOff>
          <xdr:row>63</xdr:row>
          <xdr:rowOff>82550</xdr:rowOff>
        </xdr:to>
        <xdr:sp macro="" textlink="">
          <xdr:nvSpPr>
            <xdr:cNvPr id="8298" name="Button 106" hidden="1">
              <a:extLst>
                <a:ext uri="{63B3BB69-23CF-44E3-9099-C40C66FF867C}">
                  <a14:compatExt spid="_x0000_s8298"/>
                </a:ext>
                <a:ext uri="{FF2B5EF4-FFF2-40B4-BE49-F238E27FC236}">
                  <a16:creationId xmlns:a16="http://schemas.microsoft.com/office/drawing/2014/main" id="{00000000-0008-0000-0100-00006A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an efficiency in </a:t>
              </a:r>
              <a:r>
                <a:rPr lang="en-US" sz="1000" b="1" i="0" u="sng" strike="noStrike" baseline="0">
                  <a:solidFill>
                    <a:srgbClr val="000000"/>
                  </a:solidFill>
                  <a:latin typeface="Arial"/>
                  <a:cs typeface="Arial"/>
                </a:rPr>
                <a:t>one</a:t>
              </a:r>
              <a:r>
                <a:rPr lang="en-US" sz="1000" b="0" i="0" u="none" strike="noStrike" baseline="0">
                  <a:solidFill>
                    <a:srgbClr val="000000"/>
                  </a:solidFill>
                  <a:latin typeface="Arial"/>
                  <a:cs typeface="Arial"/>
                </a:rPr>
                <a:t> of the following blocks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908050</xdr:colOff>
          <xdr:row>61</xdr:row>
          <xdr:rowOff>114300</xdr:rowOff>
        </xdr:from>
        <xdr:to>
          <xdr:col>2</xdr:col>
          <xdr:colOff>901700</xdr:colOff>
          <xdr:row>63</xdr:row>
          <xdr:rowOff>82550</xdr:rowOff>
        </xdr:to>
        <xdr:sp macro="" textlink="">
          <xdr:nvSpPr>
            <xdr:cNvPr id="8299" name="chpeffdefault1" hidden="1">
              <a:extLst>
                <a:ext uri="{63B3BB69-23CF-44E3-9099-C40C66FF867C}">
                  <a14:compatExt spid="_x0000_s8299"/>
                </a:ext>
                <a:ext uri="{FF2B5EF4-FFF2-40B4-BE49-F238E27FC236}">
                  <a16:creationId xmlns:a16="http://schemas.microsoft.com/office/drawing/2014/main" id="{00000000-0008-0000-0100-00006B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Use default for this technology</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1854200</xdr:colOff>
          <xdr:row>173</xdr:row>
          <xdr:rowOff>25400</xdr:rowOff>
        </xdr:from>
        <xdr:to>
          <xdr:col>1</xdr:col>
          <xdr:colOff>787400</xdr:colOff>
          <xdr:row>176</xdr:row>
          <xdr:rowOff>82550</xdr:rowOff>
        </xdr:to>
        <xdr:sp macro="" textlink="">
          <xdr:nvSpPr>
            <xdr:cNvPr id="8300" name="Button 108" hidden="1">
              <a:extLst>
                <a:ext uri="{63B3BB69-23CF-44E3-9099-C40C66FF867C}">
                  <a14:compatExt spid="_x0000_s8300"/>
                </a:ext>
                <a:ext uri="{FF2B5EF4-FFF2-40B4-BE49-F238E27FC236}">
                  <a16:creationId xmlns:a16="http://schemas.microsoft.com/office/drawing/2014/main" id="{00000000-0008-0000-0100-00006C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 NOx rate in </a:t>
              </a:r>
              <a:r>
                <a:rPr lang="en-US" sz="1000" b="1" i="0" u="sng" strike="noStrike" baseline="0">
                  <a:solidFill>
                    <a:srgbClr val="000000"/>
                  </a:solidFill>
                  <a:latin typeface="Arial"/>
                  <a:cs typeface="Arial"/>
                </a:rPr>
                <a:t>one</a:t>
              </a:r>
              <a:endParaRPr lang="en-US" sz="1000" b="0" i="0" u="none" strike="noStrike" baseline="0">
                <a:solidFill>
                  <a:srgbClr val="000000"/>
                </a:solidFill>
                <a:latin typeface="Arial"/>
                <a:cs typeface="Arial"/>
              </a:endParaRPr>
            </a:p>
            <a:p>
              <a:pPr algn="ctr" rtl="0">
                <a:defRPr sz="1000"/>
              </a:pPr>
              <a:r>
                <a:rPr lang="en-US" sz="1000" b="0" i="0" u="none" strike="noStrike" baseline="0">
                  <a:solidFill>
                    <a:srgbClr val="000000"/>
                  </a:solidFill>
                  <a:latin typeface="Arial"/>
                  <a:cs typeface="Arial"/>
                </a:rPr>
                <a:t>of the following blocks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863600</xdr:colOff>
          <xdr:row>173</xdr:row>
          <xdr:rowOff>25400</xdr:rowOff>
        </xdr:from>
        <xdr:to>
          <xdr:col>2</xdr:col>
          <xdr:colOff>2851150</xdr:colOff>
          <xdr:row>176</xdr:row>
          <xdr:rowOff>82550</xdr:rowOff>
        </xdr:to>
        <xdr:sp macro="" textlink="">
          <xdr:nvSpPr>
            <xdr:cNvPr id="8301" name="Button 109" hidden="1">
              <a:extLst>
                <a:ext uri="{63B3BB69-23CF-44E3-9099-C40C66FF867C}">
                  <a14:compatExt spid="_x0000_s8301"/>
                </a:ext>
                <a:ext uri="{FF2B5EF4-FFF2-40B4-BE49-F238E27FC236}">
                  <a16:creationId xmlns:a16="http://schemas.microsoft.com/office/drawing/2014/main" id="{00000000-0008-0000-0100-00006D200000}"/>
                </a:ext>
              </a:extLst>
            </xdr:cNvPr>
            <xdr:cNvSpPr/>
          </xdr:nvSpPr>
          <xdr:spPr bwMode="auto">
            <a:xfrm>
              <a:off x="0" y="0"/>
              <a:ext cx="0" cy="0"/>
            </a:xfrm>
            <a:prstGeom prst="rect">
              <a:avLst/>
            </a:prstGeom>
            <a:noFill/>
            <a:ln w="9525">
              <a:miter lim="800000"/>
              <a:headEnd/>
              <a:tailEnd/>
            </a:ln>
          </xdr:spPr>
          <xdr:txBody>
            <a:bodyPr vertOverflow="clip" wrap="square" lIns="36576" tIns="27432" rIns="0" bIns="27432" anchor="ctr" upright="1"/>
            <a:lstStyle/>
            <a:p>
              <a:pPr algn="l" rtl="0">
                <a:defRPr sz="1000"/>
              </a:pPr>
              <a:r>
                <a:rPr lang="en-US" sz="1000" b="0" i="0" u="none" strike="noStrike" baseline="0">
                  <a:solidFill>
                    <a:srgbClr val="000000"/>
                  </a:solidFill>
                  <a:latin typeface="Arial"/>
                  <a:cs typeface="Arial"/>
                </a:rPr>
                <a:t>Use default emissions for this technology.  </a:t>
              </a:r>
            </a:p>
            <a:p>
              <a:pPr algn="l" rtl="0">
                <a:defRPr sz="1000"/>
              </a:pPr>
              <a:r>
                <a:rPr lang="en-US" sz="800" b="0" i="0" u="none" strike="noStrike" baseline="0">
                  <a:solidFill>
                    <a:srgbClr val="993366"/>
                  </a:solidFill>
                  <a:latin typeface="Arial"/>
                  <a:cs typeface="Arial"/>
                </a:rPr>
                <a:t>Note: Default emissions are without aftertreatment. Some areas may require add-on controls and you will need to enter an emission rate based on your local requirements. SCR can reduce emissions by up to 90%</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1701800</xdr:colOff>
          <xdr:row>203</xdr:row>
          <xdr:rowOff>190500</xdr:rowOff>
        </xdr:from>
        <xdr:to>
          <xdr:col>1</xdr:col>
          <xdr:colOff>1054100</xdr:colOff>
          <xdr:row>204</xdr:row>
          <xdr:rowOff>190500</xdr:rowOff>
        </xdr:to>
        <xdr:sp macro="" textlink="">
          <xdr:nvSpPr>
            <xdr:cNvPr id="8302" name="Button 110" hidden="1">
              <a:extLst>
                <a:ext uri="{63B3BB69-23CF-44E3-9099-C40C66FF867C}">
                  <a14:compatExt spid="_x0000_s8302"/>
                </a:ext>
                <a:ext uri="{FF2B5EF4-FFF2-40B4-BE49-F238E27FC236}">
                  <a16:creationId xmlns:a16="http://schemas.microsoft.com/office/drawing/2014/main" id="{00000000-0008-0000-0100-00006E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the NOx rate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1136650</xdr:colOff>
          <xdr:row>203</xdr:row>
          <xdr:rowOff>190500</xdr:rowOff>
        </xdr:from>
        <xdr:to>
          <xdr:col>2</xdr:col>
          <xdr:colOff>996950</xdr:colOff>
          <xdr:row>204</xdr:row>
          <xdr:rowOff>190500</xdr:rowOff>
        </xdr:to>
        <xdr:sp macro="" textlink="">
          <xdr:nvSpPr>
            <xdr:cNvPr id="8303" name="Button 111" hidden="1">
              <a:extLst>
                <a:ext uri="{63B3BB69-23CF-44E3-9099-C40C66FF867C}">
                  <a14:compatExt spid="_x0000_s8303"/>
                </a:ext>
                <a:ext uri="{FF2B5EF4-FFF2-40B4-BE49-F238E27FC236}">
                  <a16:creationId xmlns:a16="http://schemas.microsoft.com/office/drawing/2014/main" id="{00000000-0008-0000-0100-00006F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Use default for NOx rate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1631950</xdr:colOff>
          <xdr:row>196</xdr:row>
          <xdr:rowOff>25400</xdr:rowOff>
        </xdr:from>
        <xdr:to>
          <xdr:col>1</xdr:col>
          <xdr:colOff>330200</xdr:colOff>
          <xdr:row>197</xdr:row>
          <xdr:rowOff>63500</xdr:rowOff>
        </xdr:to>
        <xdr:sp macro="" textlink="">
          <xdr:nvSpPr>
            <xdr:cNvPr id="8306" name="Button 114" hidden="1">
              <a:extLst>
                <a:ext uri="{63B3BB69-23CF-44E3-9099-C40C66FF867C}">
                  <a14:compatExt spid="_x0000_s8306"/>
                </a:ext>
                <a:ext uri="{FF2B5EF4-FFF2-40B4-BE49-F238E27FC236}">
                  <a16:creationId xmlns:a16="http://schemas.microsoft.com/office/drawing/2014/main" id="{00000000-0008-0000-0100-000072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 value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635000</xdr:colOff>
          <xdr:row>195</xdr:row>
          <xdr:rowOff>31750</xdr:rowOff>
        </xdr:from>
        <xdr:to>
          <xdr:col>2</xdr:col>
          <xdr:colOff>831850</xdr:colOff>
          <xdr:row>196</xdr:row>
          <xdr:rowOff>0</xdr:rowOff>
        </xdr:to>
        <xdr:sp macro="" textlink="">
          <xdr:nvSpPr>
            <xdr:cNvPr id="8307" name="Button 115" hidden="1">
              <a:extLst>
                <a:ext uri="{63B3BB69-23CF-44E3-9099-C40C66FF867C}">
                  <a14:compatExt spid="_x0000_s8307"/>
                </a:ext>
                <a:ext uri="{FF2B5EF4-FFF2-40B4-BE49-F238E27FC236}">
                  <a16:creationId xmlns:a16="http://schemas.microsoft.com/office/drawing/2014/main" id="{00000000-0008-0000-0100-000073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Commercial coal: 1% sulfur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635000</xdr:colOff>
          <xdr:row>196</xdr:row>
          <xdr:rowOff>69850</xdr:rowOff>
        </xdr:from>
        <xdr:to>
          <xdr:col>2</xdr:col>
          <xdr:colOff>831850</xdr:colOff>
          <xdr:row>197</xdr:row>
          <xdr:rowOff>38100</xdr:rowOff>
        </xdr:to>
        <xdr:sp macro="" textlink="">
          <xdr:nvSpPr>
            <xdr:cNvPr id="8308" name="Button 116" hidden="1">
              <a:extLst>
                <a:ext uri="{63B3BB69-23CF-44E3-9099-C40C66FF867C}">
                  <a14:compatExt spid="_x0000_s8308"/>
                </a:ext>
                <a:ext uri="{FF2B5EF4-FFF2-40B4-BE49-F238E27FC236}">
                  <a16:creationId xmlns:a16="http://schemas.microsoft.com/office/drawing/2014/main" id="{00000000-0008-0000-0100-000074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 High sulfur oil: 0.15% or 1,500 ppm</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635000</xdr:colOff>
          <xdr:row>197</xdr:row>
          <xdr:rowOff>107950</xdr:rowOff>
        </xdr:from>
        <xdr:to>
          <xdr:col>2</xdr:col>
          <xdr:colOff>831850</xdr:colOff>
          <xdr:row>198</xdr:row>
          <xdr:rowOff>76200</xdr:rowOff>
        </xdr:to>
        <xdr:sp macro="" textlink="">
          <xdr:nvSpPr>
            <xdr:cNvPr id="8309" name="Button 117" hidden="1">
              <a:extLst>
                <a:ext uri="{63B3BB69-23CF-44E3-9099-C40C66FF867C}">
                  <a14:compatExt spid="_x0000_s8309"/>
                </a:ext>
                <a:ext uri="{FF2B5EF4-FFF2-40B4-BE49-F238E27FC236}">
                  <a16:creationId xmlns:a16="http://schemas.microsoft.com/office/drawing/2014/main" id="{00000000-0008-0000-0100-000075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Low sulfur oil: 0.05% or 500 ppm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273050</xdr:colOff>
          <xdr:row>148</xdr:row>
          <xdr:rowOff>44450</xdr:rowOff>
        </xdr:from>
        <xdr:to>
          <xdr:col>2</xdr:col>
          <xdr:colOff>25400</xdr:colOff>
          <xdr:row>149</xdr:row>
          <xdr:rowOff>12700</xdr:rowOff>
        </xdr:to>
        <xdr:sp macro="" textlink="">
          <xdr:nvSpPr>
            <xdr:cNvPr id="8312" name="Drop Down 120" hidden="1">
              <a:extLst>
                <a:ext uri="{63B3BB69-23CF-44E3-9099-C40C66FF867C}">
                  <a14:compatExt spid="_x0000_s8312"/>
                </a:ext>
                <a:ext uri="{FF2B5EF4-FFF2-40B4-BE49-F238E27FC236}">
                  <a16:creationId xmlns:a16="http://schemas.microsoft.com/office/drawing/2014/main" id="{00000000-0008-0000-0100-000078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38100</xdr:colOff>
          <xdr:row>1</xdr:row>
          <xdr:rowOff>146050</xdr:rowOff>
        </xdr:from>
        <xdr:to>
          <xdr:col>4</xdr:col>
          <xdr:colOff>1358900</xdr:colOff>
          <xdr:row>2</xdr:row>
          <xdr:rowOff>120650</xdr:rowOff>
        </xdr:to>
        <xdr:sp macro="" textlink="">
          <xdr:nvSpPr>
            <xdr:cNvPr id="8321" name="Button 129" hidden="1">
              <a:extLst>
                <a:ext uri="{63B3BB69-23CF-44E3-9099-C40C66FF867C}">
                  <a14:compatExt spid="_x0000_s8321"/>
                </a:ext>
                <a:ext uri="{FF2B5EF4-FFF2-40B4-BE49-F238E27FC236}">
                  <a16:creationId xmlns:a16="http://schemas.microsoft.com/office/drawing/2014/main" id="{00000000-0008-0000-0100-000081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FF0000"/>
                  </a:solidFill>
                  <a:latin typeface="Arial"/>
                  <a:cs typeface="Arial"/>
                </a:rPr>
                <a:t>Reset All Inputs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45</xdr:col>
          <xdr:colOff>330200</xdr:colOff>
          <xdr:row>417</xdr:row>
          <xdr:rowOff>76200</xdr:rowOff>
        </xdr:from>
        <xdr:to>
          <xdr:col>60</xdr:col>
          <xdr:colOff>215900</xdr:colOff>
          <xdr:row>433</xdr:row>
          <xdr:rowOff>25400</xdr:rowOff>
        </xdr:to>
        <xdr:sp macro="" textlink="">
          <xdr:nvSpPr>
            <xdr:cNvPr id="8324" name="Button 132" hidden="1">
              <a:extLst>
                <a:ext uri="{63B3BB69-23CF-44E3-9099-C40C66FF867C}">
                  <a14:compatExt spid="_x0000_s8324"/>
                </a:ext>
                <a:ext uri="{FF2B5EF4-FFF2-40B4-BE49-F238E27FC236}">
                  <a16:creationId xmlns:a16="http://schemas.microsoft.com/office/drawing/2014/main" id="{00000000-0008-0000-0100-000084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Use the Thermal </a:t>
              </a:r>
            </a:p>
            <a:p>
              <a:pPr algn="ctr" rtl="0">
                <a:defRPr sz="1000"/>
              </a:pPr>
              <a:r>
                <a:rPr lang="en-US" sz="1000" b="0" i="0" u="none" strike="noStrike" baseline="0">
                  <a:solidFill>
                    <a:srgbClr val="000000"/>
                  </a:solidFill>
                  <a:latin typeface="Arial"/>
                  <a:cs typeface="Arial"/>
                </a:rPr>
                <a:t>Calculator to calculate </a:t>
              </a:r>
            </a:p>
            <a:p>
              <a:pPr algn="ctr" rtl="0">
                <a:defRPr sz="1000"/>
              </a:pPr>
              <a:r>
                <a:rPr lang="en-US" sz="1000" b="0" i="0" u="none" strike="noStrike" baseline="0">
                  <a:solidFill>
                    <a:srgbClr val="000000"/>
                  </a:solidFill>
                  <a:latin typeface="Arial"/>
                  <a:cs typeface="Arial"/>
                </a:rPr>
                <a:t>my Power to Heat Ratio</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1854200</xdr:colOff>
          <xdr:row>127</xdr:row>
          <xdr:rowOff>184150</xdr:rowOff>
        </xdr:from>
        <xdr:to>
          <xdr:col>1</xdr:col>
          <xdr:colOff>793750</xdr:colOff>
          <xdr:row>128</xdr:row>
          <xdr:rowOff>190500</xdr:rowOff>
        </xdr:to>
        <xdr:sp macro="" textlink="">
          <xdr:nvSpPr>
            <xdr:cNvPr id="8356" name="Button 164" hidden="1">
              <a:extLst>
                <a:ext uri="{63B3BB69-23CF-44E3-9099-C40C66FF867C}">
                  <a14:compatExt spid="_x0000_s8356"/>
                </a:ext>
                <a:ext uri="{FF2B5EF4-FFF2-40B4-BE49-F238E27FC236}">
                  <a16:creationId xmlns:a16="http://schemas.microsoft.com/office/drawing/2014/main" id="{00000000-0008-0000-0100-0000A4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an efficiency</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939800</xdr:colOff>
          <xdr:row>127</xdr:row>
          <xdr:rowOff>184150</xdr:rowOff>
        </xdr:from>
        <xdr:to>
          <xdr:col>2</xdr:col>
          <xdr:colOff>1416050</xdr:colOff>
          <xdr:row>128</xdr:row>
          <xdr:rowOff>190500</xdr:rowOff>
        </xdr:to>
        <xdr:sp macro="" textlink="">
          <xdr:nvSpPr>
            <xdr:cNvPr id="8357" name="Button 165" hidden="1">
              <a:extLst>
                <a:ext uri="{63B3BB69-23CF-44E3-9099-C40C66FF867C}">
                  <a14:compatExt spid="_x0000_s8357"/>
                </a:ext>
                <a:ext uri="{FF2B5EF4-FFF2-40B4-BE49-F238E27FC236}">
                  <a16:creationId xmlns:a16="http://schemas.microsoft.com/office/drawing/2014/main" id="{00000000-0008-0000-0100-0000A5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Use default for this thermal technology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2279650</xdr:colOff>
          <xdr:row>97</xdr:row>
          <xdr:rowOff>31750</xdr:rowOff>
        </xdr:from>
        <xdr:to>
          <xdr:col>2</xdr:col>
          <xdr:colOff>6350</xdr:colOff>
          <xdr:row>97</xdr:row>
          <xdr:rowOff>260350</xdr:rowOff>
        </xdr:to>
        <xdr:sp macro="" textlink="">
          <xdr:nvSpPr>
            <xdr:cNvPr id="8371" name="Drop Down 179" hidden="1">
              <a:extLst>
                <a:ext uri="{63B3BB69-23CF-44E3-9099-C40C66FF867C}">
                  <a14:compatExt spid="_x0000_s8371"/>
                </a:ext>
                <a:ext uri="{FF2B5EF4-FFF2-40B4-BE49-F238E27FC236}">
                  <a16:creationId xmlns:a16="http://schemas.microsoft.com/office/drawing/2014/main" id="{00000000-0008-0000-0100-0000B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79</xdr:row>
          <xdr:rowOff>25400</xdr:rowOff>
        </xdr:from>
        <xdr:to>
          <xdr:col>2</xdr:col>
          <xdr:colOff>0</xdr:colOff>
          <xdr:row>79</xdr:row>
          <xdr:rowOff>254000</xdr:rowOff>
        </xdr:to>
        <xdr:sp macro="" textlink="">
          <xdr:nvSpPr>
            <xdr:cNvPr id="8383" name="Drop Down 191" hidden="1">
              <a:extLst>
                <a:ext uri="{63B3BB69-23CF-44E3-9099-C40C66FF867C}">
                  <a14:compatExt spid="_x0000_s8383"/>
                </a:ext>
                <a:ext uri="{FF2B5EF4-FFF2-40B4-BE49-F238E27FC236}">
                  <a16:creationId xmlns:a16="http://schemas.microsoft.com/office/drawing/2014/main" id="{00000000-0008-0000-0100-0000BF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2362200</xdr:colOff>
          <xdr:row>183</xdr:row>
          <xdr:rowOff>196850</xdr:rowOff>
        </xdr:from>
        <xdr:to>
          <xdr:col>1</xdr:col>
          <xdr:colOff>1301750</xdr:colOff>
          <xdr:row>185</xdr:row>
          <xdr:rowOff>82550</xdr:rowOff>
        </xdr:to>
        <xdr:sp macro="" textlink="">
          <xdr:nvSpPr>
            <xdr:cNvPr id="8387" name="Button 195" hidden="1">
              <a:extLst>
                <a:ext uri="{63B3BB69-23CF-44E3-9099-C40C66FF867C}">
                  <a14:compatExt spid="_x0000_s8387"/>
                </a:ext>
                <a:ext uri="{FF2B5EF4-FFF2-40B4-BE49-F238E27FC236}">
                  <a16:creationId xmlns:a16="http://schemas.microsoft.com/office/drawing/2014/main" id="{00000000-0008-0000-0100-0000C3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 NOx rate in </a:t>
              </a:r>
              <a:r>
                <a:rPr lang="en-US" sz="1000" b="1" i="0" u="sng" strike="noStrike" baseline="0">
                  <a:solidFill>
                    <a:srgbClr val="000000"/>
                  </a:solidFill>
                  <a:latin typeface="Arial"/>
                  <a:cs typeface="Arial"/>
                </a:rPr>
                <a:t>one</a:t>
              </a:r>
              <a:endParaRPr lang="en-US" sz="1000" b="0" i="0" u="none" strike="noStrike" baseline="0">
                <a:solidFill>
                  <a:srgbClr val="000000"/>
                </a:solidFill>
                <a:latin typeface="Arial"/>
                <a:cs typeface="Arial"/>
              </a:endParaRPr>
            </a:p>
            <a:p>
              <a:pPr algn="ctr" rtl="0">
                <a:defRPr sz="1000"/>
              </a:pPr>
              <a:r>
                <a:rPr lang="en-US" sz="1000" b="0" i="0" u="none" strike="noStrike" baseline="0">
                  <a:solidFill>
                    <a:srgbClr val="000000"/>
                  </a:solidFill>
                  <a:latin typeface="Arial"/>
                  <a:cs typeface="Arial"/>
                </a:rPr>
                <a:t>of the following blocks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1397000</xdr:colOff>
          <xdr:row>183</xdr:row>
          <xdr:rowOff>196850</xdr:rowOff>
        </xdr:from>
        <xdr:to>
          <xdr:col>2</xdr:col>
          <xdr:colOff>1282700</xdr:colOff>
          <xdr:row>185</xdr:row>
          <xdr:rowOff>82550</xdr:rowOff>
        </xdr:to>
        <xdr:sp macro="" textlink="">
          <xdr:nvSpPr>
            <xdr:cNvPr id="8388" name="Button 196" hidden="1">
              <a:extLst>
                <a:ext uri="{63B3BB69-23CF-44E3-9099-C40C66FF867C}">
                  <a14:compatExt spid="_x0000_s8388"/>
                </a:ext>
                <a:ext uri="{FF2B5EF4-FFF2-40B4-BE49-F238E27FC236}">
                  <a16:creationId xmlns:a16="http://schemas.microsoft.com/office/drawing/2014/main" id="{00000000-0008-0000-0100-0000C4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Use default for this technology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2806700</xdr:colOff>
          <xdr:row>27</xdr:row>
          <xdr:rowOff>25400</xdr:rowOff>
        </xdr:from>
        <xdr:to>
          <xdr:col>2</xdr:col>
          <xdr:colOff>0</xdr:colOff>
          <xdr:row>27</xdr:row>
          <xdr:rowOff>254000</xdr:rowOff>
        </xdr:to>
        <xdr:sp macro="" textlink="">
          <xdr:nvSpPr>
            <xdr:cNvPr id="8392" name="Drop Down 200" hidden="1">
              <a:extLst>
                <a:ext uri="{63B3BB69-23CF-44E3-9099-C40C66FF867C}">
                  <a14:compatExt spid="_x0000_s8392"/>
                </a:ext>
                <a:ext uri="{FF2B5EF4-FFF2-40B4-BE49-F238E27FC236}">
                  <a16:creationId xmlns:a16="http://schemas.microsoft.com/office/drawing/2014/main" id="{00000000-0008-0000-0100-0000C8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2832100</xdr:colOff>
          <xdr:row>35</xdr:row>
          <xdr:rowOff>12700</xdr:rowOff>
        </xdr:from>
        <xdr:to>
          <xdr:col>2</xdr:col>
          <xdr:colOff>12700</xdr:colOff>
          <xdr:row>36</xdr:row>
          <xdr:rowOff>31750</xdr:rowOff>
        </xdr:to>
        <xdr:sp macro="" textlink="">
          <xdr:nvSpPr>
            <xdr:cNvPr id="8405" name="Drop Down 213" hidden="1">
              <a:extLst>
                <a:ext uri="{63B3BB69-23CF-44E3-9099-C40C66FF867C}">
                  <a14:compatExt spid="_x0000_s8405"/>
                </a:ext>
                <a:ext uri="{FF2B5EF4-FFF2-40B4-BE49-F238E27FC236}">
                  <a16:creationId xmlns:a16="http://schemas.microsoft.com/office/drawing/2014/main" id="{00000000-0008-0000-0100-0000D5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63500</xdr:colOff>
          <xdr:row>110</xdr:row>
          <xdr:rowOff>25400</xdr:rowOff>
        </xdr:from>
        <xdr:to>
          <xdr:col>2</xdr:col>
          <xdr:colOff>0</xdr:colOff>
          <xdr:row>110</xdr:row>
          <xdr:rowOff>254000</xdr:rowOff>
        </xdr:to>
        <xdr:sp macro="" textlink="">
          <xdr:nvSpPr>
            <xdr:cNvPr id="8408" name="Drop Down 216" hidden="1">
              <a:extLst>
                <a:ext uri="{63B3BB69-23CF-44E3-9099-C40C66FF867C}">
                  <a14:compatExt spid="_x0000_s8408"/>
                </a:ext>
                <a:ext uri="{FF2B5EF4-FFF2-40B4-BE49-F238E27FC236}">
                  <a16:creationId xmlns:a16="http://schemas.microsoft.com/office/drawing/2014/main" id="{00000000-0008-0000-0100-0000D8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55</xdr:col>
          <xdr:colOff>571500</xdr:colOff>
          <xdr:row>982</xdr:row>
          <xdr:rowOff>25400</xdr:rowOff>
        </xdr:from>
        <xdr:to>
          <xdr:col>60</xdr:col>
          <xdr:colOff>533400</xdr:colOff>
          <xdr:row>988</xdr:row>
          <xdr:rowOff>177800</xdr:rowOff>
        </xdr:to>
        <xdr:sp macro="" textlink="">
          <xdr:nvSpPr>
            <xdr:cNvPr id="8423" name="Button 231" hidden="1">
              <a:extLst>
                <a:ext uri="{63B3BB69-23CF-44E3-9099-C40C66FF867C}">
                  <a14:compatExt spid="_x0000_s8423"/>
                </a:ext>
                <a:ext uri="{FF2B5EF4-FFF2-40B4-BE49-F238E27FC236}">
                  <a16:creationId xmlns:a16="http://schemas.microsoft.com/office/drawing/2014/main" id="{00000000-0008-0000-0100-0000E7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38100</xdr:colOff>
          <xdr:row>16</xdr:row>
          <xdr:rowOff>120650</xdr:rowOff>
        </xdr:from>
        <xdr:to>
          <xdr:col>4</xdr:col>
          <xdr:colOff>1333500</xdr:colOff>
          <xdr:row>19</xdr:row>
          <xdr:rowOff>44450</xdr:rowOff>
        </xdr:to>
        <xdr:sp macro="" textlink="">
          <xdr:nvSpPr>
            <xdr:cNvPr id="8424" name="Button 232" hidden="1">
              <a:extLst>
                <a:ext uri="{63B3BB69-23CF-44E3-9099-C40C66FF867C}">
                  <a14:compatExt spid="_x0000_s8424"/>
                </a:ext>
                <a:ext uri="{FF2B5EF4-FFF2-40B4-BE49-F238E27FC236}">
                  <a16:creationId xmlns:a16="http://schemas.microsoft.com/office/drawing/2014/main" id="{00000000-0008-0000-0100-0000E8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Check All Inputs and Go to Results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50800</xdr:colOff>
          <xdr:row>35</xdr:row>
          <xdr:rowOff>25400</xdr:rowOff>
        </xdr:from>
        <xdr:to>
          <xdr:col>4</xdr:col>
          <xdr:colOff>1384300</xdr:colOff>
          <xdr:row>38</xdr:row>
          <xdr:rowOff>107950</xdr:rowOff>
        </xdr:to>
        <xdr:sp macro="" textlink="">
          <xdr:nvSpPr>
            <xdr:cNvPr id="8425" name="Button 233" hidden="1">
              <a:extLst>
                <a:ext uri="{63B3BB69-23CF-44E3-9099-C40C66FF867C}">
                  <a14:compatExt spid="_x0000_s8425"/>
                </a:ext>
                <a:ext uri="{FF2B5EF4-FFF2-40B4-BE49-F238E27FC236}">
                  <a16:creationId xmlns:a16="http://schemas.microsoft.com/office/drawing/2014/main" id="{00000000-0008-0000-0100-0000E9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Check All Inputs and Go to Results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139700</xdr:colOff>
          <xdr:row>55</xdr:row>
          <xdr:rowOff>0</xdr:rowOff>
        </xdr:from>
        <xdr:to>
          <xdr:col>4</xdr:col>
          <xdr:colOff>1422400</xdr:colOff>
          <xdr:row>57</xdr:row>
          <xdr:rowOff>63500</xdr:rowOff>
        </xdr:to>
        <xdr:sp macro="" textlink="">
          <xdr:nvSpPr>
            <xdr:cNvPr id="8426" name="Button 234" hidden="1">
              <a:extLst>
                <a:ext uri="{63B3BB69-23CF-44E3-9099-C40C66FF867C}">
                  <a14:compatExt spid="_x0000_s8426"/>
                </a:ext>
                <a:ext uri="{FF2B5EF4-FFF2-40B4-BE49-F238E27FC236}">
                  <a16:creationId xmlns:a16="http://schemas.microsoft.com/office/drawing/2014/main" id="{00000000-0008-0000-0100-0000EA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Check All Inputs and Go to Results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101600</xdr:colOff>
          <xdr:row>76</xdr:row>
          <xdr:rowOff>266700</xdr:rowOff>
        </xdr:from>
        <xdr:to>
          <xdr:col>4</xdr:col>
          <xdr:colOff>1422400</xdr:colOff>
          <xdr:row>79</xdr:row>
          <xdr:rowOff>63500</xdr:rowOff>
        </xdr:to>
        <xdr:sp macro="" textlink="">
          <xdr:nvSpPr>
            <xdr:cNvPr id="8427" name="Button 235" hidden="1">
              <a:extLst>
                <a:ext uri="{63B3BB69-23CF-44E3-9099-C40C66FF867C}">
                  <a14:compatExt spid="_x0000_s8427"/>
                </a:ext>
                <a:ext uri="{FF2B5EF4-FFF2-40B4-BE49-F238E27FC236}">
                  <a16:creationId xmlns:a16="http://schemas.microsoft.com/office/drawing/2014/main" id="{00000000-0008-0000-0100-0000EB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Check All Inputs and Go to Results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139700</xdr:colOff>
          <xdr:row>101</xdr:row>
          <xdr:rowOff>0</xdr:rowOff>
        </xdr:from>
        <xdr:to>
          <xdr:col>4</xdr:col>
          <xdr:colOff>1397000</xdr:colOff>
          <xdr:row>103</xdr:row>
          <xdr:rowOff>177800</xdr:rowOff>
        </xdr:to>
        <xdr:sp macro="" textlink="">
          <xdr:nvSpPr>
            <xdr:cNvPr id="8428" name="Button 236" hidden="1">
              <a:extLst>
                <a:ext uri="{63B3BB69-23CF-44E3-9099-C40C66FF867C}">
                  <a14:compatExt spid="_x0000_s8428"/>
                </a:ext>
                <a:ext uri="{FF2B5EF4-FFF2-40B4-BE49-F238E27FC236}">
                  <a16:creationId xmlns:a16="http://schemas.microsoft.com/office/drawing/2014/main" id="{00000000-0008-0000-0100-0000EC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Check All Inputs and Go to Results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158750</xdr:colOff>
          <xdr:row>123</xdr:row>
          <xdr:rowOff>184150</xdr:rowOff>
        </xdr:from>
        <xdr:to>
          <xdr:col>4</xdr:col>
          <xdr:colOff>1371600</xdr:colOff>
          <xdr:row>127</xdr:row>
          <xdr:rowOff>101600</xdr:rowOff>
        </xdr:to>
        <xdr:sp macro="" textlink="">
          <xdr:nvSpPr>
            <xdr:cNvPr id="8429" name="Button 237" hidden="1">
              <a:extLst>
                <a:ext uri="{63B3BB69-23CF-44E3-9099-C40C66FF867C}">
                  <a14:compatExt spid="_x0000_s8429"/>
                </a:ext>
                <a:ext uri="{FF2B5EF4-FFF2-40B4-BE49-F238E27FC236}">
                  <a16:creationId xmlns:a16="http://schemas.microsoft.com/office/drawing/2014/main" id="{00000000-0008-0000-0100-0000ED2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Check All Inputs and Go to Results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52</xdr:col>
          <xdr:colOff>273050</xdr:colOff>
          <xdr:row>27</xdr:row>
          <xdr:rowOff>107950</xdr:rowOff>
        </xdr:from>
        <xdr:to>
          <xdr:col>57</xdr:col>
          <xdr:colOff>254000</xdr:colOff>
          <xdr:row>34</xdr:row>
          <xdr:rowOff>146050</xdr:rowOff>
        </xdr:to>
        <xdr:sp macro="" textlink="">
          <xdr:nvSpPr>
            <xdr:cNvPr id="8433" name="Button 241" hidden="1">
              <a:extLst>
                <a:ext uri="{63B3BB69-23CF-44E3-9099-C40C66FF867C}">
                  <a14:compatExt spid="_x0000_s8433"/>
                </a:ext>
                <a:ext uri="{FF2B5EF4-FFF2-40B4-BE49-F238E27FC236}">
                  <a16:creationId xmlns:a16="http://schemas.microsoft.com/office/drawing/2014/main" id="{00000000-0008-0000-0100-0000F1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52</xdr:col>
          <xdr:colOff>457200</xdr:colOff>
          <xdr:row>50</xdr:row>
          <xdr:rowOff>25400</xdr:rowOff>
        </xdr:from>
        <xdr:to>
          <xdr:col>57</xdr:col>
          <xdr:colOff>419100</xdr:colOff>
          <xdr:row>57</xdr:row>
          <xdr:rowOff>184150</xdr:rowOff>
        </xdr:to>
        <xdr:sp macro="" textlink="">
          <xdr:nvSpPr>
            <xdr:cNvPr id="8445" name="Button 253" hidden="1">
              <a:extLst>
                <a:ext uri="{63B3BB69-23CF-44E3-9099-C40C66FF867C}">
                  <a14:compatExt spid="_x0000_s8445"/>
                </a:ext>
                <a:ext uri="{FF2B5EF4-FFF2-40B4-BE49-F238E27FC236}">
                  <a16:creationId xmlns:a16="http://schemas.microsoft.com/office/drawing/2014/main" id="{00000000-0008-0000-0100-0000FD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53</xdr:col>
          <xdr:colOff>120650</xdr:colOff>
          <xdr:row>97</xdr:row>
          <xdr:rowOff>107950</xdr:rowOff>
        </xdr:from>
        <xdr:to>
          <xdr:col>58</xdr:col>
          <xdr:colOff>101600</xdr:colOff>
          <xdr:row>105</xdr:row>
          <xdr:rowOff>31750</xdr:rowOff>
        </xdr:to>
        <xdr:sp macro="" textlink="">
          <xdr:nvSpPr>
            <xdr:cNvPr id="8447" name="Button 255" hidden="1">
              <a:extLst>
                <a:ext uri="{63B3BB69-23CF-44E3-9099-C40C66FF867C}">
                  <a14:compatExt spid="_x0000_s8447"/>
                </a:ext>
                <a:ext uri="{FF2B5EF4-FFF2-40B4-BE49-F238E27FC236}">
                  <a16:creationId xmlns:a16="http://schemas.microsoft.com/office/drawing/2014/main" id="{00000000-0008-0000-0100-0000FF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53</xdr:col>
          <xdr:colOff>38100</xdr:colOff>
          <xdr:row>146</xdr:row>
          <xdr:rowOff>82550</xdr:rowOff>
        </xdr:from>
        <xdr:to>
          <xdr:col>57</xdr:col>
          <xdr:colOff>584200</xdr:colOff>
          <xdr:row>153</xdr:row>
          <xdr:rowOff>69850</xdr:rowOff>
        </xdr:to>
        <xdr:sp macro="" textlink="">
          <xdr:nvSpPr>
            <xdr:cNvPr id="8448" name="Button 256" hidden="1">
              <a:extLst>
                <a:ext uri="{63B3BB69-23CF-44E3-9099-C40C66FF867C}">
                  <a14:compatExt spid="_x0000_s8448"/>
                </a:ext>
                <a:ext uri="{FF2B5EF4-FFF2-40B4-BE49-F238E27FC236}">
                  <a16:creationId xmlns:a16="http://schemas.microsoft.com/office/drawing/2014/main" id="{00000000-0008-0000-0100-000000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53</xdr:col>
          <xdr:colOff>469900</xdr:colOff>
          <xdr:row>186</xdr:row>
          <xdr:rowOff>177800</xdr:rowOff>
        </xdr:from>
        <xdr:to>
          <xdr:col>58</xdr:col>
          <xdr:colOff>419100</xdr:colOff>
          <xdr:row>195</xdr:row>
          <xdr:rowOff>146050</xdr:rowOff>
        </xdr:to>
        <xdr:sp macro="" textlink="">
          <xdr:nvSpPr>
            <xdr:cNvPr id="8449" name="Button 257" hidden="1">
              <a:extLst>
                <a:ext uri="{63B3BB69-23CF-44E3-9099-C40C66FF867C}">
                  <a14:compatExt spid="_x0000_s8449"/>
                </a:ext>
                <a:ext uri="{FF2B5EF4-FFF2-40B4-BE49-F238E27FC236}">
                  <a16:creationId xmlns:a16="http://schemas.microsoft.com/office/drawing/2014/main" id="{00000000-0008-0000-0100-000001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38100</xdr:colOff>
          <xdr:row>235</xdr:row>
          <xdr:rowOff>76200</xdr:rowOff>
        </xdr:from>
        <xdr:to>
          <xdr:col>58</xdr:col>
          <xdr:colOff>596900</xdr:colOff>
          <xdr:row>241</xdr:row>
          <xdr:rowOff>177800</xdr:rowOff>
        </xdr:to>
        <xdr:sp macro="" textlink="">
          <xdr:nvSpPr>
            <xdr:cNvPr id="8451" name="Button 259" hidden="1">
              <a:extLst>
                <a:ext uri="{63B3BB69-23CF-44E3-9099-C40C66FF867C}">
                  <a14:compatExt spid="_x0000_s8451"/>
                </a:ext>
                <a:ext uri="{FF2B5EF4-FFF2-40B4-BE49-F238E27FC236}">
                  <a16:creationId xmlns:a16="http://schemas.microsoft.com/office/drawing/2014/main" id="{00000000-0008-0000-0100-000003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266700</xdr:colOff>
          <xdr:row>275</xdr:row>
          <xdr:rowOff>177800</xdr:rowOff>
        </xdr:from>
        <xdr:to>
          <xdr:col>59</xdr:col>
          <xdr:colOff>228600</xdr:colOff>
          <xdr:row>282</xdr:row>
          <xdr:rowOff>177800</xdr:rowOff>
        </xdr:to>
        <xdr:sp macro="" textlink="">
          <xdr:nvSpPr>
            <xdr:cNvPr id="8453" name="Button 261" hidden="1">
              <a:extLst>
                <a:ext uri="{63B3BB69-23CF-44E3-9099-C40C66FF867C}">
                  <a14:compatExt spid="_x0000_s8453"/>
                </a:ext>
                <a:ext uri="{FF2B5EF4-FFF2-40B4-BE49-F238E27FC236}">
                  <a16:creationId xmlns:a16="http://schemas.microsoft.com/office/drawing/2014/main" id="{00000000-0008-0000-0100-000005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266700</xdr:colOff>
          <xdr:row>389</xdr:row>
          <xdr:rowOff>146050</xdr:rowOff>
        </xdr:from>
        <xdr:to>
          <xdr:col>59</xdr:col>
          <xdr:colOff>228600</xdr:colOff>
          <xdr:row>396</xdr:row>
          <xdr:rowOff>101600</xdr:rowOff>
        </xdr:to>
        <xdr:sp macro="" textlink="">
          <xdr:nvSpPr>
            <xdr:cNvPr id="8454" name="Button 262" hidden="1">
              <a:extLst>
                <a:ext uri="{63B3BB69-23CF-44E3-9099-C40C66FF867C}">
                  <a14:compatExt spid="_x0000_s8454"/>
                </a:ext>
                <a:ext uri="{FF2B5EF4-FFF2-40B4-BE49-F238E27FC236}">
                  <a16:creationId xmlns:a16="http://schemas.microsoft.com/office/drawing/2014/main" id="{00000000-0008-0000-0100-000006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266700</xdr:colOff>
          <xdr:row>438</xdr:row>
          <xdr:rowOff>101600</xdr:rowOff>
        </xdr:from>
        <xdr:to>
          <xdr:col>59</xdr:col>
          <xdr:colOff>228600</xdr:colOff>
          <xdr:row>444</xdr:row>
          <xdr:rowOff>177800</xdr:rowOff>
        </xdr:to>
        <xdr:sp macro="" textlink="">
          <xdr:nvSpPr>
            <xdr:cNvPr id="8455" name="Button 263" hidden="1">
              <a:extLst>
                <a:ext uri="{63B3BB69-23CF-44E3-9099-C40C66FF867C}">
                  <a14:compatExt spid="_x0000_s8455"/>
                </a:ext>
                <a:ext uri="{FF2B5EF4-FFF2-40B4-BE49-F238E27FC236}">
                  <a16:creationId xmlns:a16="http://schemas.microsoft.com/office/drawing/2014/main" id="{00000000-0008-0000-0100-000007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139700</xdr:colOff>
          <xdr:row>490</xdr:row>
          <xdr:rowOff>177800</xdr:rowOff>
        </xdr:from>
        <xdr:to>
          <xdr:col>59</xdr:col>
          <xdr:colOff>101600</xdr:colOff>
          <xdr:row>497</xdr:row>
          <xdr:rowOff>76200</xdr:rowOff>
        </xdr:to>
        <xdr:sp macro="" textlink="">
          <xdr:nvSpPr>
            <xdr:cNvPr id="8456" name="Button 264" hidden="1">
              <a:extLst>
                <a:ext uri="{63B3BB69-23CF-44E3-9099-C40C66FF867C}">
                  <a14:compatExt spid="_x0000_s8456"/>
                </a:ext>
                <a:ext uri="{FF2B5EF4-FFF2-40B4-BE49-F238E27FC236}">
                  <a16:creationId xmlns:a16="http://schemas.microsoft.com/office/drawing/2014/main" id="{00000000-0008-0000-0100-000008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266700</xdr:colOff>
          <xdr:row>527</xdr:row>
          <xdr:rowOff>177800</xdr:rowOff>
        </xdr:from>
        <xdr:to>
          <xdr:col>59</xdr:col>
          <xdr:colOff>228600</xdr:colOff>
          <xdr:row>534</xdr:row>
          <xdr:rowOff>146050</xdr:rowOff>
        </xdr:to>
        <xdr:sp macro="" textlink="">
          <xdr:nvSpPr>
            <xdr:cNvPr id="8458" name="Button 266" hidden="1">
              <a:extLst>
                <a:ext uri="{63B3BB69-23CF-44E3-9099-C40C66FF867C}">
                  <a14:compatExt spid="_x0000_s8458"/>
                </a:ext>
                <a:ext uri="{FF2B5EF4-FFF2-40B4-BE49-F238E27FC236}">
                  <a16:creationId xmlns:a16="http://schemas.microsoft.com/office/drawing/2014/main" id="{00000000-0008-0000-0100-00000A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266700</xdr:colOff>
          <xdr:row>546</xdr:row>
          <xdr:rowOff>177800</xdr:rowOff>
        </xdr:from>
        <xdr:to>
          <xdr:col>59</xdr:col>
          <xdr:colOff>228600</xdr:colOff>
          <xdr:row>553</xdr:row>
          <xdr:rowOff>146050</xdr:rowOff>
        </xdr:to>
        <xdr:sp macro="" textlink="">
          <xdr:nvSpPr>
            <xdr:cNvPr id="8459" name="Button 267" hidden="1">
              <a:extLst>
                <a:ext uri="{63B3BB69-23CF-44E3-9099-C40C66FF867C}">
                  <a14:compatExt spid="_x0000_s8459"/>
                </a:ext>
                <a:ext uri="{FF2B5EF4-FFF2-40B4-BE49-F238E27FC236}">
                  <a16:creationId xmlns:a16="http://schemas.microsoft.com/office/drawing/2014/main" id="{00000000-0008-0000-0100-00000B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330200</xdr:colOff>
          <xdr:row>583</xdr:row>
          <xdr:rowOff>76200</xdr:rowOff>
        </xdr:from>
        <xdr:to>
          <xdr:col>59</xdr:col>
          <xdr:colOff>273050</xdr:colOff>
          <xdr:row>590</xdr:row>
          <xdr:rowOff>76200</xdr:rowOff>
        </xdr:to>
        <xdr:sp macro="" textlink="">
          <xdr:nvSpPr>
            <xdr:cNvPr id="8460" name="Button 268" hidden="1">
              <a:extLst>
                <a:ext uri="{63B3BB69-23CF-44E3-9099-C40C66FF867C}">
                  <a14:compatExt spid="_x0000_s8460"/>
                </a:ext>
                <a:ext uri="{FF2B5EF4-FFF2-40B4-BE49-F238E27FC236}">
                  <a16:creationId xmlns:a16="http://schemas.microsoft.com/office/drawing/2014/main" id="{00000000-0008-0000-0100-00000C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330200</xdr:colOff>
          <xdr:row>603</xdr:row>
          <xdr:rowOff>177800</xdr:rowOff>
        </xdr:from>
        <xdr:to>
          <xdr:col>59</xdr:col>
          <xdr:colOff>273050</xdr:colOff>
          <xdr:row>610</xdr:row>
          <xdr:rowOff>146050</xdr:rowOff>
        </xdr:to>
        <xdr:sp macro="" textlink="">
          <xdr:nvSpPr>
            <xdr:cNvPr id="8461" name="Button 269" hidden="1">
              <a:extLst>
                <a:ext uri="{63B3BB69-23CF-44E3-9099-C40C66FF867C}">
                  <a14:compatExt spid="_x0000_s8461"/>
                </a:ext>
                <a:ext uri="{FF2B5EF4-FFF2-40B4-BE49-F238E27FC236}">
                  <a16:creationId xmlns:a16="http://schemas.microsoft.com/office/drawing/2014/main" id="{00000000-0008-0000-0100-00000D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431800</xdr:colOff>
          <xdr:row>628</xdr:row>
          <xdr:rowOff>76200</xdr:rowOff>
        </xdr:from>
        <xdr:to>
          <xdr:col>59</xdr:col>
          <xdr:colOff>419100</xdr:colOff>
          <xdr:row>634</xdr:row>
          <xdr:rowOff>146050</xdr:rowOff>
        </xdr:to>
        <xdr:sp macro="" textlink="">
          <xdr:nvSpPr>
            <xdr:cNvPr id="8462" name="Button 270" hidden="1">
              <a:extLst>
                <a:ext uri="{63B3BB69-23CF-44E3-9099-C40C66FF867C}">
                  <a14:compatExt spid="_x0000_s8462"/>
                </a:ext>
                <a:ext uri="{FF2B5EF4-FFF2-40B4-BE49-F238E27FC236}">
                  <a16:creationId xmlns:a16="http://schemas.microsoft.com/office/drawing/2014/main" id="{00000000-0008-0000-0100-00000E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571500</xdr:colOff>
          <xdr:row>666</xdr:row>
          <xdr:rowOff>177800</xdr:rowOff>
        </xdr:from>
        <xdr:to>
          <xdr:col>59</xdr:col>
          <xdr:colOff>533400</xdr:colOff>
          <xdr:row>673</xdr:row>
          <xdr:rowOff>146050</xdr:rowOff>
        </xdr:to>
        <xdr:sp macro="" textlink="">
          <xdr:nvSpPr>
            <xdr:cNvPr id="8463" name="Button 271" hidden="1">
              <a:extLst>
                <a:ext uri="{63B3BB69-23CF-44E3-9099-C40C66FF867C}">
                  <a14:compatExt spid="_x0000_s8463"/>
                </a:ext>
                <a:ext uri="{FF2B5EF4-FFF2-40B4-BE49-F238E27FC236}">
                  <a16:creationId xmlns:a16="http://schemas.microsoft.com/office/drawing/2014/main" id="{00000000-0008-0000-0100-00000F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431800</xdr:colOff>
          <xdr:row>706</xdr:row>
          <xdr:rowOff>76200</xdr:rowOff>
        </xdr:from>
        <xdr:to>
          <xdr:col>59</xdr:col>
          <xdr:colOff>419100</xdr:colOff>
          <xdr:row>712</xdr:row>
          <xdr:rowOff>177800</xdr:rowOff>
        </xdr:to>
        <xdr:sp macro="" textlink="">
          <xdr:nvSpPr>
            <xdr:cNvPr id="8464" name="Button 272" hidden="1">
              <a:extLst>
                <a:ext uri="{63B3BB69-23CF-44E3-9099-C40C66FF867C}">
                  <a14:compatExt spid="_x0000_s8464"/>
                </a:ext>
                <a:ext uri="{FF2B5EF4-FFF2-40B4-BE49-F238E27FC236}">
                  <a16:creationId xmlns:a16="http://schemas.microsoft.com/office/drawing/2014/main" id="{00000000-0008-0000-0100-000010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431800</xdr:colOff>
          <xdr:row>724</xdr:row>
          <xdr:rowOff>76200</xdr:rowOff>
        </xdr:from>
        <xdr:to>
          <xdr:col>59</xdr:col>
          <xdr:colOff>419100</xdr:colOff>
          <xdr:row>730</xdr:row>
          <xdr:rowOff>177800</xdr:rowOff>
        </xdr:to>
        <xdr:sp macro="" textlink="">
          <xdr:nvSpPr>
            <xdr:cNvPr id="8465" name="Button 273" hidden="1">
              <a:extLst>
                <a:ext uri="{63B3BB69-23CF-44E3-9099-C40C66FF867C}">
                  <a14:compatExt spid="_x0000_s8465"/>
                </a:ext>
                <a:ext uri="{FF2B5EF4-FFF2-40B4-BE49-F238E27FC236}">
                  <a16:creationId xmlns:a16="http://schemas.microsoft.com/office/drawing/2014/main" id="{00000000-0008-0000-0100-000011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55</xdr:col>
          <xdr:colOff>0</xdr:colOff>
          <xdr:row>794</xdr:row>
          <xdr:rowOff>101600</xdr:rowOff>
        </xdr:from>
        <xdr:to>
          <xdr:col>59</xdr:col>
          <xdr:colOff>596900</xdr:colOff>
          <xdr:row>801</xdr:row>
          <xdr:rowOff>25400</xdr:rowOff>
        </xdr:to>
        <xdr:sp macro="" textlink="">
          <xdr:nvSpPr>
            <xdr:cNvPr id="8467" name="Button 275" hidden="1">
              <a:extLst>
                <a:ext uri="{63B3BB69-23CF-44E3-9099-C40C66FF867C}">
                  <a14:compatExt spid="_x0000_s8467"/>
                </a:ext>
                <a:ext uri="{FF2B5EF4-FFF2-40B4-BE49-F238E27FC236}">
                  <a16:creationId xmlns:a16="http://schemas.microsoft.com/office/drawing/2014/main" id="{00000000-0008-0000-0100-000013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571500</xdr:colOff>
          <xdr:row>829</xdr:row>
          <xdr:rowOff>146050</xdr:rowOff>
        </xdr:from>
        <xdr:to>
          <xdr:col>59</xdr:col>
          <xdr:colOff>533400</xdr:colOff>
          <xdr:row>836</xdr:row>
          <xdr:rowOff>101600</xdr:rowOff>
        </xdr:to>
        <xdr:sp macro="" textlink="">
          <xdr:nvSpPr>
            <xdr:cNvPr id="8468" name="Button 276" hidden="1">
              <a:extLst>
                <a:ext uri="{63B3BB69-23CF-44E3-9099-C40C66FF867C}">
                  <a14:compatExt spid="_x0000_s8468"/>
                </a:ext>
                <a:ext uri="{FF2B5EF4-FFF2-40B4-BE49-F238E27FC236}">
                  <a16:creationId xmlns:a16="http://schemas.microsoft.com/office/drawing/2014/main" id="{00000000-0008-0000-0100-000014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54</xdr:col>
          <xdr:colOff>571500</xdr:colOff>
          <xdr:row>859</xdr:row>
          <xdr:rowOff>146050</xdr:rowOff>
        </xdr:from>
        <xdr:to>
          <xdr:col>59</xdr:col>
          <xdr:colOff>533400</xdr:colOff>
          <xdr:row>866</xdr:row>
          <xdr:rowOff>25400</xdr:rowOff>
        </xdr:to>
        <xdr:sp macro="" textlink="">
          <xdr:nvSpPr>
            <xdr:cNvPr id="8469" name="Button 277" hidden="1">
              <a:extLst>
                <a:ext uri="{63B3BB69-23CF-44E3-9099-C40C66FF867C}">
                  <a14:compatExt spid="_x0000_s8469"/>
                </a:ext>
                <a:ext uri="{FF2B5EF4-FFF2-40B4-BE49-F238E27FC236}">
                  <a16:creationId xmlns:a16="http://schemas.microsoft.com/office/drawing/2014/main" id="{00000000-0008-0000-0100-000015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55</xdr:col>
          <xdr:colOff>0</xdr:colOff>
          <xdr:row>892</xdr:row>
          <xdr:rowOff>25400</xdr:rowOff>
        </xdr:from>
        <xdr:to>
          <xdr:col>59</xdr:col>
          <xdr:colOff>596900</xdr:colOff>
          <xdr:row>898</xdr:row>
          <xdr:rowOff>177800</xdr:rowOff>
        </xdr:to>
        <xdr:sp macro="" textlink="">
          <xdr:nvSpPr>
            <xdr:cNvPr id="8470" name="Button 278" hidden="1">
              <a:extLst>
                <a:ext uri="{63B3BB69-23CF-44E3-9099-C40C66FF867C}">
                  <a14:compatExt spid="_x0000_s8470"/>
                </a:ext>
                <a:ext uri="{FF2B5EF4-FFF2-40B4-BE49-F238E27FC236}">
                  <a16:creationId xmlns:a16="http://schemas.microsoft.com/office/drawing/2014/main" id="{00000000-0008-0000-0100-000016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55</xdr:col>
          <xdr:colOff>311150</xdr:colOff>
          <xdr:row>919</xdr:row>
          <xdr:rowOff>76200</xdr:rowOff>
        </xdr:from>
        <xdr:to>
          <xdr:col>60</xdr:col>
          <xdr:colOff>273050</xdr:colOff>
          <xdr:row>925</xdr:row>
          <xdr:rowOff>146050</xdr:rowOff>
        </xdr:to>
        <xdr:sp macro="" textlink="">
          <xdr:nvSpPr>
            <xdr:cNvPr id="8471" name="Button 279" hidden="1">
              <a:extLst>
                <a:ext uri="{63B3BB69-23CF-44E3-9099-C40C66FF867C}">
                  <a14:compatExt spid="_x0000_s8471"/>
                </a:ext>
                <a:ext uri="{FF2B5EF4-FFF2-40B4-BE49-F238E27FC236}">
                  <a16:creationId xmlns:a16="http://schemas.microsoft.com/office/drawing/2014/main" id="{00000000-0008-0000-0100-000017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55</xdr:col>
          <xdr:colOff>444500</xdr:colOff>
          <xdr:row>948</xdr:row>
          <xdr:rowOff>146050</xdr:rowOff>
        </xdr:from>
        <xdr:to>
          <xdr:col>60</xdr:col>
          <xdr:colOff>387350</xdr:colOff>
          <xdr:row>955</xdr:row>
          <xdr:rowOff>76200</xdr:rowOff>
        </xdr:to>
        <xdr:sp macro="" textlink="">
          <xdr:nvSpPr>
            <xdr:cNvPr id="8472" name="Button 280" hidden="1">
              <a:extLst>
                <a:ext uri="{63B3BB69-23CF-44E3-9099-C40C66FF867C}">
                  <a14:compatExt spid="_x0000_s8472"/>
                </a:ext>
                <a:ext uri="{FF2B5EF4-FFF2-40B4-BE49-F238E27FC236}">
                  <a16:creationId xmlns:a16="http://schemas.microsoft.com/office/drawing/2014/main" id="{00000000-0008-0000-0100-000018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158750</xdr:colOff>
          <xdr:row>155</xdr:row>
          <xdr:rowOff>139700</xdr:rowOff>
        </xdr:from>
        <xdr:to>
          <xdr:col>4</xdr:col>
          <xdr:colOff>1377950</xdr:colOff>
          <xdr:row>157</xdr:row>
          <xdr:rowOff>342900</xdr:rowOff>
        </xdr:to>
        <xdr:sp macro="" textlink="">
          <xdr:nvSpPr>
            <xdr:cNvPr id="8474" name="Button 282" hidden="1">
              <a:extLst>
                <a:ext uri="{63B3BB69-23CF-44E3-9099-C40C66FF867C}">
                  <a14:compatExt spid="_x0000_s8474"/>
                </a:ext>
                <a:ext uri="{FF2B5EF4-FFF2-40B4-BE49-F238E27FC236}">
                  <a16:creationId xmlns:a16="http://schemas.microsoft.com/office/drawing/2014/main" id="{00000000-0008-0000-0100-00001A21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Check All Inputs and Go to Results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49</xdr:row>
          <xdr:rowOff>101600</xdr:rowOff>
        </xdr:from>
        <xdr:to>
          <xdr:col>2</xdr:col>
          <xdr:colOff>2698750</xdr:colOff>
          <xdr:row>50</xdr:row>
          <xdr:rowOff>114300</xdr:rowOff>
        </xdr:to>
        <xdr:sp macro="" textlink="">
          <xdr:nvSpPr>
            <xdr:cNvPr id="8541" name="Button 349" hidden="1">
              <a:extLst>
                <a:ext uri="{63B3BB69-23CF-44E3-9099-C40C66FF867C}">
                  <a14:compatExt spid="_x0000_s8541"/>
                </a:ext>
                <a:ext uri="{FF2B5EF4-FFF2-40B4-BE49-F238E27FC236}">
                  <a16:creationId xmlns:a16="http://schemas.microsoft.com/office/drawing/2014/main" id="{00000000-0008-0000-0100-00005D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1549400</xdr:colOff>
          <xdr:row>56</xdr:row>
          <xdr:rowOff>63500</xdr:rowOff>
        </xdr:from>
        <xdr:to>
          <xdr:col>1</xdr:col>
          <xdr:colOff>825500</xdr:colOff>
          <xdr:row>57</xdr:row>
          <xdr:rowOff>82550</xdr:rowOff>
        </xdr:to>
        <xdr:sp macro="" textlink="">
          <xdr:nvSpPr>
            <xdr:cNvPr id="8542" name="Button 350" hidden="1">
              <a:extLst>
                <a:ext uri="{63B3BB69-23CF-44E3-9099-C40C66FF867C}">
                  <a14:compatExt spid="_x0000_s8542"/>
                </a:ext>
                <a:ext uri="{FF2B5EF4-FFF2-40B4-BE49-F238E27FC236}">
                  <a16:creationId xmlns:a16="http://schemas.microsoft.com/office/drawing/2014/main" id="{00000000-0008-0000-0100-00005E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an efficiency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57</xdr:row>
          <xdr:rowOff>0</xdr:rowOff>
        </xdr:from>
        <xdr:to>
          <xdr:col>2</xdr:col>
          <xdr:colOff>2711450</xdr:colOff>
          <xdr:row>58</xdr:row>
          <xdr:rowOff>25400</xdr:rowOff>
        </xdr:to>
        <xdr:sp macro="" textlink="">
          <xdr:nvSpPr>
            <xdr:cNvPr id="8543" name="Button 351" hidden="1">
              <a:extLst>
                <a:ext uri="{63B3BB69-23CF-44E3-9099-C40C66FF867C}">
                  <a14:compatExt spid="_x0000_s8543"/>
                </a:ext>
                <a:ext uri="{FF2B5EF4-FFF2-40B4-BE49-F238E27FC236}">
                  <a16:creationId xmlns:a16="http://schemas.microsoft.com/office/drawing/2014/main" id="{00000000-0008-0000-0100-00005F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939800</xdr:colOff>
          <xdr:row>56</xdr:row>
          <xdr:rowOff>63500</xdr:rowOff>
        </xdr:from>
        <xdr:to>
          <xdr:col>2</xdr:col>
          <xdr:colOff>1130300</xdr:colOff>
          <xdr:row>57</xdr:row>
          <xdr:rowOff>82550</xdr:rowOff>
        </xdr:to>
        <xdr:sp macro="" textlink="">
          <xdr:nvSpPr>
            <xdr:cNvPr id="8545" name="Button 353" hidden="1">
              <a:extLst>
                <a:ext uri="{63B3BB69-23CF-44E3-9099-C40C66FF867C}">
                  <a14:compatExt spid="_x0000_s8545"/>
                </a:ext>
                <a:ext uri="{FF2B5EF4-FFF2-40B4-BE49-F238E27FC236}">
                  <a16:creationId xmlns:a16="http://schemas.microsoft.com/office/drawing/2014/main" id="{00000000-0008-0000-0100-000061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Use default for this technology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215900</xdr:colOff>
          <xdr:row>38</xdr:row>
          <xdr:rowOff>63500</xdr:rowOff>
        </xdr:from>
        <xdr:to>
          <xdr:col>2</xdr:col>
          <xdr:colOff>1682750</xdr:colOff>
          <xdr:row>40</xdr:row>
          <xdr:rowOff>139700</xdr:rowOff>
        </xdr:to>
        <xdr:sp macro="" textlink="">
          <xdr:nvSpPr>
            <xdr:cNvPr id="8557" name="Button 365" hidden="1">
              <a:extLst>
                <a:ext uri="{63B3BB69-23CF-44E3-9099-C40C66FF867C}">
                  <a14:compatExt spid="_x0000_s8557"/>
                </a:ext>
                <a:ext uri="{FF2B5EF4-FFF2-40B4-BE49-F238E27FC236}">
                  <a16:creationId xmlns:a16="http://schemas.microsoft.com/office/drawing/2014/main" id="{00000000-0008-0000-0100-00006D2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View biomass and coal fuel characteristics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6350</xdr:colOff>
          <xdr:row>152</xdr:row>
          <xdr:rowOff>184150</xdr:rowOff>
        </xdr:from>
        <xdr:to>
          <xdr:col>1</xdr:col>
          <xdr:colOff>2057400</xdr:colOff>
          <xdr:row>154</xdr:row>
          <xdr:rowOff>0</xdr:rowOff>
        </xdr:to>
        <xdr:sp macro="" textlink="">
          <xdr:nvSpPr>
            <xdr:cNvPr id="8688" name="Drop Down 496" hidden="1">
              <a:extLst>
                <a:ext uri="{63B3BB69-23CF-44E3-9099-C40C66FF867C}">
                  <a14:compatExt spid="_x0000_s8688"/>
                </a:ext>
                <a:ext uri="{FF2B5EF4-FFF2-40B4-BE49-F238E27FC236}">
                  <a16:creationId xmlns:a16="http://schemas.microsoft.com/office/drawing/2014/main" id="{00000000-0008-0000-0100-0000F02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11</xdr:row>
          <xdr:rowOff>120650</xdr:rowOff>
        </xdr:from>
        <xdr:to>
          <xdr:col>2</xdr:col>
          <xdr:colOff>2743200</xdr:colOff>
          <xdr:row>12</xdr:row>
          <xdr:rowOff>139700</xdr:rowOff>
        </xdr:to>
        <xdr:sp macro="" textlink="">
          <xdr:nvSpPr>
            <xdr:cNvPr id="8446" name="Button 254" hidden="1">
              <a:extLst>
                <a:ext uri="{63B3BB69-23CF-44E3-9099-C40C66FF867C}">
                  <a14:compatExt spid="_x0000_s8446"/>
                </a:ext>
                <a:ext uri="{FF2B5EF4-FFF2-40B4-BE49-F238E27FC236}">
                  <a16:creationId xmlns:a16="http://schemas.microsoft.com/office/drawing/2014/main" id="{00000000-0008-0000-0100-0000FE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7</xdr:row>
          <xdr:rowOff>25400</xdr:rowOff>
        </xdr:from>
        <xdr:to>
          <xdr:col>2</xdr:col>
          <xdr:colOff>2768600</xdr:colOff>
          <xdr:row>8</xdr:row>
          <xdr:rowOff>38100</xdr:rowOff>
        </xdr:to>
        <xdr:sp macro="" textlink="">
          <xdr:nvSpPr>
            <xdr:cNvPr id="8992" name="Button 800" hidden="1">
              <a:extLst>
                <a:ext uri="{63B3BB69-23CF-44E3-9099-C40C66FF867C}">
                  <a14:compatExt spid="_x0000_s8992"/>
                </a:ext>
                <a:ext uri="{FF2B5EF4-FFF2-40B4-BE49-F238E27FC236}">
                  <a16:creationId xmlns:a16="http://schemas.microsoft.com/office/drawing/2014/main" id="{00000000-0008-0000-0100-00002023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3</xdr:row>
          <xdr:rowOff>25400</xdr:rowOff>
        </xdr:from>
        <xdr:to>
          <xdr:col>2</xdr:col>
          <xdr:colOff>2768600</xdr:colOff>
          <xdr:row>4</xdr:row>
          <xdr:rowOff>0</xdr:rowOff>
        </xdr:to>
        <xdr:sp macro="" textlink="">
          <xdr:nvSpPr>
            <xdr:cNvPr id="8993" name="Button 801" hidden="1">
              <a:extLst>
                <a:ext uri="{63B3BB69-23CF-44E3-9099-C40C66FF867C}">
                  <a14:compatExt spid="_x0000_s8993"/>
                </a:ext>
                <a:ext uri="{FF2B5EF4-FFF2-40B4-BE49-F238E27FC236}">
                  <a16:creationId xmlns:a16="http://schemas.microsoft.com/office/drawing/2014/main" id="{00000000-0008-0000-0100-00002123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15</xdr:row>
          <xdr:rowOff>158750</xdr:rowOff>
        </xdr:from>
        <xdr:to>
          <xdr:col>2</xdr:col>
          <xdr:colOff>2730500</xdr:colOff>
          <xdr:row>16</xdr:row>
          <xdr:rowOff>177800</xdr:rowOff>
        </xdr:to>
        <xdr:sp macro="" textlink="">
          <xdr:nvSpPr>
            <xdr:cNvPr id="8994" name="Button 802" hidden="1">
              <a:extLst>
                <a:ext uri="{63B3BB69-23CF-44E3-9099-C40C66FF867C}">
                  <a14:compatExt spid="_x0000_s8994"/>
                </a:ext>
                <a:ext uri="{FF2B5EF4-FFF2-40B4-BE49-F238E27FC236}">
                  <a16:creationId xmlns:a16="http://schemas.microsoft.com/office/drawing/2014/main" id="{00000000-0008-0000-0100-00002223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26</xdr:row>
          <xdr:rowOff>139700</xdr:rowOff>
        </xdr:from>
        <xdr:to>
          <xdr:col>2</xdr:col>
          <xdr:colOff>2711450</xdr:colOff>
          <xdr:row>27</xdr:row>
          <xdr:rowOff>152400</xdr:rowOff>
        </xdr:to>
        <xdr:sp macro="" textlink="">
          <xdr:nvSpPr>
            <xdr:cNvPr id="8995" name="Button 803" hidden="1">
              <a:extLst>
                <a:ext uri="{63B3BB69-23CF-44E3-9099-C40C66FF867C}">
                  <a14:compatExt spid="_x0000_s8995"/>
                </a:ext>
                <a:ext uri="{FF2B5EF4-FFF2-40B4-BE49-F238E27FC236}">
                  <a16:creationId xmlns:a16="http://schemas.microsoft.com/office/drawing/2014/main" id="{00000000-0008-0000-0100-00002323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39</xdr:row>
          <xdr:rowOff>6350</xdr:rowOff>
        </xdr:from>
        <xdr:to>
          <xdr:col>2</xdr:col>
          <xdr:colOff>2711450</xdr:colOff>
          <xdr:row>39</xdr:row>
          <xdr:rowOff>234950</xdr:rowOff>
        </xdr:to>
        <xdr:sp macro="" textlink="">
          <xdr:nvSpPr>
            <xdr:cNvPr id="8996" name="Button 804" hidden="1">
              <a:extLst>
                <a:ext uri="{63B3BB69-23CF-44E3-9099-C40C66FF867C}">
                  <a14:compatExt spid="_x0000_s8996"/>
                </a:ext>
                <a:ext uri="{FF2B5EF4-FFF2-40B4-BE49-F238E27FC236}">
                  <a16:creationId xmlns:a16="http://schemas.microsoft.com/office/drawing/2014/main" id="{00000000-0008-0000-0100-00002423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190</xdr:row>
          <xdr:rowOff>177800</xdr:rowOff>
        </xdr:from>
        <xdr:to>
          <xdr:col>2</xdr:col>
          <xdr:colOff>2705100</xdr:colOff>
          <xdr:row>192</xdr:row>
          <xdr:rowOff>25400</xdr:rowOff>
        </xdr:to>
        <xdr:sp macro="" textlink="">
          <xdr:nvSpPr>
            <xdr:cNvPr id="9028" name="Button 836" hidden="1">
              <a:extLst>
                <a:ext uri="{63B3BB69-23CF-44E3-9099-C40C66FF867C}">
                  <a14:compatExt spid="_x0000_s9028"/>
                </a:ext>
                <a:ext uri="{FF2B5EF4-FFF2-40B4-BE49-F238E27FC236}">
                  <a16:creationId xmlns:a16="http://schemas.microsoft.com/office/drawing/2014/main" id="{00000000-0008-0000-0100-00004423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44</xdr:row>
          <xdr:rowOff>0</xdr:rowOff>
        </xdr:from>
        <xdr:to>
          <xdr:col>2</xdr:col>
          <xdr:colOff>2711450</xdr:colOff>
          <xdr:row>45</xdr:row>
          <xdr:rowOff>25400</xdr:rowOff>
        </xdr:to>
        <xdr:sp macro="" textlink="">
          <xdr:nvSpPr>
            <xdr:cNvPr id="43208" name="Button 1224" hidden="1">
              <a:extLst>
                <a:ext uri="{63B3BB69-23CF-44E3-9099-C40C66FF867C}">
                  <a14:compatExt spid="_x0000_s43208"/>
                </a:ext>
                <a:ext uri="{FF2B5EF4-FFF2-40B4-BE49-F238E27FC236}">
                  <a16:creationId xmlns:a16="http://schemas.microsoft.com/office/drawing/2014/main" id="{00000000-0008-0000-0100-0000C8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62</xdr:row>
          <xdr:rowOff>25400</xdr:rowOff>
        </xdr:from>
        <xdr:to>
          <xdr:col>2</xdr:col>
          <xdr:colOff>2698750</xdr:colOff>
          <xdr:row>63</xdr:row>
          <xdr:rowOff>38100</xdr:rowOff>
        </xdr:to>
        <xdr:sp macro="" textlink="">
          <xdr:nvSpPr>
            <xdr:cNvPr id="43210" name="Button 1226" hidden="1">
              <a:extLst>
                <a:ext uri="{63B3BB69-23CF-44E3-9099-C40C66FF867C}">
                  <a14:compatExt spid="_x0000_s43210"/>
                </a:ext>
                <a:ext uri="{FF2B5EF4-FFF2-40B4-BE49-F238E27FC236}">
                  <a16:creationId xmlns:a16="http://schemas.microsoft.com/office/drawing/2014/main" id="{00000000-0008-0000-0100-0000CA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79</xdr:row>
          <xdr:rowOff>44450</xdr:rowOff>
        </xdr:from>
        <xdr:to>
          <xdr:col>2</xdr:col>
          <xdr:colOff>2705100</xdr:colOff>
          <xdr:row>80</xdr:row>
          <xdr:rowOff>6350</xdr:rowOff>
        </xdr:to>
        <xdr:sp macro="" textlink="">
          <xdr:nvSpPr>
            <xdr:cNvPr id="43213" name="Button 1229" hidden="1">
              <a:extLst>
                <a:ext uri="{63B3BB69-23CF-44E3-9099-C40C66FF867C}">
                  <a14:compatExt spid="_x0000_s43213"/>
                </a:ext>
                <a:ext uri="{FF2B5EF4-FFF2-40B4-BE49-F238E27FC236}">
                  <a16:creationId xmlns:a16="http://schemas.microsoft.com/office/drawing/2014/main" id="{00000000-0008-0000-0100-0000CD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83</xdr:row>
          <xdr:rowOff>25400</xdr:rowOff>
        </xdr:from>
        <xdr:to>
          <xdr:col>2</xdr:col>
          <xdr:colOff>2698750</xdr:colOff>
          <xdr:row>84</xdr:row>
          <xdr:rowOff>38100</xdr:rowOff>
        </xdr:to>
        <xdr:sp macro="" textlink="">
          <xdr:nvSpPr>
            <xdr:cNvPr id="43214" name="Button 1230" hidden="1">
              <a:extLst>
                <a:ext uri="{63B3BB69-23CF-44E3-9099-C40C66FF867C}">
                  <a14:compatExt spid="_x0000_s43214"/>
                </a:ext>
                <a:ext uri="{FF2B5EF4-FFF2-40B4-BE49-F238E27FC236}">
                  <a16:creationId xmlns:a16="http://schemas.microsoft.com/office/drawing/2014/main" id="{00000000-0008-0000-0100-0000CE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72</xdr:row>
          <xdr:rowOff>107950</xdr:rowOff>
        </xdr:from>
        <xdr:to>
          <xdr:col>2</xdr:col>
          <xdr:colOff>2705100</xdr:colOff>
          <xdr:row>73</xdr:row>
          <xdr:rowOff>120650</xdr:rowOff>
        </xdr:to>
        <xdr:sp macro="" textlink="">
          <xdr:nvSpPr>
            <xdr:cNvPr id="43215" name="Button 1231" hidden="1">
              <a:extLst>
                <a:ext uri="{63B3BB69-23CF-44E3-9099-C40C66FF867C}">
                  <a14:compatExt spid="_x0000_s43215"/>
                </a:ext>
                <a:ext uri="{FF2B5EF4-FFF2-40B4-BE49-F238E27FC236}">
                  <a16:creationId xmlns:a16="http://schemas.microsoft.com/office/drawing/2014/main" id="{00000000-0008-0000-0100-0000CF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93</xdr:row>
          <xdr:rowOff>101600</xdr:rowOff>
        </xdr:from>
        <xdr:to>
          <xdr:col>2</xdr:col>
          <xdr:colOff>2705100</xdr:colOff>
          <xdr:row>94</xdr:row>
          <xdr:rowOff>114300</xdr:rowOff>
        </xdr:to>
        <xdr:sp macro="" textlink="">
          <xdr:nvSpPr>
            <xdr:cNvPr id="43219" name="Button 1235" hidden="1">
              <a:extLst>
                <a:ext uri="{63B3BB69-23CF-44E3-9099-C40C66FF867C}">
                  <a14:compatExt spid="_x0000_s43219"/>
                </a:ext>
                <a:ext uri="{FF2B5EF4-FFF2-40B4-BE49-F238E27FC236}">
                  <a16:creationId xmlns:a16="http://schemas.microsoft.com/office/drawing/2014/main" id="{00000000-0008-0000-0100-0000D3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97</xdr:row>
          <xdr:rowOff>25400</xdr:rowOff>
        </xdr:from>
        <xdr:to>
          <xdr:col>2</xdr:col>
          <xdr:colOff>2711450</xdr:colOff>
          <xdr:row>97</xdr:row>
          <xdr:rowOff>254000</xdr:rowOff>
        </xdr:to>
        <xdr:sp macro="" textlink="">
          <xdr:nvSpPr>
            <xdr:cNvPr id="43221" name="Button 1237" hidden="1">
              <a:extLst>
                <a:ext uri="{63B3BB69-23CF-44E3-9099-C40C66FF867C}">
                  <a14:compatExt spid="_x0000_s43221"/>
                </a:ext>
                <a:ext uri="{FF2B5EF4-FFF2-40B4-BE49-F238E27FC236}">
                  <a16:creationId xmlns:a16="http://schemas.microsoft.com/office/drawing/2014/main" id="{00000000-0008-0000-0100-0000D5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102</xdr:row>
          <xdr:rowOff>190500</xdr:rowOff>
        </xdr:from>
        <xdr:to>
          <xdr:col>2</xdr:col>
          <xdr:colOff>2705100</xdr:colOff>
          <xdr:row>104</xdr:row>
          <xdr:rowOff>0</xdr:rowOff>
        </xdr:to>
        <xdr:sp macro="" textlink="">
          <xdr:nvSpPr>
            <xdr:cNvPr id="43223" name="Button 1239" hidden="1">
              <a:extLst>
                <a:ext uri="{63B3BB69-23CF-44E3-9099-C40C66FF867C}">
                  <a14:compatExt spid="_x0000_s43223"/>
                </a:ext>
                <a:ext uri="{FF2B5EF4-FFF2-40B4-BE49-F238E27FC236}">
                  <a16:creationId xmlns:a16="http://schemas.microsoft.com/office/drawing/2014/main" id="{00000000-0008-0000-0100-0000D7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110</xdr:row>
          <xdr:rowOff>0</xdr:rowOff>
        </xdr:from>
        <xdr:to>
          <xdr:col>2</xdr:col>
          <xdr:colOff>2711450</xdr:colOff>
          <xdr:row>110</xdr:row>
          <xdr:rowOff>228600</xdr:rowOff>
        </xdr:to>
        <xdr:sp macro="" textlink="">
          <xdr:nvSpPr>
            <xdr:cNvPr id="43224" name="Button 1240" hidden="1">
              <a:extLst>
                <a:ext uri="{63B3BB69-23CF-44E3-9099-C40C66FF867C}">
                  <a14:compatExt spid="_x0000_s43224"/>
                </a:ext>
                <a:ext uri="{FF2B5EF4-FFF2-40B4-BE49-F238E27FC236}">
                  <a16:creationId xmlns:a16="http://schemas.microsoft.com/office/drawing/2014/main" id="{00000000-0008-0000-0100-0000D8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147</xdr:row>
          <xdr:rowOff>190500</xdr:rowOff>
        </xdr:from>
        <xdr:to>
          <xdr:col>2</xdr:col>
          <xdr:colOff>2711450</xdr:colOff>
          <xdr:row>148</xdr:row>
          <xdr:rowOff>215900</xdr:rowOff>
        </xdr:to>
        <xdr:sp macro="" textlink="">
          <xdr:nvSpPr>
            <xdr:cNvPr id="43231" name="Button 1247" hidden="1">
              <a:extLst>
                <a:ext uri="{63B3BB69-23CF-44E3-9099-C40C66FF867C}">
                  <a14:compatExt spid="_x0000_s43231"/>
                </a:ext>
                <a:ext uri="{FF2B5EF4-FFF2-40B4-BE49-F238E27FC236}">
                  <a16:creationId xmlns:a16="http://schemas.microsoft.com/office/drawing/2014/main" id="{00000000-0008-0000-0100-0000DF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120650</xdr:colOff>
          <xdr:row>142</xdr:row>
          <xdr:rowOff>114300</xdr:rowOff>
        </xdr:from>
        <xdr:to>
          <xdr:col>2</xdr:col>
          <xdr:colOff>1746250</xdr:colOff>
          <xdr:row>144</xdr:row>
          <xdr:rowOff>177800</xdr:rowOff>
        </xdr:to>
        <xdr:sp macro="" textlink="">
          <xdr:nvSpPr>
            <xdr:cNvPr id="43232" name="Button 1248" hidden="1">
              <a:extLst>
                <a:ext uri="{63B3BB69-23CF-44E3-9099-C40C66FF867C}">
                  <a14:compatExt spid="_x0000_s43232"/>
                </a:ext>
                <a:ext uri="{FF2B5EF4-FFF2-40B4-BE49-F238E27FC236}">
                  <a16:creationId xmlns:a16="http://schemas.microsoft.com/office/drawing/2014/main" id="{00000000-0008-0000-0100-0000E0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Modify one of the User-Defined Profiles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88</xdr:row>
          <xdr:rowOff>0</xdr:rowOff>
        </xdr:from>
        <xdr:to>
          <xdr:col>2</xdr:col>
          <xdr:colOff>2705100</xdr:colOff>
          <xdr:row>89</xdr:row>
          <xdr:rowOff>25400</xdr:rowOff>
        </xdr:to>
        <xdr:sp macro="" textlink="">
          <xdr:nvSpPr>
            <xdr:cNvPr id="43236" name="Button 1252" hidden="1">
              <a:extLst>
                <a:ext uri="{63B3BB69-23CF-44E3-9099-C40C66FF867C}">
                  <a14:compatExt spid="_x0000_s43236"/>
                </a:ext>
                <a:ext uri="{FF2B5EF4-FFF2-40B4-BE49-F238E27FC236}">
                  <a16:creationId xmlns:a16="http://schemas.microsoft.com/office/drawing/2014/main" id="{00000000-0008-0000-0100-0000E4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2139950</xdr:colOff>
          <xdr:row>118</xdr:row>
          <xdr:rowOff>190500</xdr:rowOff>
        </xdr:from>
        <xdr:to>
          <xdr:col>2</xdr:col>
          <xdr:colOff>2692400</xdr:colOff>
          <xdr:row>118</xdr:row>
          <xdr:rowOff>419100</xdr:rowOff>
        </xdr:to>
        <xdr:sp macro="" textlink="">
          <xdr:nvSpPr>
            <xdr:cNvPr id="43237" name="Button 1253" hidden="1">
              <a:extLst>
                <a:ext uri="{63B3BB69-23CF-44E3-9099-C40C66FF867C}">
                  <a14:compatExt spid="_x0000_s43237"/>
                </a:ext>
                <a:ext uri="{FF2B5EF4-FFF2-40B4-BE49-F238E27FC236}">
                  <a16:creationId xmlns:a16="http://schemas.microsoft.com/office/drawing/2014/main" id="{00000000-0008-0000-0100-0000E5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123</xdr:row>
          <xdr:rowOff>25400</xdr:rowOff>
        </xdr:from>
        <xdr:to>
          <xdr:col>2</xdr:col>
          <xdr:colOff>2698750</xdr:colOff>
          <xdr:row>124</xdr:row>
          <xdr:rowOff>38100</xdr:rowOff>
        </xdr:to>
        <xdr:sp macro="" textlink="">
          <xdr:nvSpPr>
            <xdr:cNvPr id="43242" name="Button 1258" hidden="1">
              <a:extLst>
                <a:ext uri="{63B3BB69-23CF-44E3-9099-C40C66FF867C}">
                  <a14:compatExt spid="_x0000_s43242"/>
                </a:ext>
                <a:ext uri="{FF2B5EF4-FFF2-40B4-BE49-F238E27FC236}">
                  <a16:creationId xmlns:a16="http://schemas.microsoft.com/office/drawing/2014/main" id="{00000000-0008-0000-0100-0000EA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127</xdr:row>
          <xdr:rowOff>190500</xdr:rowOff>
        </xdr:from>
        <xdr:to>
          <xdr:col>2</xdr:col>
          <xdr:colOff>2705100</xdr:colOff>
          <xdr:row>129</xdr:row>
          <xdr:rowOff>0</xdr:rowOff>
        </xdr:to>
        <xdr:sp macro="" textlink="">
          <xdr:nvSpPr>
            <xdr:cNvPr id="43243" name="Button 1259" hidden="1">
              <a:extLst>
                <a:ext uri="{63B3BB69-23CF-44E3-9099-C40C66FF867C}">
                  <a14:compatExt spid="_x0000_s43243"/>
                </a:ext>
                <a:ext uri="{FF2B5EF4-FFF2-40B4-BE49-F238E27FC236}">
                  <a16:creationId xmlns:a16="http://schemas.microsoft.com/office/drawing/2014/main" id="{00000000-0008-0000-0100-0000EB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153</xdr:row>
          <xdr:rowOff>139700</xdr:rowOff>
        </xdr:from>
        <xdr:to>
          <xdr:col>2</xdr:col>
          <xdr:colOff>2711450</xdr:colOff>
          <xdr:row>154</xdr:row>
          <xdr:rowOff>152400</xdr:rowOff>
        </xdr:to>
        <xdr:sp macro="" textlink="">
          <xdr:nvSpPr>
            <xdr:cNvPr id="43244" name="Button 1260" hidden="1">
              <a:extLst>
                <a:ext uri="{63B3BB69-23CF-44E3-9099-C40C66FF867C}">
                  <a14:compatExt spid="_x0000_s43244"/>
                </a:ext>
                <a:ext uri="{FF2B5EF4-FFF2-40B4-BE49-F238E27FC236}">
                  <a16:creationId xmlns:a16="http://schemas.microsoft.com/office/drawing/2014/main" id="{00000000-0008-0000-0100-0000EC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169</xdr:row>
          <xdr:rowOff>101600</xdr:rowOff>
        </xdr:from>
        <xdr:to>
          <xdr:col>2</xdr:col>
          <xdr:colOff>2711450</xdr:colOff>
          <xdr:row>170</xdr:row>
          <xdr:rowOff>114300</xdr:rowOff>
        </xdr:to>
        <xdr:sp macro="" textlink="">
          <xdr:nvSpPr>
            <xdr:cNvPr id="43247" name="Button 1263" hidden="1">
              <a:extLst>
                <a:ext uri="{63B3BB69-23CF-44E3-9099-C40C66FF867C}">
                  <a14:compatExt spid="_x0000_s43247"/>
                </a:ext>
                <a:ext uri="{FF2B5EF4-FFF2-40B4-BE49-F238E27FC236}">
                  <a16:creationId xmlns:a16="http://schemas.microsoft.com/office/drawing/2014/main" id="{00000000-0008-0000-0100-0000EF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177</xdr:row>
          <xdr:rowOff>184150</xdr:rowOff>
        </xdr:from>
        <xdr:to>
          <xdr:col>2</xdr:col>
          <xdr:colOff>2705100</xdr:colOff>
          <xdr:row>178</xdr:row>
          <xdr:rowOff>196850</xdr:rowOff>
        </xdr:to>
        <xdr:sp macro="" textlink="">
          <xdr:nvSpPr>
            <xdr:cNvPr id="43248" name="Button 1264" hidden="1">
              <a:extLst>
                <a:ext uri="{63B3BB69-23CF-44E3-9099-C40C66FF867C}">
                  <a14:compatExt spid="_x0000_s43248"/>
                </a:ext>
                <a:ext uri="{FF2B5EF4-FFF2-40B4-BE49-F238E27FC236}">
                  <a16:creationId xmlns:a16="http://schemas.microsoft.com/office/drawing/2014/main" id="{00000000-0008-0000-0100-0000F0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162</xdr:row>
          <xdr:rowOff>114300</xdr:rowOff>
        </xdr:from>
        <xdr:to>
          <xdr:col>2</xdr:col>
          <xdr:colOff>2705100</xdr:colOff>
          <xdr:row>163</xdr:row>
          <xdr:rowOff>139700</xdr:rowOff>
        </xdr:to>
        <xdr:sp macro="" textlink="">
          <xdr:nvSpPr>
            <xdr:cNvPr id="43249" name="Button 1265" hidden="1">
              <a:extLst>
                <a:ext uri="{63B3BB69-23CF-44E3-9099-C40C66FF867C}">
                  <a14:compatExt spid="_x0000_s43249"/>
                </a:ext>
                <a:ext uri="{FF2B5EF4-FFF2-40B4-BE49-F238E27FC236}">
                  <a16:creationId xmlns:a16="http://schemas.microsoft.com/office/drawing/2014/main" id="{00000000-0008-0000-0100-0000F1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183</xdr:row>
          <xdr:rowOff>292100</xdr:rowOff>
        </xdr:from>
        <xdr:to>
          <xdr:col>2</xdr:col>
          <xdr:colOff>2698750</xdr:colOff>
          <xdr:row>184</xdr:row>
          <xdr:rowOff>190500</xdr:rowOff>
        </xdr:to>
        <xdr:sp macro="" textlink="">
          <xdr:nvSpPr>
            <xdr:cNvPr id="43250" name="Button 1266" hidden="1">
              <a:extLst>
                <a:ext uri="{63B3BB69-23CF-44E3-9099-C40C66FF867C}">
                  <a14:compatExt spid="_x0000_s43250"/>
                </a:ext>
                <a:ext uri="{FF2B5EF4-FFF2-40B4-BE49-F238E27FC236}">
                  <a16:creationId xmlns:a16="http://schemas.microsoft.com/office/drawing/2014/main" id="{00000000-0008-0000-0100-0000F2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196</xdr:row>
          <xdr:rowOff>25400</xdr:rowOff>
        </xdr:from>
        <xdr:to>
          <xdr:col>2</xdr:col>
          <xdr:colOff>2705100</xdr:colOff>
          <xdr:row>197</xdr:row>
          <xdr:rowOff>38100</xdr:rowOff>
        </xdr:to>
        <xdr:sp macro="" textlink="">
          <xdr:nvSpPr>
            <xdr:cNvPr id="43252" name="Button 1268" hidden="1">
              <a:extLst>
                <a:ext uri="{63B3BB69-23CF-44E3-9099-C40C66FF867C}">
                  <a14:compatExt spid="_x0000_s43252"/>
                </a:ext>
                <a:ext uri="{FF2B5EF4-FFF2-40B4-BE49-F238E27FC236}">
                  <a16:creationId xmlns:a16="http://schemas.microsoft.com/office/drawing/2014/main" id="{00000000-0008-0000-0100-0000F4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2159000</xdr:colOff>
          <xdr:row>204</xdr:row>
          <xdr:rowOff>0</xdr:rowOff>
        </xdr:from>
        <xdr:to>
          <xdr:col>2</xdr:col>
          <xdr:colOff>2698750</xdr:colOff>
          <xdr:row>205</xdr:row>
          <xdr:rowOff>25400</xdr:rowOff>
        </xdr:to>
        <xdr:sp macro="" textlink="">
          <xdr:nvSpPr>
            <xdr:cNvPr id="43253" name="Button 1269" hidden="1">
              <a:extLst>
                <a:ext uri="{63B3BB69-23CF-44E3-9099-C40C66FF867C}">
                  <a14:compatExt spid="_x0000_s43253"/>
                </a:ext>
                <a:ext uri="{FF2B5EF4-FFF2-40B4-BE49-F238E27FC236}">
                  <a16:creationId xmlns:a16="http://schemas.microsoft.com/office/drawing/2014/main" id="{00000000-0008-0000-0100-0000F5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143</xdr:row>
          <xdr:rowOff>101600</xdr:rowOff>
        </xdr:from>
        <xdr:to>
          <xdr:col>2</xdr:col>
          <xdr:colOff>2711450</xdr:colOff>
          <xdr:row>144</xdr:row>
          <xdr:rowOff>63500</xdr:rowOff>
        </xdr:to>
        <xdr:sp macro="" textlink="">
          <xdr:nvSpPr>
            <xdr:cNvPr id="43254" name="Button 1270" hidden="1">
              <a:extLst>
                <a:ext uri="{63B3BB69-23CF-44E3-9099-C40C66FF867C}">
                  <a14:compatExt spid="_x0000_s43254"/>
                </a:ext>
                <a:ext uri="{FF2B5EF4-FFF2-40B4-BE49-F238E27FC236}">
                  <a16:creationId xmlns:a16="http://schemas.microsoft.com/office/drawing/2014/main" id="{00000000-0008-0000-0100-0000F6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2165350</xdr:colOff>
          <xdr:row>134</xdr:row>
          <xdr:rowOff>139700</xdr:rowOff>
        </xdr:from>
        <xdr:to>
          <xdr:col>2</xdr:col>
          <xdr:colOff>2711450</xdr:colOff>
          <xdr:row>134</xdr:row>
          <xdr:rowOff>368300</xdr:rowOff>
        </xdr:to>
        <xdr:sp macro="" textlink="">
          <xdr:nvSpPr>
            <xdr:cNvPr id="43255" name="Button 1271" hidden="1">
              <a:extLst>
                <a:ext uri="{63B3BB69-23CF-44E3-9099-C40C66FF867C}">
                  <a14:compatExt spid="_x0000_s43255"/>
                </a:ext>
                <a:ext uri="{FF2B5EF4-FFF2-40B4-BE49-F238E27FC236}">
                  <a16:creationId xmlns:a16="http://schemas.microsoft.com/office/drawing/2014/main" id="{00000000-0008-0000-0100-0000F7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Submit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1600200</xdr:colOff>
          <xdr:row>134</xdr:row>
          <xdr:rowOff>139700</xdr:rowOff>
        </xdr:from>
        <xdr:to>
          <xdr:col>1</xdr:col>
          <xdr:colOff>793750</xdr:colOff>
          <xdr:row>134</xdr:row>
          <xdr:rowOff>349250</xdr:rowOff>
        </xdr:to>
        <xdr:sp macro="" textlink="">
          <xdr:nvSpPr>
            <xdr:cNvPr id="43266" name="Button 1282" hidden="1">
              <a:extLst>
                <a:ext uri="{63B3BB69-23CF-44E3-9099-C40C66FF867C}">
                  <a14:compatExt spid="_x0000_s43266"/>
                </a:ext>
                <a:ext uri="{FF2B5EF4-FFF2-40B4-BE49-F238E27FC236}">
                  <a16:creationId xmlns:a16="http://schemas.microsoft.com/office/drawing/2014/main" id="{00000000-0008-0000-0100-000002A9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 will enter a thermal utilization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958850</xdr:colOff>
          <xdr:row>134</xdr:row>
          <xdr:rowOff>139700</xdr:rowOff>
        </xdr:from>
        <xdr:to>
          <xdr:col>2</xdr:col>
          <xdr:colOff>1441450</xdr:colOff>
          <xdr:row>134</xdr:row>
          <xdr:rowOff>349250</xdr:rowOff>
        </xdr:to>
        <xdr:sp macro="" textlink="">
          <xdr:nvSpPr>
            <xdr:cNvPr id="43267" name="Button 1283" hidden="1">
              <a:extLst>
                <a:ext uri="{63B3BB69-23CF-44E3-9099-C40C66FF867C}">
                  <a14:compatExt spid="_x0000_s43267"/>
                </a:ext>
                <a:ext uri="{FF2B5EF4-FFF2-40B4-BE49-F238E27FC236}">
                  <a16:creationId xmlns:a16="http://schemas.microsoft.com/office/drawing/2014/main" id="{00000000-0008-0000-0100-000003A9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Use the default thermal utilization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101600</xdr:colOff>
          <xdr:row>184</xdr:row>
          <xdr:rowOff>82550</xdr:rowOff>
        </xdr:from>
        <xdr:to>
          <xdr:col>4</xdr:col>
          <xdr:colOff>1320800</xdr:colOff>
          <xdr:row>186</xdr:row>
          <xdr:rowOff>69850</xdr:rowOff>
        </xdr:to>
        <xdr:sp macro="" textlink="">
          <xdr:nvSpPr>
            <xdr:cNvPr id="43268" name="Button 1284" hidden="1">
              <a:extLst>
                <a:ext uri="{63B3BB69-23CF-44E3-9099-C40C66FF867C}">
                  <a14:compatExt spid="_x0000_s43268"/>
                </a:ext>
                <a:ext uri="{FF2B5EF4-FFF2-40B4-BE49-F238E27FC236}">
                  <a16:creationId xmlns:a16="http://schemas.microsoft.com/office/drawing/2014/main" id="{00000000-0008-0000-0100-000004A9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Check All Inputs and Go to Results</a:t>
              </a:r>
            </a:p>
          </xdr:txBody>
        </xdr:sp>
        <xdr:clientData fPrintsWithSheet="0"/>
      </xdr:twoCellAnchor>
    </mc:Choice>
    <mc:Fallback/>
  </mc:AlternateContent>
  <xdr:twoCellAnchor editAs="oneCell">
    <xdr:from>
      <xdr:col>0</xdr:col>
      <xdr:colOff>15240</xdr:colOff>
      <xdr:row>0</xdr:row>
      <xdr:rowOff>0</xdr:rowOff>
    </xdr:from>
    <xdr:to>
      <xdr:col>2</xdr:col>
      <xdr:colOff>447472</xdr:colOff>
      <xdr:row>0</xdr:row>
      <xdr:rowOff>669924</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15240" y="0"/>
          <a:ext cx="5260137" cy="676274"/>
        </a:xfrm>
        <a:prstGeom prst="rect">
          <a:avLst/>
        </a:prstGeom>
        <a:ln w="6350">
          <a:noFill/>
        </a:ln>
      </xdr:spPr>
    </xdr:pic>
    <xdr:clientData/>
  </xdr:twoCellAnchor>
  <xdr:twoCellAnchor editAs="oneCell">
    <xdr:from>
      <xdr:col>3</xdr:col>
      <xdr:colOff>53341</xdr:colOff>
      <xdr:row>0</xdr:row>
      <xdr:rowOff>22860</xdr:rowOff>
    </xdr:from>
    <xdr:to>
      <xdr:col>4</xdr:col>
      <xdr:colOff>1925321</xdr:colOff>
      <xdr:row>0</xdr:row>
      <xdr:rowOff>687974</xdr:rowOff>
    </xdr:to>
    <xdr:sp macro="" textlink="">
      <xdr:nvSpPr>
        <xdr:cNvPr id="43275" name="Object 1291" hidden="1">
          <a:extLst>
            <a:ext uri="{63B3BB69-23CF-44E3-9099-C40C66FF867C}">
              <a14:compatExt xmlns:a14="http://schemas.microsoft.com/office/drawing/2010/main" spid="_x0000_s43275"/>
            </a:ext>
            <a:ext uri="{FF2B5EF4-FFF2-40B4-BE49-F238E27FC236}">
              <a16:creationId xmlns:a16="http://schemas.microsoft.com/office/drawing/2014/main" id="{00000000-0008-0000-0100-00000BA90000}"/>
            </a:ext>
          </a:extLst>
        </xdr:cNvPr>
        <xdr:cNvSpPr/>
      </xdr:nvSpPr>
      <xdr:spPr bwMode="auto">
        <a:xfrm>
          <a:off x="0" y="0"/>
          <a:ext cx="0" cy="0"/>
        </a:xfrm>
        <a:prstGeom prst="rect">
          <a:avLst/>
        </a:prstGeom>
        <a:blipFill dpi="0" rotWithShape="0">
          <a:blip xmlns:r="http://schemas.openxmlformats.org/officeDocument/2006/relationships" r:embed="rId2">
            <a:alphaModFix amt="75000"/>
          </a:blip>
          <a:srcRect/>
          <a:stretch>
            <a:fillRect/>
          </a:stretch>
        </a:blipFill>
        <a:ln w="9525" cap="flat" cmpd="sng">
          <a:solidFill>
            <a:srgbClr xmlns:mc="http://schemas.openxmlformats.org/markup-compatibility/2006" xmlns:a14="http://schemas.microsoft.com/office/drawing/2010/main" val="FFFFFF" mc:Ignorable="a14" a14:legacySpreadsheetColorIndex="9"/>
          </a:solidFill>
          <a:prstDash val="solid"/>
          <a:miter lim="800000"/>
          <a:headEn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187325</xdr:colOff>
      <xdr:row>0</xdr:row>
      <xdr:rowOff>1</xdr:rowOff>
    </xdr:from>
    <xdr:to>
      <xdr:col>4</xdr:col>
      <xdr:colOff>2092325</xdr:colOff>
      <xdr:row>0</xdr:row>
      <xdr:rowOff>685800</xdr:rowOff>
    </xdr:to>
    <xdr:grpSp>
      <xdr:nvGrpSpPr>
        <xdr:cNvPr id="3" name="Group 2">
          <a:extLst>
            <a:ext uri="{FF2B5EF4-FFF2-40B4-BE49-F238E27FC236}">
              <a16:creationId xmlns:a16="http://schemas.microsoft.com/office/drawing/2014/main" id="{00000000-0008-0000-0100-000003000000}"/>
            </a:ext>
          </a:extLst>
        </xdr:cNvPr>
        <xdr:cNvGrpSpPr/>
      </xdr:nvGrpSpPr>
      <xdr:grpSpPr>
        <a:xfrm>
          <a:off x="8385175" y="1"/>
          <a:ext cx="1905000" cy="685799"/>
          <a:chOff x="8419473" y="1749524"/>
          <a:chExt cx="1584999" cy="793384"/>
        </a:xfrm>
      </xdr:grpSpPr>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alphaModFix/>
          </a:blip>
          <a:stretch>
            <a:fillRect/>
          </a:stretch>
        </xdr:blipFill>
        <xdr:spPr>
          <a:xfrm>
            <a:off x="8419473" y="1769745"/>
            <a:ext cx="1581254" cy="773163"/>
          </a:xfrm>
          <a:prstGeom prst="rect">
            <a:avLst/>
          </a:prstGeom>
        </xdr:spPr>
      </xdr:pic>
      <mc:AlternateContent xmlns:mc="http://schemas.openxmlformats.org/markup-compatibility/2006">
        <mc:Choice xmlns:a14="http://schemas.microsoft.com/office/drawing/2010/main" Requires="a14">
          <xdr:sp macro="" textlink="">
            <xdr:nvSpPr>
              <xdr:cNvPr id="43299" name="Object 1315" hidden="1">
                <a:extLst>
                  <a:ext uri="{63B3BB69-23CF-44E3-9099-C40C66FF867C}">
                    <a14:compatExt spid="_x0000_s43299"/>
                  </a:ext>
                  <a:ext uri="{FF2B5EF4-FFF2-40B4-BE49-F238E27FC236}">
                    <a16:creationId xmlns:a16="http://schemas.microsoft.com/office/drawing/2014/main" id="{00000000-0008-0000-0100-000023A90000}"/>
                  </a:ext>
                </a:extLst>
              </xdr:cNvPr>
              <xdr:cNvSpPr/>
            </xdr:nvSpPr>
            <xdr:spPr bwMode="auto">
              <a:xfrm>
                <a:off x="8434687" y="1749524"/>
                <a:ext cx="1569785" cy="7912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480509</xdr:colOff>
      <xdr:row>145</xdr:row>
      <xdr:rowOff>103990</xdr:rowOff>
    </xdr:from>
    <xdr:to>
      <xdr:col>0</xdr:col>
      <xdr:colOff>1212029</xdr:colOff>
      <xdr:row>145</xdr:row>
      <xdr:rowOff>103990</xdr:rowOff>
    </xdr:to>
    <xdr:sp macro="" textlink="">
      <xdr:nvSpPr>
        <xdr:cNvPr id="50153" name="Line 16">
          <a:extLst>
            <a:ext uri="{FF2B5EF4-FFF2-40B4-BE49-F238E27FC236}">
              <a16:creationId xmlns:a16="http://schemas.microsoft.com/office/drawing/2014/main" id="{00000000-0008-0000-0200-0000E9C30000}"/>
            </a:ext>
          </a:extLst>
        </xdr:cNvPr>
        <xdr:cNvSpPr>
          <a:spLocks noChangeShapeType="1"/>
        </xdr:cNvSpPr>
      </xdr:nvSpPr>
      <xdr:spPr bwMode="auto">
        <a:xfrm flipV="1">
          <a:off x="480509" y="25106555"/>
          <a:ext cx="731520" cy="0"/>
        </a:xfrm>
        <a:prstGeom prst="line">
          <a:avLst/>
        </a:prstGeom>
        <a:noFill/>
        <a:ln w="25400">
          <a:solidFill>
            <a:srgbClr val="FF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430754</xdr:colOff>
      <xdr:row>157</xdr:row>
      <xdr:rowOff>121919</xdr:rowOff>
    </xdr:from>
    <xdr:to>
      <xdr:col>0</xdr:col>
      <xdr:colOff>1162274</xdr:colOff>
      <xdr:row>157</xdr:row>
      <xdr:rowOff>121919</xdr:rowOff>
    </xdr:to>
    <xdr:sp macro="" textlink="">
      <xdr:nvSpPr>
        <xdr:cNvPr id="50154" name="Line 17">
          <a:extLst>
            <a:ext uri="{FF2B5EF4-FFF2-40B4-BE49-F238E27FC236}">
              <a16:creationId xmlns:a16="http://schemas.microsoft.com/office/drawing/2014/main" id="{00000000-0008-0000-0200-0000EAC30000}"/>
            </a:ext>
          </a:extLst>
        </xdr:cNvPr>
        <xdr:cNvSpPr>
          <a:spLocks noChangeShapeType="1"/>
        </xdr:cNvSpPr>
      </xdr:nvSpPr>
      <xdr:spPr bwMode="auto">
        <a:xfrm flipV="1">
          <a:off x="430754" y="27168437"/>
          <a:ext cx="731520" cy="0"/>
        </a:xfrm>
        <a:prstGeom prst="line">
          <a:avLst/>
        </a:prstGeom>
        <a:noFill/>
        <a:ln w="25400">
          <a:solidFill>
            <a:srgbClr val="00FF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2362649</xdr:colOff>
      <xdr:row>145</xdr:row>
      <xdr:rowOff>108025</xdr:rowOff>
    </xdr:from>
    <xdr:to>
      <xdr:col>0</xdr:col>
      <xdr:colOff>2606489</xdr:colOff>
      <xdr:row>145</xdr:row>
      <xdr:rowOff>108025</xdr:rowOff>
    </xdr:to>
    <xdr:sp macro="" textlink="">
      <xdr:nvSpPr>
        <xdr:cNvPr id="50155" name="Line 18">
          <a:extLst>
            <a:ext uri="{FF2B5EF4-FFF2-40B4-BE49-F238E27FC236}">
              <a16:creationId xmlns:a16="http://schemas.microsoft.com/office/drawing/2014/main" id="{00000000-0008-0000-0200-0000EBC30000}"/>
            </a:ext>
          </a:extLst>
        </xdr:cNvPr>
        <xdr:cNvSpPr>
          <a:spLocks noChangeShapeType="1"/>
        </xdr:cNvSpPr>
      </xdr:nvSpPr>
      <xdr:spPr bwMode="auto">
        <a:xfrm>
          <a:off x="2362649" y="25110590"/>
          <a:ext cx="243840" cy="0"/>
        </a:xfrm>
        <a:prstGeom prst="line">
          <a:avLst/>
        </a:prstGeom>
        <a:noFill/>
        <a:ln w="25400">
          <a:solidFill>
            <a:srgbClr val="FFFF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2606489</xdr:colOff>
      <xdr:row>143</xdr:row>
      <xdr:rowOff>16585</xdr:rowOff>
    </xdr:from>
    <xdr:to>
      <xdr:col>1</xdr:col>
      <xdr:colOff>213809</xdr:colOff>
      <xdr:row>145</xdr:row>
      <xdr:rowOff>108025</xdr:rowOff>
    </xdr:to>
    <xdr:sp macro="" textlink="">
      <xdr:nvSpPr>
        <xdr:cNvPr id="50156" name="Line 19">
          <a:extLst>
            <a:ext uri="{FF2B5EF4-FFF2-40B4-BE49-F238E27FC236}">
              <a16:creationId xmlns:a16="http://schemas.microsoft.com/office/drawing/2014/main" id="{00000000-0008-0000-0200-0000ECC30000}"/>
            </a:ext>
          </a:extLst>
        </xdr:cNvPr>
        <xdr:cNvSpPr>
          <a:spLocks noChangeShapeType="1"/>
        </xdr:cNvSpPr>
      </xdr:nvSpPr>
      <xdr:spPr bwMode="auto">
        <a:xfrm flipV="1">
          <a:off x="2606489" y="24678491"/>
          <a:ext cx="278802" cy="432099"/>
        </a:xfrm>
        <a:prstGeom prst="line">
          <a:avLst/>
        </a:prstGeom>
        <a:noFill/>
        <a:ln w="25400">
          <a:solidFill>
            <a:srgbClr val="FF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2598869</xdr:colOff>
      <xdr:row>145</xdr:row>
      <xdr:rowOff>108025</xdr:rowOff>
    </xdr:from>
    <xdr:to>
      <xdr:col>1</xdr:col>
      <xdr:colOff>213809</xdr:colOff>
      <xdr:row>145</xdr:row>
      <xdr:rowOff>108025</xdr:rowOff>
    </xdr:to>
    <xdr:sp macro="" textlink="">
      <xdr:nvSpPr>
        <xdr:cNvPr id="50157" name="Line 20">
          <a:extLst>
            <a:ext uri="{FF2B5EF4-FFF2-40B4-BE49-F238E27FC236}">
              <a16:creationId xmlns:a16="http://schemas.microsoft.com/office/drawing/2014/main" id="{00000000-0008-0000-0200-0000EDC30000}"/>
            </a:ext>
          </a:extLst>
        </xdr:cNvPr>
        <xdr:cNvSpPr>
          <a:spLocks noChangeShapeType="1"/>
        </xdr:cNvSpPr>
      </xdr:nvSpPr>
      <xdr:spPr bwMode="auto">
        <a:xfrm flipV="1">
          <a:off x="2598869" y="25110590"/>
          <a:ext cx="286422" cy="0"/>
        </a:xfrm>
        <a:prstGeom prst="line">
          <a:avLst/>
        </a:prstGeom>
        <a:noFill/>
        <a:ln w="25400">
          <a:solidFill>
            <a:srgbClr val="FF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2606489</xdr:colOff>
      <xdr:row>145</xdr:row>
      <xdr:rowOff>108025</xdr:rowOff>
    </xdr:from>
    <xdr:to>
      <xdr:col>1</xdr:col>
      <xdr:colOff>194087</xdr:colOff>
      <xdr:row>148</xdr:row>
      <xdr:rowOff>77545</xdr:rowOff>
    </xdr:to>
    <xdr:sp macro="" textlink="">
      <xdr:nvSpPr>
        <xdr:cNvPr id="50158" name="Line 21">
          <a:extLst>
            <a:ext uri="{FF2B5EF4-FFF2-40B4-BE49-F238E27FC236}">
              <a16:creationId xmlns:a16="http://schemas.microsoft.com/office/drawing/2014/main" id="{00000000-0008-0000-0200-0000EEC30000}"/>
            </a:ext>
          </a:extLst>
        </xdr:cNvPr>
        <xdr:cNvSpPr>
          <a:spLocks noChangeShapeType="1"/>
        </xdr:cNvSpPr>
      </xdr:nvSpPr>
      <xdr:spPr bwMode="auto">
        <a:xfrm>
          <a:off x="2606489" y="25110590"/>
          <a:ext cx="259080" cy="480508"/>
        </a:xfrm>
        <a:prstGeom prst="line">
          <a:avLst/>
        </a:prstGeom>
        <a:noFill/>
        <a:ln w="25400">
          <a:solidFill>
            <a:srgbClr val="FF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2366234</xdr:colOff>
      <xdr:row>157</xdr:row>
      <xdr:rowOff>133574</xdr:rowOff>
    </xdr:from>
    <xdr:to>
      <xdr:col>1</xdr:col>
      <xdr:colOff>179294</xdr:colOff>
      <xdr:row>157</xdr:row>
      <xdr:rowOff>133574</xdr:rowOff>
    </xdr:to>
    <xdr:sp macro="" textlink="">
      <xdr:nvSpPr>
        <xdr:cNvPr id="50159" name="Line 23">
          <a:extLst>
            <a:ext uri="{FF2B5EF4-FFF2-40B4-BE49-F238E27FC236}">
              <a16:creationId xmlns:a16="http://schemas.microsoft.com/office/drawing/2014/main" id="{00000000-0008-0000-0200-0000EFC30000}"/>
            </a:ext>
          </a:extLst>
        </xdr:cNvPr>
        <xdr:cNvSpPr>
          <a:spLocks noChangeShapeType="1"/>
        </xdr:cNvSpPr>
      </xdr:nvSpPr>
      <xdr:spPr bwMode="auto">
        <a:xfrm>
          <a:off x="2366234" y="27180092"/>
          <a:ext cx="484542" cy="0"/>
        </a:xfrm>
        <a:prstGeom prst="line">
          <a:avLst/>
        </a:prstGeom>
        <a:noFill/>
        <a:ln w="25400">
          <a:solidFill>
            <a:srgbClr val="00FF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1753049</xdr:colOff>
      <xdr:row>148</xdr:row>
      <xdr:rowOff>54685</xdr:rowOff>
    </xdr:from>
    <xdr:to>
      <xdr:col>0</xdr:col>
      <xdr:colOff>1753049</xdr:colOff>
      <xdr:row>150</xdr:row>
      <xdr:rowOff>8965</xdr:rowOff>
    </xdr:to>
    <xdr:sp macro="" textlink="">
      <xdr:nvSpPr>
        <xdr:cNvPr id="50160" name="Line 24">
          <a:extLst>
            <a:ext uri="{FF2B5EF4-FFF2-40B4-BE49-F238E27FC236}">
              <a16:creationId xmlns:a16="http://schemas.microsoft.com/office/drawing/2014/main" id="{00000000-0008-0000-0200-0000F0C30000}"/>
            </a:ext>
          </a:extLst>
        </xdr:cNvPr>
        <xdr:cNvSpPr>
          <a:spLocks noChangeShapeType="1"/>
        </xdr:cNvSpPr>
      </xdr:nvSpPr>
      <xdr:spPr bwMode="auto">
        <a:xfrm>
          <a:off x="1753049" y="25568238"/>
          <a:ext cx="0" cy="294939"/>
        </a:xfrm>
        <a:prstGeom prst="line">
          <a:avLst/>
        </a:prstGeom>
        <a:noFill/>
        <a:ln w="25400">
          <a:solidFill>
            <a:srgbClr val="FF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1726154</xdr:colOff>
      <xdr:row>160</xdr:row>
      <xdr:rowOff>72614</xdr:rowOff>
    </xdr:from>
    <xdr:to>
      <xdr:col>0</xdr:col>
      <xdr:colOff>1726154</xdr:colOff>
      <xdr:row>162</xdr:row>
      <xdr:rowOff>26894</xdr:rowOff>
    </xdr:to>
    <xdr:sp macro="" textlink="">
      <xdr:nvSpPr>
        <xdr:cNvPr id="50161" name="Line 25">
          <a:extLst>
            <a:ext uri="{FF2B5EF4-FFF2-40B4-BE49-F238E27FC236}">
              <a16:creationId xmlns:a16="http://schemas.microsoft.com/office/drawing/2014/main" id="{00000000-0008-0000-0200-0000F1C30000}"/>
            </a:ext>
          </a:extLst>
        </xdr:cNvPr>
        <xdr:cNvSpPr>
          <a:spLocks noChangeShapeType="1"/>
        </xdr:cNvSpPr>
      </xdr:nvSpPr>
      <xdr:spPr bwMode="auto">
        <a:xfrm>
          <a:off x="1726154" y="27630120"/>
          <a:ext cx="0" cy="294939"/>
        </a:xfrm>
        <a:prstGeom prst="line">
          <a:avLst/>
        </a:prstGeom>
        <a:noFill/>
        <a:ln w="25400">
          <a:solidFill>
            <a:srgbClr val="00FFFF"/>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2087880</xdr:colOff>
      <xdr:row>145</xdr:row>
      <xdr:rowOff>99060</xdr:rowOff>
    </xdr:from>
    <xdr:to>
      <xdr:col>4</xdr:col>
      <xdr:colOff>1089660</xdr:colOff>
      <xdr:row>145</xdr:row>
      <xdr:rowOff>99060</xdr:rowOff>
    </xdr:to>
    <xdr:sp macro="" textlink="">
      <xdr:nvSpPr>
        <xdr:cNvPr id="50162" name="Line 30">
          <a:extLst>
            <a:ext uri="{FF2B5EF4-FFF2-40B4-BE49-F238E27FC236}">
              <a16:creationId xmlns:a16="http://schemas.microsoft.com/office/drawing/2014/main" id="{00000000-0008-0000-0200-0000F2C30000}"/>
            </a:ext>
          </a:extLst>
        </xdr:cNvPr>
        <xdr:cNvSpPr>
          <a:spLocks noChangeShapeType="1"/>
        </xdr:cNvSpPr>
      </xdr:nvSpPr>
      <xdr:spPr bwMode="auto">
        <a:xfrm>
          <a:off x="6522720" y="24033480"/>
          <a:ext cx="0" cy="0"/>
        </a:xfrm>
        <a:prstGeom prst="line">
          <a:avLst/>
        </a:prstGeom>
        <a:noFill/>
        <a:ln w="25400">
          <a:solidFill>
            <a:srgbClr val="FFFF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137160</xdr:colOff>
      <xdr:row>145</xdr:row>
      <xdr:rowOff>103095</xdr:rowOff>
    </xdr:from>
    <xdr:to>
      <xdr:col>4</xdr:col>
      <xdr:colOff>167640</xdr:colOff>
      <xdr:row>145</xdr:row>
      <xdr:rowOff>103095</xdr:rowOff>
    </xdr:to>
    <xdr:sp macro="" textlink="">
      <xdr:nvSpPr>
        <xdr:cNvPr id="50163" name="Line 37">
          <a:extLst>
            <a:ext uri="{FF2B5EF4-FFF2-40B4-BE49-F238E27FC236}">
              <a16:creationId xmlns:a16="http://schemas.microsoft.com/office/drawing/2014/main" id="{00000000-0008-0000-0200-0000F3C30000}"/>
            </a:ext>
          </a:extLst>
        </xdr:cNvPr>
        <xdr:cNvSpPr>
          <a:spLocks noChangeShapeType="1"/>
        </xdr:cNvSpPr>
      </xdr:nvSpPr>
      <xdr:spPr bwMode="auto">
        <a:xfrm>
          <a:off x="4547795" y="25105660"/>
          <a:ext cx="1061421" cy="0"/>
        </a:xfrm>
        <a:prstGeom prst="line">
          <a:avLst/>
        </a:prstGeom>
        <a:noFill/>
        <a:ln w="25400">
          <a:solidFill>
            <a:srgbClr val="00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198120</xdr:colOff>
      <xdr:row>144</xdr:row>
      <xdr:rowOff>99060</xdr:rowOff>
    </xdr:from>
    <xdr:to>
      <xdr:col>6</xdr:col>
      <xdr:colOff>0</xdr:colOff>
      <xdr:row>144</xdr:row>
      <xdr:rowOff>99060</xdr:rowOff>
    </xdr:to>
    <xdr:sp macro="" textlink="">
      <xdr:nvSpPr>
        <xdr:cNvPr id="50164" name="Line 44">
          <a:extLst>
            <a:ext uri="{FF2B5EF4-FFF2-40B4-BE49-F238E27FC236}">
              <a16:creationId xmlns:a16="http://schemas.microsoft.com/office/drawing/2014/main" id="{00000000-0008-0000-0200-0000F4C30000}"/>
            </a:ext>
          </a:extLst>
        </xdr:cNvPr>
        <xdr:cNvSpPr>
          <a:spLocks noChangeShapeType="1"/>
        </xdr:cNvSpPr>
      </xdr:nvSpPr>
      <xdr:spPr bwMode="auto">
        <a:xfrm>
          <a:off x="6720840" y="23865840"/>
          <a:ext cx="929640" cy="0"/>
        </a:xfrm>
        <a:prstGeom prst="line">
          <a:avLst/>
        </a:prstGeom>
        <a:noFill/>
        <a:ln w="25400">
          <a:solidFill>
            <a:srgbClr val="00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129540</xdr:colOff>
      <xdr:row>145</xdr:row>
      <xdr:rowOff>129540</xdr:rowOff>
    </xdr:from>
    <xdr:to>
      <xdr:col>5</xdr:col>
      <xdr:colOff>617220</xdr:colOff>
      <xdr:row>150</xdr:row>
      <xdr:rowOff>7620</xdr:rowOff>
    </xdr:to>
    <xdr:sp macro="" textlink="">
      <xdr:nvSpPr>
        <xdr:cNvPr id="50165" name="Arc 48">
          <a:extLst>
            <a:ext uri="{FF2B5EF4-FFF2-40B4-BE49-F238E27FC236}">
              <a16:creationId xmlns:a16="http://schemas.microsoft.com/office/drawing/2014/main" id="{00000000-0008-0000-0200-0000F5C30000}"/>
            </a:ext>
          </a:extLst>
        </xdr:cNvPr>
        <xdr:cNvSpPr>
          <a:spLocks/>
        </xdr:cNvSpPr>
      </xdr:nvSpPr>
      <xdr:spPr bwMode="auto">
        <a:xfrm>
          <a:off x="6652260" y="24063960"/>
          <a:ext cx="487680" cy="716280"/>
        </a:xfrm>
        <a:custGeom>
          <a:avLst/>
          <a:gdLst>
            <a:gd name="T0" fmla="*/ 2147483646 w 21600"/>
            <a:gd name="T1" fmla="*/ 0 h 21323"/>
            <a:gd name="T2" fmla="*/ 2147483646 w 21600"/>
            <a:gd name="T3" fmla="*/ 2147483646 h 21323"/>
            <a:gd name="T4" fmla="*/ 0 w 21600"/>
            <a:gd name="T5" fmla="*/ 2147483646 h 21323"/>
            <a:gd name="T6" fmla="*/ 0 60000 65536"/>
            <a:gd name="T7" fmla="*/ 0 60000 65536"/>
            <a:gd name="T8" fmla="*/ 0 60000 65536"/>
            <a:gd name="T9" fmla="*/ 0 w 21600"/>
            <a:gd name="T10" fmla="*/ 0 h 21323"/>
            <a:gd name="T11" fmla="*/ 21600 w 21600"/>
            <a:gd name="T12" fmla="*/ 21323 h 21323"/>
          </a:gdLst>
          <a:ahLst/>
          <a:cxnLst>
            <a:cxn ang="T6">
              <a:pos x="T0" y="T1"/>
            </a:cxn>
            <a:cxn ang="T7">
              <a:pos x="T2" y="T3"/>
            </a:cxn>
            <a:cxn ang="T8">
              <a:pos x="T4" y="T5"/>
            </a:cxn>
          </a:cxnLst>
          <a:rect l="T9" t="T10" r="T11" b="T12"/>
          <a:pathLst>
            <a:path w="21600" h="21323" fill="none" extrusionOk="0">
              <a:moveTo>
                <a:pt x="3447" y="-1"/>
              </a:moveTo>
              <a:cubicBezTo>
                <a:pt x="13909" y="1691"/>
                <a:pt x="21600" y="10724"/>
                <a:pt x="21600" y="21323"/>
              </a:cubicBezTo>
            </a:path>
            <a:path w="21600" h="21323" stroke="0" extrusionOk="0">
              <a:moveTo>
                <a:pt x="3447" y="-1"/>
              </a:moveTo>
              <a:cubicBezTo>
                <a:pt x="13909" y="1691"/>
                <a:pt x="21600" y="10724"/>
                <a:pt x="21600" y="21323"/>
              </a:cubicBezTo>
              <a:lnTo>
                <a:pt x="0" y="21323"/>
              </a:lnTo>
              <a:lnTo>
                <a:pt x="3447" y="-1"/>
              </a:lnTo>
              <a:close/>
            </a:path>
          </a:pathLst>
        </a:custGeom>
        <a:noFill/>
        <a:ln w="25400">
          <a:solidFill>
            <a:srgbClr val="00FF00"/>
          </a:solidFill>
          <a:round/>
          <a:headEnd/>
          <a:tailEnd type="triangle" w="med" len="me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610947</xdr:colOff>
      <xdr:row>148</xdr:row>
      <xdr:rowOff>31824</xdr:rowOff>
    </xdr:from>
    <xdr:to>
      <xdr:col>4</xdr:col>
      <xdr:colOff>610947</xdr:colOff>
      <xdr:row>150</xdr:row>
      <xdr:rowOff>39444</xdr:rowOff>
    </xdr:to>
    <xdr:sp macro="" textlink="">
      <xdr:nvSpPr>
        <xdr:cNvPr id="50166" name="Line 50">
          <a:extLst>
            <a:ext uri="{FF2B5EF4-FFF2-40B4-BE49-F238E27FC236}">
              <a16:creationId xmlns:a16="http://schemas.microsoft.com/office/drawing/2014/main" id="{00000000-0008-0000-0200-0000F6C30000}"/>
            </a:ext>
          </a:extLst>
        </xdr:cNvPr>
        <xdr:cNvSpPr>
          <a:spLocks noChangeShapeType="1"/>
        </xdr:cNvSpPr>
      </xdr:nvSpPr>
      <xdr:spPr bwMode="auto">
        <a:xfrm>
          <a:off x="6052523" y="25545377"/>
          <a:ext cx="0" cy="348279"/>
        </a:xfrm>
        <a:prstGeom prst="line">
          <a:avLst/>
        </a:prstGeom>
        <a:noFill/>
        <a:ln w="25400">
          <a:solidFill>
            <a:srgbClr val="00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274320</xdr:colOff>
      <xdr:row>151</xdr:row>
      <xdr:rowOff>0</xdr:rowOff>
    </xdr:from>
    <xdr:to>
      <xdr:col>5</xdr:col>
      <xdr:colOff>571500</xdr:colOff>
      <xdr:row>158</xdr:row>
      <xdr:rowOff>99060</xdr:rowOff>
    </xdr:to>
    <xdr:sp macro="" textlink="">
      <xdr:nvSpPr>
        <xdr:cNvPr id="50167" name="Arc 53">
          <a:extLst>
            <a:ext uri="{FF2B5EF4-FFF2-40B4-BE49-F238E27FC236}">
              <a16:creationId xmlns:a16="http://schemas.microsoft.com/office/drawing/2014/main" id="{00000000-0008-0000-0200-0000F7C30000}"/>
            </a:ext>
          </a:extLst>
        </xdr:cNvPr>
        <xdr:cNvSpPr>
          <a:spLocks/>
        </xdr:cNvSpPr>
      </xdr:nvSpPr>
      <xdr:spPr bwMode="auto">
        <a:xfrm flipV="1">
          <a:off x="6797040" y="24940260"/>
          <a:ext cx="297180" cy="1272540"/>
        </a:xfrm>
        <a:custGeom>
          <a:avLst/>
          <a:gdLst>
            <a:gd name="T0" fmla="*/ 0 w 21600"/>
            <a:gd name="T1" fmla="*/ 0 h 22139"/>
            <a:gd name="T2" fmla="*/ 2147483646 w 21600"/>
            <a:gd name="T3" fmla="*/ 2147483646 h 22139"/>
            <a:gd name="T4" fmla="*/ 0 w 21600"/>
            <a:gd name="T5" fmla="*/ 2147483646 h 22139"/>
            <a:gd name="T6" fmla="*/ 0 60000 65536"/>
            <a:gd name="T7" fmla="*/ 0 60000 65536"/>
            <a:gd name="T8" fmla="*/ 0 60000 65536"/>
            <a:gd name="T9" fmla="*/ 0 w 21600"/>
            <a:gd name="T10" fmla="*/ 0 h 22139"/>
            <a:gd name="T11" fmla="*/ 21600 w 21600"/>
            <a:gd name="T12" fmla="*/ 22139 h 22139"/>
          </a:gdLst>
          <a:ahLst/>
          <a:cxnLst>
            <a:cxn ang="T6">
              <a:pos x="T0" y="T1"/>
            </a:cxn>
            <a:cxn ang="T7">
              <a:pos x="T2" y="T3"/>
            </a:cxn>
            <a:cxn ang="T8">
              <a:pos x="T4" y="T5"/>
            </a:cxn>
          </a:cxnLst>
          <a:rect l="T9" t="T10" r="T11" b="T12"/>
          <a:pathLst>
            <a:path w="21600" h="22139" fill="none" extrusionOk="0">
              <a:moveTo>
                <a:pt x="-1" y="0"/>
              </a:moveTo>
              <a:cubicBezTo>
                <a:pt x="11929" y="0"/>
                <a:pt x="21600" y="9670"/>
                <a:pt x="21600" y="21600"/>
              </a:cubicBezTo>
              <a:cubicBezTo>
                <a:pt x="21600" y="21779"/>
                <a:pt x="21597" y="21959"/>
                <a:pt x="21593" y="22139"/>
              </a:cubicBezTo>
            </a:path>
            <a:path w="21600" h="22139" stroke="0" extrusionOk="0">
              <a:moveTo>
                <a:pt x="-1" y="0"/>
              </a:moveTo>
              <a:cubicBezTo>
                <a:pt x="11929" y="0"/>
                <a:pt x="21600" y="9670"/>
                <a:pt x="21600" y="21600"/>
              </a:cubicBezTo>
              <a:cubicBezTo>
                <a:pt x="21600" y="21779"/>
                <a:pt x="21597" y="21959"/>
                <a:pt x="21593" y="22139"/>
              </a:cubicBezTo>
              <a:lnTo>
                <a:pt x="0" y="21600"/>
              </a:lnTo>
              <a:lnTo>
                <a:pt x="-1" y="0"/>
              </a:lnTo>
              <a:close/>
            </a:path>
          </a:pathLst>
        </a:custGeom>
        <a:noFill/>
        <a:ln w="25400">
          <a:solidFill>
            <a:srgbClr val="00FF00"/>
          </a:solidFill>
          <a:round/>
          <a:headEnd type="triangle" w="med" len="me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655318</xdr:colOff>
      <xdr:row>151</xdr:row>
      <xdr:rowOff>7620</xdr:rowOff>
    </xdr:from>
    <xdr:to>
      <xdr:col>5</xdr:col>
      <xdr:colOff>914399</xdr:colOff>
      <xdr:row>154</xdr:row>
      <xdr:rowOff>125506</xdr:rowOff>
    </xdr:to>
    <xdr:sp macro="" textlink="">
      <xdr:nvSpPr>
        <xdr:cNvPr id="50168" name="Arc 56">
          <a:extLst>
            <a:ext uri="{FF2B5EF4-FFF2-40B4-BE49-F238E27FC236}">
              <a16:creationId xmlns:a16="http://schemas.microsoft.com/office/drawing/2014/main" id="{00000000-0008-0000-0200-0000F8C30000}"/>
            </a:ext>
          </a:extLst>
        </xdr:cNvPr>
        <xdr:cNvSpPr>
          <a:spLocks/>
        </xdr:cNvSpPr>
      </xdr:nvSpPr>
      <xdr:spPr bwMode="auto">
        <a:xfrm flipH="1" flipV="1">
          <a:off x="7665718" y="26166632"/>
          <a:ext cx="259081" cy="628874"/>
        </a:xfrm>
        <a:custGeom>
          <a:avLst/>
          <a:gdLst>
            <a:gd name="T0" fmla="*/ 0 w 21600"/>
            <a:gd name="T1" fmla="*/ 0 h 21600"/>
            <a:gd name="T2" fmla="*/ 2147483646 w 21600"/>
            <a:gd name="T3" fmla="*/ 2147483646 h 21600"/>
            <a:gd name="T4" fmla="*/ 0 w 21600"/>
            <a:gd name="T5" fmla="*/ 2147483646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25400">
          <a:solidFill>
            <a:srgbClr val="00FF00"/>
          </a:solidFill>
          <a:round/>
          <a:headEnd type="triangle" w="med" len="me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266699</xdr:colOff>
      <xdr:row>159</xdr:row>
      <xdr:rowOff>60959</xdr:rowOff>
    </xdr:from>
    <xdr:to>
      <xdr:col>5</xdr:col>
      <xdr:colOff>1084728</xdr:colOff>
      <xdr:row>159</xdr:row>
      <xdr:rowOff>62752</xdr:rowOff>
    </xdr:to>
    <xdr:sp macro="" textlink="">
      <xdr:nvSpPr>
        <xdr:cNvPr id="50169" name="Line 58">
          <a:extLst>
            <a:ext uri="{FF2B5EF4-FFF2-40B4-BE49-F238E27FC236}">
              <a16:creationId xmlns:a16="http://schemas.microsoft.com/office/drawing/2014/main" id="{00000000-0008-0000-0200-0000F9C30000}"/>
            </a:ext>
          </a:extLst>
        </xdr:cNvPr>
        <xdr:cNvSpPr>
          <a:spLocks noChangeShapeType="1"/>
        </xdr:cNvSpPr>
      </xdr:nvSpPr>
      <xdr:spPr bwMode="auto">
        <a:xfrm>
          <a:off x="6801970" y="27448135"/>
          <a:ext cx="818029" cy="1793"/>
        </a:xfrm>
        <a:prstGeom prst="line">
          <a:avLst/>
        </a:prstGeom>
        <a:noFill/>
        <a:ln w="25400">
          <a:solidFill>
            <a:srgbClr val="00FF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0</xdr:colOff>
      <xdr:row>136</xdr:row>
      <xdr:rowOff>7620</xdr:rowOff>
    </xdr:from>
    <xdr:to>
      <xdr:col>2</xdr:col>
      <xdr:colOff>627529</xdr:colOff>
      <xdr:row>166</xdr:row>
      <xdr:rowOff>160020</xdr:rowOff>
    </xdr:to>
    <xdr:sp macro="" textlink="">
      <xdr:nvSpPr>
        <xdr:cNvPr id="50170" name="Rectangle 60">
          <a:extLst>
            <a:ext uri="{FF2B5EF4-FFF2-40B4-BE49-F238E27FC236}">
              <a16:creationId xmlns:a16="http://schemas.microsoft.com/office/drawing/2014/main" id="{00000000-0008-0000-0200-0000FAC30000}"/>
            </a:ext>
          </a:extLst>
        </xdr:cNvPr>
        <xdr:cNvSpPr>
          <a:spLocks noChangeArrowheads="1"/>
        </xdr:cNvSpPr>
      </xdr:nvSpPr>
      <xdr:spPr bwMode="auto">
        <a:xfrm>
          <a:off x="0" y="23477220"/>
          <a:ext cx="4168588" cy="5262282"/>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777239</xdr:colOff>
      <xdr:row>136</xdr:row>
      <xdr:rowOff>8966</xdr:rowOff>
    </xdr:from>
    <xdr:to>
      <xdr:col>7</xdr:col>
      <xdr:colOff>297180</xdr:colOff>
      <xdr:row>166</xdr:row>
      <xdr:rowOff>161365</xdr:rowOff>
    </xdr:to>
    <xdr:sp macro="" textlink="">
      <xdr:nvSpPr>
        <xdr:cNvPr id="50171" name="Rectangle 61">
          <a:extLst>
            <a:ext uri="{FF2B5EF4-FFF2-40B4-BE49-F238E27FC236}">
              <a16:creationId xmlns:a16="http://schemas.microsoft.com/office/drawing/2014/main" id="{00000000-0008-0000-0200-0000FBC30000}"/>
            </a:ext>
          </a:extLst>
        </xdr:cNvPr>
        <xdr:cNvSpPr>
          <a:spLocks noChangeArrowheads="1"/>
        </xdr:cNvSpPr>
      </xdr:nvSpPr>
      <xdr:spPr bwMode="auto">
        <a:xfrm>
          <a:off x="4518659" y="26198906"/>
          <a:ext cx="4549141" cy="5326379"/>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167640</xdr:colOff>
      <xdr:row>143</xdr:row>
      <xdr:rowOff>137160</xdr:rowOff>
    </xdr:from>
    <xdr:to>
      <xdr:col>5</xdr:col>
      <xdr:colOff>198120</xdr:colOff>
      <xdr:row>148</xdr:row>
      <xdr:rowOff>30480</xdr:rowOff>
    </xdr:to>
    <xdr:sp macro="" textlink="">
      <xdr:nvSpPr>
        <xdr:cNvPr id="50172" name="AutoShape 39">
          <a:extLst>
            <a:ext uri="{FF2B5EF4-FFF2-40B4-BE49-F238E27FC236}">
              <a16:creationId xmlns:a16="http://schemas.microsoft.com/office/drawing/2014/main" id="{00000000-0008-0000-0200-0000FCC30000}"/>
            </a:ext>
          </a:extLst>
        </xdr:cNvPr>
        <xdr:cNvSpPr>
          <a:spLocks noChangeArrowheads="1"/>
        </xdr:cNvSpPr>
      </xdr:nvSpPr>
      <xdr:spPr bwMode="auto">
        <a:xfrm>
          <a:off x="5600700" y="23736300"/>
          <a:ext cx="1120140" cy="731520"/>
        </a:xfrm>
        <a:prstGeom prst="roundRect">
          <a:avLst>
            <a:gd name="adj" fmla="val 16667"/>
          </a:avLst>
        </a:prstGeom>
        <a:noFill/>
        <a:ln w="254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1219649</xdr:colOff>
      <xdr:row>143</xdr:row>
      <xdr:rowOff>54685</xdr:rowOff>
    </xdr:from>
    <xdr:to>
      <xdr:col>0</xdr:col>
      <xdr:colOff>2370269</xdr:colOff>
      <xdr:row>148</xdr:row>
      <xdr:rowOff>54685</xdr:rowOff>
    </xdr:to>
    <xdr:sp macro="" textlink="">
      <xdr:nvSpPr>
        <xdr:cNvPr id="50173" name="Rectangle 8">
          <a:extLst>
            <a:ext uri="{FF2B5EF4-FFF2-40B4-BE49-F238E27FC236}">
              <a16:creationId xmlns:a16="http://schemas.microsoft.com/office/drawing/2014/main" id="{00000000-0008-0000-0200-0000FDC30000}"/>
            </a:ext>
          </a:extLst>
        </xdr:cNvPr>
        <xdr:cNvSpPr>
          <a:spLocks noChangeArrowheads="1"/>
        </xdr:cNvSpPr>
      </xdr:nvSpPr>
      <xdr:spPr bwMode="auto">
        <a:xfrm>
          <a:off x="1219649" y="24716591"/>
          <a:ext cx="1150620" cy="851647"/>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121920</xdr:colOff>
      <xdr:row>157</xdr:row>
      <xdr:rowOff>121920</xdr:rowOff>
    </xdr:from>
    <xdr:to>
      <xdr:col>5</xdr:col>
      <xdr:colOff>266700</xdr:colOff>
      <xdr:row>160</xdr:row>
      <xdr:rowOff>45720</xdr:rowOff>
    </xdr:to>
    <xdr:sp macro="" textlink="">
      <xdr:nvSpPr>
        <xdr:cNvPr id="50174" name="AutoShape 42">
          <a:extLst>
            <a:ext uri="{FF2B5EF4-FFF2-40B4-BE49-F238E27FC236}">
              <a16:creationId xmlns:a16="http://schemas.microsoft.com/office/drawing/2014/main" id="{00000000-0008-0000-0200-0000FEC30000}"/>
            </a:ext>
          </a:extLst>
        </xdr:cNvPr>
        <xdr:cNvSpPr>
          <a:spLocks noChangeArrowheads="1"/>
        </xdr:cNvSpPr>
      </xdr:nvSpPr>
      <xdr:spPr bwMode="auto">
        <a:xfrm>
          <a:off x="5554980" y="26068020"/>
          <a:ext cx="1234440" cy="426720"/>
        </a:xfrm>
        <a:prstGeom prst="octagon">
          <a:avLst>
            <a:gd name="adj" fmla="val 29287"/>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1169894</xdr:colOff>
      <xdr:row>155</xdr:row>
      <xdr:rowOff>57374</xdr:rowOff>
    </xdr:from>
    <xdr:to>
      <xdr:col>0</xdr:col>
      <xdr:colOff>2366234</xdr:colOff>
      <xdr:row>160</xdr:row>
      <xdr:rowOff>57374</xdr:rowOff>
    </xdr:to>
    <xdr:sp macro="" textlink="">
      <xdr:nvSpPr>
        <xdr:cNvPr id="50175" name="Rectangle 9">
          <a:extLst>
            <a:ext uri="{FF2B5EF4-FFF2-40B4-BE49-F238E27FC236}">
              <a16:creationId xmlns:a16="http://schemas.microsoft.com/office/drawing/2014/main" id="{00000000-0008-0000-0200-0000FFC30000}"/>
            </a:ext>
          </a:extLst>
        </xdr:cNvPr>
        <xdr:cNvSpPr>
          <a:spLocks noChangeArrowheads="1"/>
        </xdr:cNvSpPr>
      </xdr:nvSpPr>
      <xdr:spPr bwMode="auto">
        <a:xfrm>
          <a:off x="1169894" y="26763233"/>
          <a:ext cx="1196340" cy="851647"/>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7</xdr:col>
          <xdr:colOff>412750</xdr:colOff>
          <xdr:row>54</xdr:row>
          <xdr:rowOff>228600</xdr:rowOff>
        </xdr:from>
        <xdr:to>
          <xdr:col>9</xdr:col>
          <xdr:colOff>196850</xdr:colOff>
          <xdr:row>58</xdr:row>
          <xdr:rowOff>31750</xdr:rowOff>
        </xdr:to>
        <xdr:sp macro="" textlink="">
          <xdr:nvSpPr>
            <xdr:cNvPr id="20545" name="Button 65" hidden="1">
              <a:extLst>
                <a:ext uri="{63B3BB69-23CF-44E3-9099-C40C66FF867C}">
                  <a14:compatExt spid="_x0000_s20545"/>
                </a:ext>
                <a:ext uri="{FF2B5EF4-FFF2-40B4-BE49-F238E27FC236}">
                  <a16:creationId xmlns:a16="http://schemas.microsoft.com/office/drawing/2014/main" id="{00000000-0008-0000-0200-0000415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Return to </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387350</xdr:colOff>
          <xdr:row>9</xdr:row>
          <xdr:rowOff>222250</xdr:rowOff>
        </xdr:from>
        <xdr:to>
          <xdr:col>8</xdr:col>
          <xdr:colOff>69850</xdr:colOff>
          <xdr:row>11</xdr:row>
          <xdr:rowOff>0</xdr:rowOff>
        </xdr:to>
        <xdr:sp macro="" textlink="">
          <xdr:nvSpPr>
            <xdr:cNvPr id="20546" name="Button 66" hidden="1">
              <a:extLst>
                <a:ext uri="{63B3BB69-23CF-44E3-9099-C40C66FF867C}">
                  <a14:compatExt spid="_x0000_s20546"/>
                </a:ext>
                <a:ext uri="{FF2B5EF4-FFF2-40B4-BE49-F238E27FC236}">
                  <a16:creationId xmlns:a16="http://schemas.microsoft.com/office/drawing/2014/main" id="{00000000-0008-0000-0200-0000425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Return to </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xdr:twoCellAnchor editAs="oneCell">
    <xdr:from>
      <xdr:col>0</xdr:col>
      <xdr:colOff>17929</xdr:colOff>
      <xdr:row>0</xdr:row>
      <xdr:rowOff>17928</xdr:rowOff>
    </xdr:from>
    <xdr:to>
      <xdr:col>3</xdr:col>
      <xdr:colOff>988936</xdr:colOff>
      <xdr:row>4</xdr:row>
      <xdr:rowOff>2135</xdr:rowOff>
    </xdr:to>
    <xdr:pic>
      <xdr:nvPicPr>
        <xdr:cNvPr id="35" name="Picture 34">
          <a:extLst>
            <a:ext uri="{FF2B5EF4-FFF2-40B4-BE49-F238E27FC236}">
              <a16:creationId xmlns:a16="http://schemas.microsoft.com/office/drawing/2014/main" id="{00000000-0008-0000-0200-000023000000}"/>
            </a:ext>
          </a:extLst>
        </xdr:cNvPr>
        <xdr:cNvPicPr>
          <a:picLocks noChangeAspect="1"/>
        </xdr:cNvPicPr>
      </xdr:nvPicPr>
      <xdr:blipFill>
        <a:blip xmlns:r="http://schemas.openxmlformats.org/officeDocument/2006/relationships" r:embed="rId1"/>
        <a:stretch>
          <a:fillRect/>
        </a:stretch>
      </xdr:blipFill>
      <xdr:spPr>
        <a:xfrm>
          <a:off x="17929" y="17928"/>
          <a:ext cx="5877825" cy="815480"/>
        </a:xfrm>
        <a:prstGeom prst="rect">
          <a:avLst/>
        </a:prstGeom>
        <a:ln w="6350">
          <a:noFill/>
        </a:ln>
      </xdr:spPr>
    </xdr:pic>
    <xdr:clientData/>
  </xdr:twoCellAnchor>
  <mc:AlternateContent xmlns:mc="http://schemas.openxmlformats.org/markup-compatibility/2006">
    <mc:Choice xmlns:a14="http://schemas.microsoft.com/office/drawing/2010/main" Requires="a14">
      <xdr:twoCellAnchor editAs="oneCell">
        <xdr:from>
          <xdr:col>8</xdr:col>
          <xdr:colOff>25400</xdr:colOff>
          <xdr:row>136</xdr:row>
          <xdr:rowOff>0</xdr:rowOff>
        </xdr:from>
        <xdr:to>
          <xdr:col>9</xdr:col>
          <xdr:colOff>463550</xdr:colOff>
          <xdr:row>144</xdr:row>
          <xdr:rowOff>0</xdr:rowOff>
        </xdr:to>
        <xdr:sp macro="" textlink="">
          <xdr:nvSpPr>
            <xdr:cNvPr id="20549" name="Button 69" hidden="1">
              <a:extLst>
                <a:ext uri="{63B3BB69-23CF-44E3-9099-C40C66FF867C}">
                  <a14:compatExt spid="_x0000_s20549"/>
                </a:ext>
                <a:ext uri="{FF2B5EF4-FFF2-40B4-BE49-F238E27FC236}">
                  <a16:creationId xmlns:a16="http://schemas.microsoft.com/office/drawing/2014/main" id="{00000000-0008-0000-0200-0000455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Return to </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xdr:twoCellAnchor>
    <xdr:from>
      <xdr:col>0</xdr:col>
      <xdr:colOff>708210</xdr:colOff>
      <xdr:row>42</xdr:row>
      <xdr:rowOff>143439</xdr:rowOff>
    </xdr:from>
    <xdr:to>
      <xdr:col>2</xdr:col>
      <xdr:colOff>355671</xdr:colOff>
      <xdr:row>48</xdr:row>
      <xdr:rowOff>46620</xdr:rowOff>
    </xdr:to>
    <xdr:pic>
      <xdr:nvPicPr>
        <xdr:cNvPr id="33" name="Picture 32">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2"/>
        <a:stretch>
          <a:fillRect/>
        </a:stretch>
      </xdr:blipFill>
      <xdr:spPr>
        <a:xfrm>
          <a:off x="708210" y="6391839"/>
          <a:ext cx="3394708" cy="1005840"/>
        </a:xfrm>
        <a:prstGeom prst="rect">
          <a:avLst/>
        </a:prstGeom>
      </xdr:spPr>
    </xdr:pic>
    <xdr:clientData fLocksWithSheet="0"/>
  </xdr:twoCellAnchor>
  <xdr:twoCellAnchor>
    <xdr:from>
      <xdr:col>2</xdr:col>
      <xdr:colOff>726139</xdr:colOff>
      <xdr:row>42</xdr:row>
      <xdr:rowOff>143431</xdr:rowOff>
    </xdr:from>
    <xdr:to>
      <xdr:col>5</xdr:col>
      <xdr:colOff>815815</xdr:colOff>
      <xdr:row>48</xdr:row>
      <xdr:rowOff>46612</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3"/>
        <a:stretch>
          <a:fillRect/>
        </a:stretch>
      </xdr:blipFill>
      <xdr:spPr>
        <a:xfrm>
          <a:off x="4473386" y="6391831"/>
          <a:ext cx="3316970" cy="1005840"/>
        </a:xfrm>
        <a:prstGeom prst="rect">
          <a:avLst/>
        </a:prstGeom>
      </xdr:spPr>
    </xdr:pic>
    <xdr:clientData fLocksWithSheet="0"/>
  </xdr:twoCellAnchor>
  <xdr:twoCellAnchor>
    <xdr:from>
      <xdr:col>6</xdr:col>
      <xdr:colOff>415923</xdr:colOff>
      <xdr:row>0</xdr:row>
      <xdr:rowOff>0</xdr:rowOff>
    </xdr:from>
    <xdr:to>
      <xdr:col>10</xdr:col>
      <xdr:colOff>38099</xdr:colOff>
      <xdr:row>4</xdr:row>
      <xdr:rowOff>6350</xdr:rowOff>
    </xdr:to>
    <xdr:grpSp>
      <xdr:nvGrpSpPr>
        <xdr:cNvPr id="2" name="Group 1">
          <a:extLst>
            <a:ext uri="{FF2B5EF4-FFF2-40B4-BE49-F238E27FC236}">
              <a16:creationId xmlns:a16="http://schemas.microsoft.com/office/drawing/2014/main" id="{00000000-0008-0000-0200-000002000000}"/>
            </a:ext>
          </a:extLst>
        </xdr:cNvPr>
        <xdr:cNvGrpSpPr/>
      </xdr:nvGrpSpPr>
      <xdr:grpSpPr>
        <a:xfrm>
          <a:off x="8556623" y="0"/>
          <a:ext cx="2282826" cy="819150"/>
          <a:chOff x="8419473" y="1749523"/>
          <a:chExt cx="1585000" cy="793385"/>
        </a:xfrm>
      </xdr:grpSpPr>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4">
            <a:alphaModFix/>
          </a:blip>
          <a:stretch>
            <a:fillRect/>
          </a:stretch>
        </xdr:blipFill>
        <xdr:spPr>
          <a:xfrm>
            <a:off x="8419473" y="1769745"/>
            <a:ext cx="1581254" cy="773163"/>
          </a:xfrm>
          <a:prstGeom prst="rect">
            <a:avLst/>
          </a:prstGeom>
        </xdr:spPr>
      </xdr:pic>
      <mc:AlternateContent xmlns:mc="http://schemas.openxmlformats.org/markup-compatibility/2006">
        <mc:Choice xmlns:a14="http://schemas.microsoft.com/office/drawing/2010/main" Requires="a14">
          <xdr:sp macro="" textlink="">
            <xdr:nvSpPr>
              <xdr:cNvPr id="20570" name="Object 90" hidden="1">
                <a:extLst>
                  <a:ext uri="{63B3BB69-23CF-44E3-9099-C40C66FF867C}">
                    <a14:compatExt spid="_x0000_s20570"/>
                  </a:ext>
                  <a:ext uri="{FF2B5EF4-FFF2-40B4-BE49-F238E27FC236}">
                    <a16:creationId xmlns:a16="http://schemas.microsoft.com/office/drawing/2014/main" id="{00000000-0008-0000-0200-00005A500000}"/>
                  </a:ext>
                </a:extLst>
              </xdr:cNvPr>
              <xdr:cNvSpPr/>
            </xdr:nvSpPr>
            <xdr:spPr bwMode="auto">
              <a:xfrm>
                <a:off x="8434688" y="1749523"/>
                <a:ext cx="1569785" cy="7912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464820</xdr:colOff>
      <xdr:row>25</xdr:row>
      <xdr:rowOff>144780</xdr:rowOff>
    </xdr:from>
    <xdr:to>
      <xdr:col>1</xdr:col>
      <xdr:colOff>464820</xdr:colOff>
      <xdr:row>28</xdr:row>
      <xdr:rowOff>160020</xdr:rowOff>
    </xdr:to>
    <xdr:sp macro="" textlink="">
      <xdr:nvSpPr>
        <xdr:cNvPr id="13689" name="Line 5">
          <a:extLst>
            <a:ext uri="{FF2B5EF4-FFF2-40B4-BE49-F238E27FC236}">
              <a16:creationId xmlns:a16="http://schemas.microsoft.com/office/drawing/2014/main" id="{00000000-0008-0000-0300-000079350000}"/>
            </a:ext>
          </a:extLst>
        </xdr:cNvPr>
        <xdr:cNvSpPr>
          <a:spLocks noChangeShapeType="1"/>
        </xdr:cNvSpPr>
      </xdr:nvSpPr>
      <xdr:spPr bwMode="auto">
        <a:xfrm flipV="1">
          <a:off x="1074420" y="4518660"/>
          <a:ext cx="0" cy="52578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3</xdr:col>
          <xdr:colOff>558800</xdr:colOff>
          <xdr:row>27</xdr:row>
          <xdr:rowOff>146050</xdr:rowOff>
        </xdr:from>
        <xdr:to>
          <xdr:col>3</xdr:col>
          <xdr:colOff>2311400</xdr:colOff>
          <xdr:row>31</xdr:row>
          <xdr:rowOff>146050</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300-000001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Reset Thermal Calculator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6350</xdr:colOff>
          <xdr:row>27</xdr:row>
          <xdr:rowOff>146050</xdr:rowOff>
        </xdr:from>
        <xdr:to>
          <xdr:col>3</xdr:col>
          <xdr:colOff>101600</xdr:colOff>
          <xdr:row>31</xdr:row>
          <xdr:rowOff>146050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300-000004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Copy this Power to Heat Ratio to the Input Screen</a:t>
              </a:r>
            </a:p>
          </xdr:txBody>
        </xdr:sp>
        <xdr:clientData/>
      </xdr:twoCellAnchor>
    </mc:Choice>
    <mc:Fallback/>
  </mc:AlternateContent>
  <xdr:twoCellAnchor editAs="oneCell">
    <xdr:from>
      <xdr:col>4</xdr:col>
      <xdr:colOff>184150</xdr:colOff>
      <xdr:row>0</xdr:row>
      <xdr:rowOff>38100</xdr:rowOff>
    </xdr:from>
    <xdr:to>
      <xdr:col>7</xdr:col>
      <xdr:colOff>241300</xdr:colOff>
      <xdr:row>3</xdr:row>
      <xdr:rowOff>12700</xdr:rowOff>
    </xdr:to>
    <xdr:sp macro="" textlink="">
      <xdr:nvSpPr>
        <xdr:cNvPr id="13327" name="Object 15" hidden="1">
          <a:extLst>
            <a:ext uri="{63B3BB69-23CF-44E3-9099-C40C66FF867C}">
              <a14:compatExt xmlns:a14="http://schemas.microsoft.com/office/drawing/2010/main" spid="_x0000_s13327"/>
            </a:ext>
            <a:ext uri="{FF2B5EF4-FFF2-40B4-BE49-F238E27FC236}">
              <a16:creationId xmlns:a16="http://schemas.microsoft.com/office/drawing/2014/main" id="{00000000-0008-0000-0300-00000F3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xdr:from>
      <xdr:col>5</xdr:col>
      <xdr:colOff>0</xdr:colOff>
      <xdr:row>1</xdr:row>
      <xdr:rowOff>161924</xdr:rowOff>
    </xdr:from>
    <xdr:to>
      <xdr:col>7</xdr:col>
      <xdr:colOff>558800</xdr:colOff>
      <xdr:row>5</xdr:row>
      <xdr:rowOff>120651</xdr:rowOff>
    </xdr:to>
    <xdr:grpSp>
      <xdr:nvGrpSpPr>
        <xdr:cNvPr id="2" name="Group 1">
          <a:extLst>
            <a:ext uri="{FF2B5EF4-FFF2-40B4-BE49-F238E27FC236}">
              <a16:creationId xmlns:a16="http://schemas.microsoft.com/office/drawing/2014/main" id="{00000000-0008-0000-0300-000002000000}"/>
            </a:ext>
          </a:extLst>
        </xdr:cNvPr>
        <xdr:cNvGrpSpPr/>
      </xdr:nvGrpSpPr>
      <xdr:grpSpPr>
        <a:xfrm>
          <a:off x="6496050" y="355599"/>
          <a:ext cx="1781175" cy="758827"/>
          <a:chOff x="8419473" y="1749519"/>
          <a:chExt cx="1584999" cy="793389"/>
        </a:xfrm>
      </xdr:grpSpPr>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alphaModFix/>
          </a:blip>
          <a:stretch>
            <a:fillRect/>
          </a:stretch>
        </xdr:blipFill>
        <xdr:spPr>
          <a:xfrm>
            <a:off x="8419473" y="1769745"/>
            <a:ext cx="1581254" cy="773163"/>
          </a:xfrm>
          <a:prstGeom prst="rect">
            <a:avLst/>
          </a:prstGeom>
        </xdr:spPr>
      </xdr:pic>
      <mc:AlternateContent xmlns:mc="http://schemas.openxmlformats.org/markup-compatibility/2006">
        <mc:Choice xmlns:a14="http://schemas.microsoft.com/office/drawing/2010/main" Requires="a14">
          <xdr:sp macro="" textlink="">
            <xdr:nvSpPr>
              <xdr:cNvPr id="13317" name="Object 5" hidden="1">
                <a:extLst>
                  <a:ext uri="{63B3BB69-23CF-44E3-9099-C40C66FF867C}">
                    <a14:compatExt spid="_x0000_s13317"/>
                  </a:ext>
                  <a:ext uri="{FF2B5EF4-FFF2-40B4-BE49-F238E27FC236}">
                    <a16:creationId xmlns:a16="http://schemas.microsoft.com/office/drawing/2014/main" id="{00000000-0008-0000-0300-000005340000}"/>
                  </a:ext>
                </a:extLst>
              </xdr:cNvPr>
              <xdr:cNvSpPr/>
            </xdr:nvSpPr>
            <xdr:spPr bwMode="auto">
              <a:xfrm>
                <a:off x="8434687" y="1749519"/>
                <a:ext cx="1569785" cy="7912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701040</xdr:colOff>
      <xdr:row>25</xdr:row>
      <xdr:rowOff>68580</xdr:rowOff>
    </xdr:from>
    <xdr:to>
      <xdr:col>7</xdr:col>
      <xdr:colOff>449580</xdr:colOff>
      <xdr:row>25</xdr:row>
      <xdr:rowOff>68580</xdr:rowOff>
    </xdr:to>
    <xdr:sp macro="" textlink="">
      <xdr:nvSpPr>
        <xdr:cNvPr id="16760" name="Line 3">
          <a:extLst>
            <a:ext uri="{FF2B5EF4-FFF2-40B4-BE49-F238E27FC236}">
              <a16:creationId xmlns:a16="http://schemas.microsoft.com/office/drawing/2014/main" id="{00000000-0008-0000-0400-000078410000}"/>
            </a:ext>
          </a:extLst>
        </xdr:cNvPr>
        <xdr:cNvSpPr>
          <a:spLocks noChangeShapeType="1"/>
        </xdr:cNvSpPr>
      </xdr:nvSpPr>
      <xdr:spPr bwMode="auto">
        <a:xfrm flipH="1" flipV="1">
          <a:off x="5859780" y="3947160"/>
          <a:ext cx="1082040" cy="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7</xdr:col>
          <xdr:colOff>342900</xdr:colOff>
          <xdr:row>24</xdr:row>
          <xdr:rowOff>63500</xdr:rowOff>
        </xdr:from>
        <xdr:to>
          <xdr:col>10</xdr:col>
          <xdr:colOff>222250</xdr:colOff>
          <xdr:row>30</xdr:row>
          <xdr:rowOff>107950</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400-0000014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Click here to use the rates that have been entered here to define a user source in Input 23, </a:t>
              </a:r>
            </a:p>
            <a:p>
              <a:pPr algn="ctr" rtl="0">
                <a:defRPr sz="1000"/>
              </a:pPr>
              <a:r>
                <a:rPr lang="en-US" sz="1000" b="1" i="0" u="none" strike="noStrike" baseline="0">
                  <a:solidFill>
                    <a:srgbClr val="000000"/>
                  </a:solidFill>
                  <a:latin typeface="Arial"/>
                  <a:cs typeface="Arial"/>
                </a:rPr>
                <a:t>and Return to Input Screen</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20</xdr:row>
          <xdr:rowOff>0</xdr:rowOff>
        </xdr:from>
        <xdr:to>
          <xdr:col>10</xdr:col>
          <xdr:colOff>222250</xdr:colOff>
          <xdr:row>23</xdr:row>
          <xdr:rowOff>158750</xdr:rowOff>
        </xdr:to>
        <xdr:sp macro="" textlink="">
          <xdr:nvSpPr>
            <xdr:cNvPr id="16386" name="Button 2" hidden="1">
              <a:extLst>
                <a:ext uri="{63B3BB69-23CF-44E3-9099-C40C66FF867C}">
                  <a14:compatExt spid="_x0000_s16386"/>
                </a:ext>
                <a:ext uri="{FF2B5EF4-FFF2-40B4-BE49-F238E27FC236}">
                  <a16:creationId xmlns:a16="http://schemas.microsoft.com/office/drawing/2014/main" id="{00000000-0008-0000-0400-0000024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Reset this</a:t>
              </a:r>
            </a:p>
            <a:p>
              <a:pPr algn="ctr" rtl="0">
                <a:defRPr sz="1000"/>
              </a:pPr>
              <a:r>
                <a:rPr lang="en-US" sz="1000" b="1" i="0" u="none" strike="noStrike" baseline="0">
                  <a:solidFill>
                    <a:srgbClr val="000000"/>
                  </a:solidFill>
                  <a:latin typeface="Arial"/>
                  <a:cs typeface="Arial"/>
                </a:rPr>
                <a:t>Generation Sources </a:t>
              </a:r>
            </a:p>
            <a:p>
              <a:pPr algn="ctr" rtl="0">
                <a:defRPr sz="1000"/>
              </a:pPr>
              <a:r>
                <a:rPr lang="en-US" sz="1000" b="1" i="0" u="none" strike="noStrike" baseline="0">
                  <a:solidFill>
                    <a:srgbClr val="000000"/>
                  </a:solidFill>
                  <a:latin typeface="Arial"/>
                  <a:cs typeface="Arial"/>
                </a:rPr>
                <a:t>Screen</a:t>
              </a:r>
            </a:p>
          </xdr:txBody>
        </xdr:sp>
        <xdr:clientData/>
      </xdr:twoCellAnchor>
    </mc:Choice>
    <mc:Fallback/>
  </mc:AlternateContent>
  <xdr:twoCellAnchor editAs="oneCell">
    <xdr:from>
      <xdr:col>6</xdr:col>
      <xdr:colOff>336550</xdr:colOff>
      <xdr:row>0</xdr:row>
      <xdr:rowOff>152400</xdr:rowOff>
    </xdr:from>
    <xdr:to>
      <xdr:col>9</xdr:col>
      <xdr:colOff>120650</xdr:colOff>
      <xdr:row>3</xdr:row>
      <xdr:rowOff>158750</xdr:rowOff>
    </xdr:to>
    <xdr:sp macro="" textlink="">
      <xdr:nvSpPr>
        <xdr:cNvPr id="16396" name="Object 12" hidden="1">
          <a:extLst>
            <a:ext uri="{63B3BB69-23CF-44E3-9099-C40C66FF867C}">
              <a14:compatExt xmlns:a14="http://schemas.microsoft.com/office/drawing/2010/main" spid="_x0000_s16396"/>
            </a:ext>
            <a:ext uri="{FF2B5EF4-FFF2-40B4-BE49-F238E27FC236}">
              <a16:creationId xmlns:a16="http://schemas.microsoft.com/office/drawing/2014/main" id="{00000000-0008-0000-0400-00000C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xdr:from>
      <xdr:col>7</xdr:col>
      <xdr:colOff>549275</xdr:colOff>
      <xdr:row>0</xdr:row>
      <xdr:rowOff>171450</xdr:rowOff>
    </xdr:from>
    <xdr:to>
      <xdr:col>10</xdr:col>
      <xdr:colOff>215898</xdr:colOff>
      <xdr:row>4</xdr:row>
      <xdr:rowOff>66675</xdr:rowOff>
    </xdr:to>
    <xdr:grpSp>
      <xdr:nvGrpSpPr>
        <xdr:cNvPr id="2" name="Group 1">
          <a:extLst>
            <a:ext uri="{FF2B5EF4-FFF2-40B4-BE49-F238E27FC236}">
              <a16:creationId xmlns:a16="http://schemas.microsoft.com/office/drawing/2014/main" id="{00000000-0008-0000-0400-000002000000}"/>
            </a:ext>
          </a:extLst>
        </xdr:cNvPr>
        <xdr:cNvGrpSpPr/>
      </xdr:nvGrpSpPr>
      <xdr:grpSpPr>
        <a:xfrm>
          <a:off x="6997700" y="171450"/>
          <a:ext cx="1584323" cy="625475"/>
          <a:chOff x="8419473" y="1749522"/>
          <a:chExt cx="1584993" cy="793386"/>
        </a:xfrm>
      </xdr:grpSpPr>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alphaModFix/>
          </a:blip>
          <a:stretch>
            <a:fillRect/>
          </a:stretch>
        </xdr:blipFill>
        <xdr:spPr>
          <a:xfrm>
            <a:off x="8419473" y="1769745"/>
            <a:ext cx="1581254" cy="773163"/>
          </a:xfrm>
          <a:prstGeom prst="rect">
            <a:avLst/>
          </a:prstGeom>
        </xdr:spPr>
      </xdr:pic>
      <mc:AlternateContent xmlns:mc="http://schemas.openxmlformats.org/markup-compatibility/2006">
        <mc:Choice xmlns:a14="http://schemas.microsoft.com/office/drawing/2010/main" Requires="a14">
          <xdr:sp macro="" textlink="">
            <xdr:nvSpPr>
              <xdr:cNvPr id="16387" name="Object 3" hidden="1">
                <a:extLst>
                  <a:ext uri="{63B3BB69-23CF-44E3-9099-C40C66FF867C}">
                    <a14:compatExt spid="_x0000_s16387"/>
                  </a:ext>
                  <a:ext uri="{FF2B5EF4-FFF2-40B4-BE49-F238E27FC236}">
                    <a16:creationId xmlns:a16="http://schemas.microsoft.com/office/drawing/2014/main" id="{00000000-0008-0000-0400-000003400000}"/>
                  </a:ext>
                </a:extLst>
              </xdr:cNvPr>
              <xdr:cNvSpPr/>
            </xdr:nvSpPr>
            <xdr:spPr bwMode="auto">
              <a:xfrm>
                <a:off x="8434681" y="1749522"/>
                <a:ext cx="1569785" cy="7912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203200</xdr:colOff>
          <xdr:row>4</xdr:row>
          <xdr:rowOff>31750</xdr:rowOff>
        </xdr:from>
        <xdr:to>
          <xdr:col>11</xdr:col>
          <xdr:colOff>381000</xdr:colOff>
          <xdr:row>7</xdr:row>
          <xdr:rowOff>31750</xdr:rowOff>
        </xdr:to>
        <xdr:sp macro="" textlink="">
          <xdr:nvSpPr>
            <xdr:cNvPr id="24577" name="Button 1" hidden="1">
              <a:extLst>
                <a:ext uri="{63B3BB69-23CF-44E3-9099-C40C66FF867C}">
                  <a14:compatExt spid="_x0000_s24577"/>
                </a:ext>
                <a:ext uri="{FF2B5EF4-FFF2-40B4-BE49-F238E27FC236}">
                  <a16:creationId xmlns:a16="http://schemas.microsoft.com/office/drawing/2014/main" id="{00000000-0008-0000-0500-0000016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Return to Input Screen</a:t>
              </a:r>
            </a:p>
          </xdr:txBody>
        </xdr:sp>
        <xdr:clientData fPrintsWithSheet="0"/>
      </xdr:twoCellAnchor>
    </mc:Choice>
    <mc:Fallback/>
  </mc:AlternateContent>
  <xdr:twoCellAnchor>
    <xdr:from>
      <xdr:col>12</xdr:col>
      <xdr:colOff>9529</xdr:colOff>
      <xdr:row>0</xdr:row>
      <xdr:rowOff>0</xdr:rowOff>
    </xdr:from>
    <xdr:to>
      <xdr:col>14</xdr:col>
      <xdr:colOff>279402</xdr:colOff>
      <xdr:row>4</xdr:row>
      <xdr:rowOff>76200</xdr:rowOff>
    </xdr:to>
    <xdr:grpSp>
      <xdr:nvGrpSpPr>
        <xdr:cNvPr id="2" name="Group 1">
          <a:extLst>
            <a:ext uri="{FF2B5EF4-FFF2-40B4-BE49-F238E27FC236}">
              <a16:creationId xmlns:a16="http://schemas.microsoft.com/office/drawing/2014/main" id="{00000000-0008-0000-0500-000002000000}"/>
            </a:ext>
          </a:extLst>
        </xdr:cNvPr>
        <xdr:cNvGrpSpPr/>
      </xdr:nvGrpSpPr>
      <xdr:grpSpPr>
        <a:xfrm>
          <a:off x="8521704" y="0"/>
          <a:ext cx="1508123" cy="666750"/>
          <a:chOff x="8419473" y="1749521"/>
          <a:chExt cx="1584996" cy="793387"/>
        </a:xfrm>
      </xdr:grpSpPr>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alphaModFix/>
          </a:blip>
          <a:stretch>
            <a:fillRect/>
          </a:stretch>
        </xdr:blipFill>
        <xdr:spPr>
          <a:xfrm>
            <a:off x="8419473" y="1769745"/>
            <a:ext cx="1581254" cy="773163"/>
          </a:xfrm>
          <a:prstGeom prst="rect">
            <a:avLst/>
          </a:prstGeom>
        </xdr:spPr>
      </xdr:pic>
      <mc:AlternateContent xmlns:mc="http://schemas.openxmlformats.org/markup-compatibility/2006">
        <mc:Choice xmlns:a14="http://schemas.microsoft.com/office/drawing/2010/main" Requires="a14">
          <xdr:sp macro="" textlink="">
            <xdr:nvSpPr>
              <xdr:cNvPr id="24590" name="Object 14" hidden="1">
                <a:extLst>
                  <a:ext uri="{63B3BB69-23CF-44E3-9099-C40C66FF867C}">
                    <a14:compatExt spid="_x0000_s24590"/>
                  </a:ext>
                  <a:ext uri="{FF2B5EF4-FFF2-40B4-BE49-F238E27FC236}">
                    <a16:creationId xmlns:a16="http://schemas.microsoft.com/office/drawing/2014/main" id="{00000000-0008-0000-0500-00000E600000}"/>
                  </a:ext>
                </a:extLst>
              </xdr:cNvPr>
              <xdr:cNvSpPr/>
            </xdr:nvSpPr>
            <xdr:spPr bwMode="auto">
              <a:xfrm>
                <a:off x="8434685" y="1749521"/>
                <a:ext cx="1569784" cy="7912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12700</xdr:colOff>
          <xdr:row>74</xdr:row>
          <xdr:rowOff>139700</xdr:rowOff>
        </xdr:from>
        <xdr:to>
          <xdr:col>13</xdr:col>
          <xdr:colOff>450850</xdr:colOff>
          <xdr:row>78</xdr:row>
          <xdr:rowOff>0</xdr:rowOff>
        </xdr:to>
        <xdr:sp macro="" textlink="">
          <xdr:nvSpPr>
            <xdr:cNvPr id="56327" name="Button 7" hidden="1">
              <a:extLst>
                <a:ext uri="{63B3BB69-23CF-44E3-9099-C40C66FF867C}">
                  <a14:compatExt spid="_x0000_s56327"/>
                </a:ext>
                <a:ext uri="{FF2B5EF4-FFF2-40B4-BE49-F238E27FC236}">
                  <a16:creationId xmlns:a16="http://schemas.microsoft.com/office/drawing/2014/main" id="{00000000-0008-0000-0600-000007D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Return to </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12700</xdr:colOff>
          <xdr:row>11</xdr:row>
          <xdr:rowOff>25400</xdr:rowOff>
        </xdr:from>
        <xdr:to>
          <xdr:col>13</xdr:col>
          <xdr:colOff>450850</xdr:colOff>
          <xdr:row>14</xdr:row>
          <xdr:rowOff>31750</xdr:rowOff>
        </xdr:to>
        <xdr:sp macro="" textlink="">
          <xdr:nvSpPr>
            <xdr:cNvPr id="56328" name="Button 8" hidden="1">
              <a:extLst>
                <a:ext uri="{63B3BB69-23CF-44E3-9099-C40C66FF867C}">
                  <a14:compatExt spid="_x0000_s56328"/>
                </a:ext>
                <a:ext uri="{FF2B5EF4-FFF2-40B4-BE49-F238E27FC236}">
                  <a16:creationId xmlns:a16="http://schemas.microsoft.com/office/drawing/2014/main" id="{00000000-0008-0000-0600-000008D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Return to </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xdr:twoCellAnchor editAs="oneCell">
    <xdr:from>
      <xdr:col>0</xdr:col>
      <xdr:colOff>191770</xdr:colOff>
      <xdr:row>3</xdr:row>
      <xdr:rowOff>20320</xdr:rowOff>
    </xdr:from>
    <xdr:to>
      <xdr:col>11</xdr:col>
      <xdr:colOff>345440</xdr:colOff>
      <xdr:row>28</xdr:row>
      <xdr:rowOff>113030</xdr:rowOff>
    </xdr:to>
    <xdr:pic>
      <xdr:nvPicPr>
        <xdr:cNvPr id="8" name="Picture 7" descr="AVERT Regions">
          <a:extLst>
            <a:ext uri="{FF2B5EF4-FFF2-40B4-BE49-F238E27FC236}">
              <a16:creationId xmlns:a16="http://schemas.microsoft.com/office/drawing/2014/main" id="{00000000-0008-0000-06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1770" y="591820"/>
          <a:ext cx="6964045" cy="4061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12</xdr:col>
          <xdr:colOff>12700</xdr:colOff>
          <xdr:row>46</xdr:row>
          <xdr:rowOff>107950</xdr:rowOff>
        </xdr:from>
        <xdr:to>
          <xdr:col>13</xdr:col>
          <xdr:colOff>450850</xdr:colOff>
          <xdr:row>49</xdr:row>
          <xdr:rowOff>114300</xdr:rowOff>
        </xdr:to>
        <xdr:sp macro="" textlink="">
          <xdr:nvSpPr>
            <xdr:cNvPr id="56335" name="Button 15" hidden="1">
              <a:extLst>
                <a:ext uri="{63B3BB69-23CF-44E3-9099-C40C66FF867C}">
                  <a14:compatExt spid="_x0000_s56335"/>
                </a:ext>
                <a:ext uri="{FF2B5EF4-FFF2-40B4-BE49-F238E27FC236}">
                  <a16:creationId xmlns:a16="http://schemas.microsoft.com/office/drawing/2014/main" id="{00000000-0008-0000-0600-00000FD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Return to </a:t>
              </a:r>
            </a:p>
            <a:p>
              <a:pPr algn="ctr" rtl="0">
                <a:defRPr sz="1000"/>
              </a:pPr>
              <a:r>
                <a:rPr lang="en-US" sz="1200" b="1" i="0" u="none" strike="noStrike" baseline="0">
                  <a:solidFill>
                    <a:srgbClr val="000000"/>
                  </a:solidFill>
                  <a:latin typeface="Arial"/>
                  <a:cs typeface="Arial"/>
                </a:rPr>
                <a:t>Input Screen</a:t>
              </a:r>
            </a:p>
          </xdr:txBody>
        </xdr:sp>
        <xdr:clientData fPrintsWithSheet="0"/>
      </xdr:twoCellAnchor>
    </mc:Choice>
    <mc:Fallback/>
  </mc:AlternateContent>
  <xdr:twoCellAnchor editAs="oneCell">
    <xdr:from>
      <xdr:col>0</xdr:col>
      <xdr:colOff>99060</xdr:colOff>
      <xdr:row>63</xdr:row>
      <xdr:rowOff>60960</xdr:rowOff>
    </xdr:from>
    <xdr:to>
      <xdr:col>11</xdr:col>
      <xdr:colOff>172720</xdr:colOff>
      <xdr:row>91</xdr:row>
      <xdr:rowOff>0</xdr:rowOff>
    </xdr:to>
    <xdr:pic>
      <xdr:nvPicPr>
        <xdr:cNvPr id="9" name="Picture 8">
          <a:extLst>
            <a:ext uri="{FF2B5EF4-FFF2-40B4-BE49-F238E27FC236}">
              <a16:creationId xmlns:a16="http://schemas.microsoft.com/office/drawing/2014/main" id="{00000000-0008-0000-0600-00000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060" y="10888980"/>
          <a:ext cx="6781800" cy="4632960"/>
        </a:xfrm>
        <a:prstGeom prst="rect">
          <a:avLst/>
        </a:prstGeom>
        <a:noFill/>
        <a:ln>
          <a:noFill/>
        </a:ln>
      </xdr:spPr>
    </xdr:pic>
    <xdr:clientData/>
  </xdr:twoCellAnchor>
  <xdr:twoCellAnchor editAs="oneCell">
    <xdr:from>
      <xdr:col>0</xdr:col>
      <xdr:colOff>132290</xdr:colOff>
      <xdr:row>34</xdr:row>
      <xdr:rowOff>42538</xdr:rowOff>
    </xdr:from>
    <xdr:to>
      <xdr:col>8</xdr:col>
      <xdr:colOff>444499</xdr:colOff>
      <xdr:row>59</xdr:row>
      <xdr:rowOff>145896</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3"/>
        <a:stretch>
          <a:fillRect/>
        </a:stretch>
      </xdr:blipFill>
      <xdr:spPr>
        <a:xfrm>
          <a:off x="132290" y="5630538"/>
          <a:ext cx="5265209" cy="4072108"/>
        </a:xfrm>
        <a:prstGeom prst="rect">
          <a:avLst/>
        </a:prstGeom>
      </xdr:spPr>
    </xdr:pic>
    <xdr:clientData/>
  </xdr:twoCellAnchor>
  <xdr:twoCellAnchor>
    <xdr:from>
      <xdr:col>11</xdr:col>
      <xdr:colOff>534457</xdr:colOff>
      <xdr:row>0</xdr:row>
      <xdr:rowOff>1</xdr:rowOff>
    </xdr:from>
    <xdr:to>
      <xdr:col>14</xdr:col>
      <xdr:colOff>474684</xdr:colOff>
      <xdr:row>4</xdr:row>
      <xdr:rowOff>70908</xdr:rowOff>
    </xdr:to>
    <xdr:grpSp>
      <xdr:nvGrpSpPr>
        <xdr:cNvPr id="3" name="Group 2">
          <a:extLst>
            <a:ext uri="{FF2B5EF4-FFF2-40B4-BE49-F238E27FC236}">
              <a16:creationId xmlns:a16="http://schemas.microsoft.com/office/drawing/2014/main" id="{00000000-0008-0000-0600-000003000000}"/>
            </a:ext>
          </a:extLst>
        </xdr:cNvPr>
        <xdr:cNvGrpSpPr/>
      </xdr:nvGrpSpPr>
      <xdr:grpSpPr>
        <a:xfrm>
          <a:off x="7403040" y="1"/>
          <a:ext cx="1813477" cy="797982"/>
          <a:chOff x="8419473" y="1749525"/>
          <a:chExt cx="1585001" cy="793383"/>
        </a:xfrm>
      </xdr:grpSpPr>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4">
            <a:alphaModFix/>
          </a:blip>
          <a:stretch>
            <a:fillRect/>
          </a:stretch>
        </xdr:blipFill>
        <xdr:spPr>
          <a:xfrm>
            <a:off x="8419473" y="1769745"/>
            <a:ext cx="1581254" cy="773163"/>
          </a:xfrm>
          <a:prstGeom prst="rect">
            <a:avLst/>
          </a:prstGeom>
        </xdr:spPr>
      </xdr:pic>
      <mc:AlternateContent xmlns:mc="http://schemas.openxmlformats.org/markup-compatibility/2006">
        <mc:Choice xmlns:a14="http://schemas.microsoft.com/office/drawing/2010/main" Requires="a14">
          <xdr:sp macro="" textlink="">
            <xdr:nvSpPr>
              <xdr:cNvPr id="56341" name="Object 21" hidden="1">
                <a:extLst>
                  <a:ext uri="{63B3BB69-23CF-44E3-9099-C40C66FF867C}">
                    <a14:compatExt spid="_x0000_s56341"/>
                  </a:ext>
                  <a:ext uri="{FF2B5EF4-FFF2-40B4-BE49-F238E27FC236}">
                    <a16:creationId xmlns:a16="http://schemas.microsoft.com/office/drawing/2014/main" id="{00000000-0008-0000-0600-000015DC0000}"/>
                  </a:ext>
                </a:extLst>
              </xdr:cNvPr>
              <xdr:cNvSpPr/>
            </xdr:nvSpPr>
            <xdr:spPr bwMode="auto">
              <a:xfrm>
                <a:off x="8434689" y="1749525"/>
                <a:ext cx="1569785" cy="7912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fonline.sharepoint.com/Users/Jeffrey%20Hampson/AppData/Local/Microsoft/Windows/Temporary%20Internet%20Files/Low/Content.IE5/HD3F6QJ6/Cooling%20Calculator%20-%207.27.07%20unprotected%20to%20t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Inputs"/>
      <sheetName val="Results"/>
      <sheetName val="SubGenSources"/>
      <sheetName val="Lists"/>
      <sheetName val="STMTech"/>
      <sheetName val="CHPTech"/>
      <sheetName val="EGRID"/>
      <sheetName val="Profiles"/>
      <sheetName val="Factors"/>
      <sheetName val="Calc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persons/person.xml><?xml version="1.0" encoding="utf-8"?>
<personList xmlns="http://schemas.microsoft.com/office/spreadsheetml/2018/threadedcomments" xmlns:x="http://schemas.openxmlformats.org/spreadsheetml/2006/main">
  <person displayName="Posawatz, Nick" id="{2A10484E-64C8-45D5-854B-2FE46B86765A}" userId="S::37537@icf.com::454598b8-6261-46de-8747-8f90d0e9f489"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K46" dT="2020-11-13T14:05:27.98" personId="{2A10484E-64C8-45D5-854B-2FE46B86765A}" id="{4A858EC8-C088-4385-9B8A-AAB36EF4DE0E}">
    <text>Manuall paste these values in - something always gets messed up with the lookup</text>
  </threadedComment>
  <threadedComment ref="I47" dT="2020-11-13T14:06:19.67" personId="{2A10484E-64C8-45D5-854B-2FE46B86765A}" id="{8F19A1A3-1327-463B-B5AD-C253D493A4F2}">
    <text>All of these cells calculated by weighted averages from percentages at right (eGRID matched regions)</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10" Type="http://schemas.openxmlformats.org/officeDocument/2006/relationships/ctrlProp" Target="../ctrlProps/ctrlProp5.xml"/><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6.xml"/><Relationship Id="rId21" Type="http://schemas.openxmlformats.org/officeDocument/2006/relationships/ctrlProp" Target="../ctrlProps/ctrlProp21.xml"/><Relationship Id="rId42" Type="http://schemas.openxmlformats.org/officeDocument/2006/relationships/ctrlProp" Target="../ctrlProps/ctrlProp42.xml"/><Relationship Id="rId47" Type="http://schemas.openxmlformats.org/officeDocument/2006/relationships/ctrlProp" Target="../ctrlProps/ctrlProp47.xml"/><Relationship Id="rId63" Type="http://schemas.openxmlformats.org/officeDocument/2006/relationships/ctrlProp" Target="../ctrlProps/ctrlProp63.xml"/><Relationship Id="rId68" Type="http://schemas.openxmlformats.org/officeDocument/2006/relationships/ctrlProp" Target="../ctrlProps/ctrlProp68.xml"/><Relationship Id="rId84" Type="http://schemas.openxmlformats.org/officeDocument/2006/relationships/ctrlProp" Target="../ctrlProps/ctrlProp84.xml"/><Relationship Id="rId89" Type="http://schemas.openxmlformats.org/officeDocument/2006/relationships/ctrlProp" Target="../ctrlProps/ctrlProp89.xml"/><Relationship Id="rId16" Type="http://schemas.openxmlformats.org/officeDocument/2006/relationships/ctrlProp" Target="../ctrlProps/ctrlProp16.xml"/><Relationship Id="rId107" Type="http://schemas.openxmlformats.org/officeDocument/2006/relationships/ctrlProp" Target="../ctrlProps/ctrlProp107.xml"/><Relationship Id="rId11" Type="http://schemas.openxmlformats.org/officeDocument/2006/relationships/ctrlProp" Target="../ctrlProps/ctrlProp11.xml"/><Relationship Id="rId32" Type="http://schemas.openxmlformats.org/officeDocument/2006/relationships/ctrlProp" Target="../ctrlProps/ctrlProp32.xml"/><Relationship Id="rId37" Type="http://schemas.openxmlformats.org/officeDocument/2006/relationships/ctrlProp" Target="../ctrlProps/ctrlProp37.xml"/><Relationship Id="rId53" Type="http://schemas.openxmlformats.org/officeDocument/2006/relationships/ctrlProp" Target="../ctrlProps/ctrlProp53.xml"/><Relationship Id="rId58" Type="http://schemas.openxmlformats.org/officeDocument/2006/relationships/ctrlProp" Target="../ctrlProps/ctrlProp58.xml"/><Relationship Id="rId74" Type="http://schemas.openxmlformats.org/officeDocument/2006/relationships/ctrlProp" Target="../ctrlProps/ctrlProp74.xml"/><Relationship Id="rId79" Type="http://schemas.openxmlformats.org/officeDocument/2006/relationships/ctrlProp" Target="../ctrlProps/ctrlProp79.xml"/><Relationship Id="rId102" Type="http://schemas.openxmlformats.org/officeDocument/2006/relationships/ctrlProp" Target="../ctrlProps/ctrlProp102.xml"/><Relationship Id="rId5" Type="http://schemas.openxmlformats.org/officeDocument/2006/relationships/image" Target="../media/image1.emf"/><Relationship Id="rId90" Type="http://schemas.openxmlformats.org/officeDocument/2006/relationships/ctrlProp" Target="../ctrlProps/ctrlProp90.xml"/><Relationship Id="rId95" Type="http://schemas.openxmlformats.org/officeDocument/2006/relationships/ctrlProp" Target="../ctrlProps/ctrlProp95.xml"/><Relationship Id="rId22" Type="http://schemas.openxmlformats.org/officeDocument/2006/relationships/ctrlProp" Target="../ctrlProps/ctrlProp22.xml"/><Relationship Id="rId27" Type="http://schemas.openxmlformats.org/officeDocument/2006/relationships/ctrlProp" Target="../ctrlProps/ctrlProp27.xml"/><Relationship Id="rId43" Type="http://schemas.openxmlformats.org/officeDocument/2006/relationships/ctrlProp" Target="../ctrlProps/ctrlProp43.xml"/><Relationship Id="rId48" Type="http://schemas.openxmlformats.org/officeDocument/2006/relationships/ctrlProp" Target="../ctrlProps/ctrlProp48.xml"/><Relationship Id="rId64" Type="http://schemas.openxmlformats.org/officeDocument/2006/relationships/ctrlProp" Target="../ctrlProps/ctrlProp64.xml"/><Relationship Id="rId69" Type="http://schemas.openxmlformats.org/officeDocument/2006/relationships/ctrlProp" Target="../ctrlProps/ctrlProp69.xml"/><Relationship Id="rId80" Type="http://schemas.openxmlformats.org/officeDocument/2006/relationships/ctrlProp" Target="../ctrlProps/ctrlProp80.xml"/><Relationship Id="rId85" Type="http://schemas.openxmlformats.org/officeDocument/2006/relationships/ctrlProp" Target="../ctrlProps/ctrlProp85.xml"/><Relationship Id="rId12" Type="http://schemas.openxmlformats.org/officeDocument/2006/relationships/ctrlProp" Target="../ctrlProps/ctrlProp12.xml"/><Relationship Id="rId17" Type="http://schemas.openxmlformats.org/officeDocument/2006/relationships/ctrlProp" Target="../ctrlProps/ctrlProp17.xml"/><Relationship Id="rId33" Type="http://schemas.openxmlformats.org/officeDocument/2006/relationships/ctrlProp" Target="../ctrlProps/ctrlProp33.xml"/><Relationship Id="rId38" Type="http://schemas.openxmlformats.org/officeDocument/2006/relationships/ctrlProp" Target="../ctrlProps/ctrlProp38.xml"/><Relationship Id="rId59" Type="http://schemas.openxmlformats.org/officeDocument/2006/relationships/ctrlProp" Target="../ctrlProps/ctrlProp59.xml"/><Relationship Id="rId103" Type="http://schemas.openxmlformats.org/officeDocument/2006/relationships/ctrlProp" Target="../ctrlProps/ctrlProp103.xml"/><Relationship Id="rId108" Type="http://schemas.openxmlformats.org/officeDocument/2006/relationships/ctrlProp" Target="../ctrlProps/ctrlProp108.xml"/><Relationship Id="rId54" Type="http://schemas.openxmlformats.org/officeDocument/2006/relationships/ctrlProp" Target="../ctrlProps/ctrlProp54.xml"/><Relationship Id="rId70" Type="http://schemas.openxmlformats.org/officeDocument/2006/relationships/ctrlProp" Target="../ctrlProps/ctrlProp70.xml"/><Relationship Id="rId75" Type="http://schemas.openxmlformats.org/officeDocument/2006/relationships/ctrlProp" Target="../ctrlProps/ctrlProp75.xml"/><Relationship Id="rId91" Type="http://schemas.openxmlformats.org/officeDocument/2006/relationships/ctrlProp" Target="../ctrlProps/ctrlProp91.xml"/><Relationship Id="rId96" Type="http://schemas.openxmlformats.org/officeDocument/2006/relationships/ctrlProp" Target="../ctrlProps/ctrlProp96.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5" Type="http://schemas.openxmlformats.org/officeDocument/2006/relationships/ctrlProp" Target="../ctrlProps/ctrlProp15.xml"/><Relationship Id="rId23" Type="http://schemas.openxmlformats.org/officeDocument/2006/relationships/ctrlProp" Target="../ctrlProps/ctrlProp23.xml"/><Relationship Id="rId28" Type="http://schemas.openxmlformats.org/officeDocument/2006/relationships/ctrlProp" Target="../ctrlProps/ctrlProp28.xml"/><Relationship Id="rId36" Type="http://schemas.openxmlformats.org/officeDocument/2006/relationships/ctrlProp" Target="../ctrlProps/ctrlProp36.xml"/><Relationship Id="rId49" Type="http://schemas.openxmlformats.org/officeDocument/2006/relationships/ctrlProp" Target="../ctrlProps/ctrlProp49.xml"/><Relationship Id="rId57" Type="http://schemas.openxmlformats.org/officeDocument/2006/relationships/ctrlProp" Target="../ctrlProps/ctrlProp57.xml"/><Relationship Id="rId106" Type="http://schemas.openxmlformats.org/officeDocument/2006/relationships/ctrlProp" Target="../ctrlProps/ctrlProp106.xml"/><Relationship Id="rId10" Type="http://schemas.openxmlformats.org/officeDocument/2006/relationships/ctrlProp" Target="../ctrlProps/ctrlProp10.xml"/><Relationship Id="rId31" Type="http://schemas.openxmlformats.org/officeDocument/2006/relationships/ctrlProp" Target="../ctrlProps/ctrlProp31.xml"/><Relationship Id="rId44" Type="http://schemas.openxmlformats.org/officeDocument/2006/relationships/ctrlProp" Target="../ctrlProps/ctrlProp44.xml"/><Relationship Id="rId52" Type="http://schemas.openxmlformats.org/officeDocument/2006/relationships/ctrlProp" Target="../ctrlProps/ctrlProp52.xml"/><Relationship Id="rId60" Type="http://schemas.openxmlformats.org/officeDocument/2006/relationships/ctrlProp" Target="../ctrlProps/ctrlProp60.xml"/><Relationship Id="rId65" Type="http://schemas.openxmlformats.org/officeDocument/2006/relationships/ctrlProp" Target="../ctrlProps/ctrlProp65.xml"/><Relationship Id="rId73" Type="http://schemas.openxmlformats.org/officeDocument/2006/relationships/ctrlProp" Target="../ctrlProps/ctrlProp73.xml"/><Relationship Id="rId78" Type="http://schemas.openxmlformats.org/officeDocument/2006/relationships/ctrlProp" Target="../ctrlProps/ctrlProp78.xml"/><Relationship Id="rId81" Type="http://schemas.openxmlformats.org/officeDocument/2006/relationships/ctrlProp" Target="../ctrlProps/ctrlProp81.xml"/><Relationship Id="rId86" Type="http://schemas.openxmlformats.org/officeDocument/2006/relationships/ctrlProp" Target="../ctrlProps/ctrlProp86.xml"/><Relationship Id="rId94" Type="http://schemas.openxmlformats.org/officeDocument/2006/relationships/ctrlProp" Target="../ctrlProps/ctrlProp94.xml"/><Relationship Id="rId99" Type="http://schemas.openxmlformats.org/officeDocument/2006/relationships/ctrlProp" Target="../ctrlProps/ctrlProp99.xml"/><Relationship Id="rId101" Type="http://schemas.openxmlformats.org/officeDocument/2006/relationships/ctrlProp" Target="../ctrlProps/ctrlProp101.xml"/><Relationship Id="rId4" Type="http://schemas.openxmlformats.org/officeDocument/2006/relationships/oleObject" Target="../embeddings/oleObject2.bin"/><Relationship Id="rId9" Type="http://schemas.openxmlformats.org/officeDocument/2006/relationships/ctrlProp" Target="../ctrlProps/ctrlProp9.xml"/><Relationship Id="rId13" Type="http://schemas.openxmlformats.org/officeDocument/2006/relationships/ctrlProp" Target="../ctrlProps/ctrlProp13.xml"/><Relationship Id="rId18" Type="http://schemas.openxmlformats.org/officeDocument/2006/relationships/ctrlProp" Target="../ctrlProps/ctrlProp18.xml"/><Relationship Id="rId39" Type="http://schemas.openxmlformats.org/officeDocument/2006/relationships/ctrlProp" Target="../ctrlProps/ctrlProp39.xml"/><Relationship Id="rId109" Type="http://schemas.openxmlformats.org/officeDocument/2006/relationships/ctrlProp" Target="../ctrlProps/ctrlProp109.xml"/><Relationship Id="rId34" Type="http://schemas.openxmlformats.org/officeDocument/2006/relationships/ctrlProp" Target="../ctrlProps/ctrlProp34.xml"/><Relationship Id="rId50" Type="http://schemas.openxmlformats.org/officeDocument/2006/relationships/ctrlProp" Target="../ctrlProps/ctrlProp50.xml"/><Relationship Id="rId55" Type="http://schemas.openxmlformats.org/officeDocument/2006/relationships/ctrlProp" Target="../ctrlProps/ctrlProp55.xml"/><Relationship Id="rId76" Type="http://schemas.openxmlformats.org/officeDocument/2006/relationships/ctrlProp" Target="../ctrlProps/ctrlProp76.xml"/><Relationship Id="rId97" Type="http://schemas.openxmlformats.org/officeDocument/2006/relationships/ctrlProp" Target="../ctrlProps/ctrlProp97.xml"/><Relationship Id="rId104" Type="http://schemas.openxmlformats.org/officeDocument/2006/relationships/ctrlProp" Target="../ctrlProps/ctrlProp104.xml"/><Relationship Id="rId7" Type="http://schemas.openxmlformats.org/officeDocument/2006/relationships/ctrlProp" Target="../ctrlProps/ctrlProp7.xml"/><Relationship Id="rId71" Type="http://schemas.openxmlformats.org/officeDocument/2006/relationships/ctrlProp" Target="../ctrlProps/ctrlProp71.xml"/><Relationship Id="rId92" Type="http://schemas.openxmlformats.org/officeDocument/2006/relationships/ctrlProp" Target="../ctrlProps/ctrlProp92.xml"/><Relationship Id="rId2" Type="http://schemas.openxmlformats.org/officeDocument/2006/relationships/drawing" Target="../drawings/drawing2.xml"/><Relationship Id="rId29" Type="http://schemas.openxmlformats.org/officeDocument/2006/relationships/ctrlProp" Target="../ctrlProps/ctrlProp29.xml"/><Relationship Id="rId24" Type="http://schemas.openxmlformats.org/officeDocument/2006/relationships/ctrlProp" Target="../ctrlProps/ctrlProp24.xml"/><Relationship Id="rId40" Type="http://schemas.openxmlformats.org/officeDocument/2006/relationships/ctrlProp" Target="../ctrlProps/ctrlProp40.xml"/><Relationship Id="rId45" Type="http://schemas.openxmlformats.org/officeDocument/2006/relationships/ctrlProp" Target="../ctrlProps/ctrlProp45.xml"/><Relationship Id="rId66" Type="http://schemas.openxmlformats.org/officeDocument/2006/relationships/ctrlProp" Target="../ctrlProps/ctrlProp66.xml"/><Relationship Id="rId87" Type="http://schemas.openxmlformats.org/officeDocument/2006/relationships/ctrlProp" Target="../ctrlProps/ctrlProp87.xml"/><Relationship Id="rId110" Type="http://schemas.openxmlformats.org/officeDocument/2006/relationships/ctrlProp" Target="../ctrlProps/ctrlProp110.xml"/><Relationship Id="rId61" Type="http://schemas.openxmlformats.org/officeDocument/2006/relationships/ctrlProp" Target="../ctrlProps/ctrlProp61.xml"/><Relationship Id="rId82" Type="http://schemas.openxmlformats.org/officeDocument/2006/relationships/ctrlProp" Target="../ctrlProps/ctrlProp82.xml"/><Relationship Id="rId19" Type="http://schemas.openxmlformats.org/officeDocument/2006/relationships/ctrlProp" Target="../ctrlProps/ctrlProp19.xml"/><Relationship Id="rId14" Type="http://schemas.openxmlformats.org/officeDocument/2006/relationships/ctrlProp" Target="../ctrlProps/ctrlProp14.xml"/><Relationship Id="rId30" Type="http://schemas.openxmlformats.org/officeDocument/2006/relationships/ctrlProp" Target="../ctrlProps/ctrlProp30.xml"/><Relationship Id="rId35" Type="http://schemas.openxmlformats.org/officeDocument/2006/relationships/ctrlProp" Target="../ctrlProps/ctrlProp35.xml"/><Relationship Id="rId56" Type="http://schemas.openxmlformats.org/officeDocument/2006/relationships/ctrlProp" Target="../ctrlProps/ctrlProp56.xml"/><Relationship Id="rId77" Type="http://schemas.openxmlformats.org/officeDocument/2006/relationships/ctrlProp" Target="../ctrlProps/ctrlProp77.xml"/><Relationship Id="rId100" Type="http://schemas.openxmlformats.org/officeDocument/2006/relationships/ctrlProp" Target="../ctrlProps/ctrlProp100.xml"/><Relationship Id="rId105" Type="http://schemas.openxmlformats.org/officeDocument/2006/relationships/ctrlProp" Target="../ctrlProps/ctrlProp105.xml"/><Relationship Id="rId8" Type="http://schemas.openxmlformats.org/officeDocument/2006/relationships/ctrlProp" Target="../ctrlProps/ctrlProp8.xml"/><Relationship Id="rId51" Type="http://schemas.openxmlformats.org/officeDocument/2006/relationships/ctrlProp" Target="../ctrlProps/ctrlProp51.xml"/><Relationship Id="rId72" Type="http://schemas.openxmlformats.org/officeDocument/2006/relationships/ctrlProp" Target="../ctrlProps/ctrlProp72.xml"/><Relationship Id="rId93" Type="http://schemas.openxmlformats.org/officeDocument/2006/relationships/ctrlProp" Target="../ctrlProps/ctrlProp93.xml"/><Relationship Id="rId98" Type="http://schemas.openxmlformats.org/officeDocument/2006/relationships/ctrlProp" Target="../ctrlProps/ctrlProp98.xml"/><Relationship Id="rId3" Type="http://schemas.openxmlformats.org/officeDocument/2006/relationships/vmlDrawing" Target="../drawings/vmlDrawing2.vml"/><Relationship Id="rId25" Type="http://schemas.openxmlformats.org/officeDocument/2006/relationships/ctrlProp" Target="../ctrlProps/ctrlProp25.xml"/><Relationship Id="rId46" Type="http://schemas.openxmlformats.org/officeDocument/2006/relationships/ctrlProp" Target="../ctrlProps/ctrlProp46.xml"/><Relationship Id="rId67" Type="http://schemas.openxmlformats.org/officeDocument/2006/relationships/ctrlProp" Target="../ctrlProps/ctrlProp67.xml"/><Relationship Id="rId20" Type="http://schemas.openxmlformats.org/officeDocument/2006/relationships/ctrlProp" Target="../ctrlProps/ctrlProp20.xml"/><Relationship Id="rId41" Type="http://schemas.openxmlformats.org/officeDocument/2006/relationships/ctrlProp" Target="../ctrlProps/ctrlProp41.xml"/><Relationship Id="rId62" Type="http://schemas.openxmlformats.org/officeDocument/2006/relationships/ctrlProp" Target="../ctrlProps/ctrlProp62.xml"/><Relationship Id="rId83" Type="http://schemas.openxmlformats.org/officeDocument/2006/relationships/ctrlProp" Target="../ctrlProps/ctrlProp83.xml"/><Relationship Id="rId88" Type="http://schemas.openxmlformats.org/officeDocument/2006/relationships/ctrlProp" Target="../ctrlProps/ctrlProp88.xml"/><Relationship Id="rId111"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13.xml"/><Relationship Id="rId3" Type="http://schemas.openxmlformats.org/officeDocument/2006/relationships/vmlDrawing" Target="../drawings/vmlDrawing3.vml"/><Relationship Id="rId7" Type="http://schemas.openxmlformats.org/officeDocument/2006/relationships/ctrlProp" Target="../ctrlProps/ctrlProp11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1.xml"/><Relationship Id="rId5" Type="http://schemas.openxmlformats.org/officeDocument/2006/relationships/image" Target="../media/image1.emf"/><Relationship Id="rId4" Type="http://schemas.openxmlformats.org/officeDocument/2006/relationships/oleObject" Target="../embeddings/oleObject3.bin"/><Relationship Id="rId9"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15.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14.xml"/><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17.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16.xml"/><Relationship Id="rId5" Type="http://schemas.openxmlformats.org/officeDocument/2006/relationships/image" Target="../media/image1.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7" Type="http://schemas.openxmlformats.org/officeDocument/2006/relationships/ctrlProp" Target="../ctrlProps/ctrlProp118.xml"/><Relationship Id="rId2" Type="http://schemas.openxmlformats.org/officeDocument/2006/relationships/printerSettings" Target="../printerSettings/printerSettings6.bin"/><Relationship Id="rId1" Type="http://schemas.openxmlformats.org/officeDocument/2006/relationships/hyperlink" Target="http://www.ecfr.gov/cgi-bin/text-idx?tpl=/ecfrbrowse/Title40/40cfr98_main_02.tpl" TargetMode="External"/><Relationship Id="rId6" Type="http://schemas.openxmlformats.org/officeDocument/2006/relationships/image" Target="../media/image1.emf"/><Relationship Id="rId5" Type="http://schemas.openxmlformats.org/officeDocument/2006/relationships/oleObject" Target="../embeddings/oleObject6.bin"/><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21.xml"/><Relationship Id="rId3" Type="http://schemas.openxmlformats.org/officeDocument/2006/relationships/vmlDrawing" Target="../drawings/vmlDrawing7.vml"/><Relationship Id="rId7" Type="http://schemas.openxmlformats.org/officeDocument/2006/relationships/ctrlProp" Target="../ctrlProps/ctrlProp12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119.xml"/><Relationship Id="rId5" Type="http://schemas.openxmlformats.org/officeDocument/2006/relationships/image" Target="../media/image1.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9.vml"/><Relationship Id="rId1" Type="http://schemas.openxmlformats.org/officeDocument/2006/relationships/printerSettings" Target="../printerSettings/printerSettings11.bin"/><Relationship Id="rId4" Type="http://schemas.microsoft.com/office/2017/10/relationships/threadedComment" Target="../threadedComments/threadedComment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J121"/>
  <sheetViews>
    <sheetView showGridLines="0" tabSelected="1" zoomScaleNormal="100" workbookViewId="0">
      <selection activeCell="L1" sqref="L1"/>
    </sheetView>
  </sheetViews>
  <sheetFormatPr defaultRowHeight="12.5" x14ac:dyDescent="0.25"/>
  <cols>
    <col min="1" max="1" width="2.54296875" style="128" customWidth="1"/>
    <col min="2" max="2" width="22.54296875" style="128" customWidth="1"/>
    <col min="3" max="3" width="15.453125" style="128" customWidth="1"/>
    <col min="4" max="4" width="9.1796875" style="128" customWidth="1"/>
    <col min="5" max="5" width="7.453125" style="128" customWidth="1"/>
    <col min="6" max="6" width="21.453125" style="128" customWidth="1"/>
    <col min="7" max="7" width="11.54296875" style="128" customWidth="1"/>
    <col min="8" max="8" width="5.54296875" customWidth="1"/>
  </cols>
  <sheetData>
    <row r="1" spans="1:9" ht="15.65" customHeight="1" x14ac:dyDescent="0.25">
      <c r="A1" s="386"/>
      <c r="B1" s="386"/>
      <c r="C1" s="386"/>
      <c r="D1" s="386"/>
      <c r="E1" s="386"/>
      <c r="F1" s="386"/>
      <c r="G1" s="387"/>
    </row>
    <row r="2" spans="1:9" ht="15.65" customHeight="1" x14ac:dyDescent="0.25">
      <c r="A2" s="386"/>
      <c r="B2" s="386"/>
      <c r="C2" s="386"/>
      <c r="D2" s="386"/>
      <c r="E2" s="386"/>
      <c r="F2" s="386"/>
      <c r="G2" s="387"/>
    </row>
    <row r="3" spans="1:9" ht="15.65" customHeight="1" x14ac:dyDescent="0.25">
      <c r="A3" s="388"/>
      <c r="B3" s="388"/>
      <c r="C3" s="388"/>
      <c r="D3" s="388"/>
      <c r="E3" s="388"/>
      <c r="F3" s="388"/>
      <c r="G3" s="389"/>
    </row>
    <row r="4" spans="1:9" ht="18" customHeight="1" x14ac:dyDescent="0.25">
      <c r="A4" s="878" t="s">
        <v>0</v>
      </c>
      <c r="B4" s="878"/>
      <c r="I4" s="47"/>
    </row>
    <row r="5" spans="1:9" ht="15.75" customHeight="1" x14ac:dyDescent="0.3">
      <c r="B5" s="879"/>
      <c r="C5" s="879"/>
    </row>
    <row r="6" spans="1:9" ht="15.75" customHeight="1" x14ac:dyDescent="0.3">
      <c r="B6" s="129"/>
    </row>
    <row r="7" spans="1:9" ht="15.75" customHeight="1" x14ac:dyDescent="0.25">
      <c r="B7" s="874"/>
      <c r="C7" s="875"/>
      <c r="D7" s="875"/>
      <c r="E7" s="875"/>
      <c r="F7" s="875"/>
      <c r="G7" s="875"/>
    </row>
    <row r="8" spans="1:9" ht="15.75" customHeight="1" x14ac:dyDescent="0.25"/>
    <row r="9" spans="1:9" ht="15.75" customHeight="1" x14ac:dyDescent="0.25">
      <c r="B9" s="874"/>
      <c r="C9" s="875"/>
      <c r="D9" s="875"/>
      <c r="E9" s="875"/>
      <c r="F9" s="875"/>
      <c r="G9" s="875"/>
    </row>
    <row r="10" spans="1:9" ht="15.75" customHeight="1" x14ac:dyDescent="0.25"/>
    <row r="11" spans="1:9" ht="15.75" customHeight="1" x14ac:dyDescent="0.25">
      <c r="B11" s="874"/>
      <c r="C11" s="875"/>
      <c r="D11" s="875"/>
      <c r="E11" s="875"/>
      <c r="F11" s="875"/>
      <c r="G11" s="875"/>
    </row>
    <row r="12" spans="1:9" ht="15.75" customHeight="1" x14ac:dyDescent="0.25"/>
    <row r="13" spans="1:9" s="336" customFormat="1" ht="15.75" customHeight="1" x14ac:dyDescent="0.25">
      <c r="A13" s="335"/>
      <c r="B13" s="876"/>
      <c r="C13" s="877"/>
      <c r="D13" s="877"/>
      <c r="E13" s="877"/>
      <c r="F13" s="877"/>
      <c r="G13" s="877"/>
    </row>
    <row r="14" spans="1:9" ht="15.75" customHeight="1" x14ac:dyDescent="0.25"/>
    <row r="15" spans="1:9" ht="15.75" customHeight="1" x14ac:dyDescent="0.25">
      <c r="B15" s="874"/>
      <c r="C15" s="875"/>
      <c r="D15" s="875"/>
      <c r="E15" s="875"/>
      <c r="F15" s="875"/>
      <c r="G15" s="875"/>
    </row>
    <row r="16" spans="1:9" ht="15.75" customHeight="1" x14ac:dyDescent="0.25"/>
    <row r="17" spans="1:10" ht="15.75" customHeight="1" x14ac:dyDescent="0.3">
      <c r="B17" s="130"/>
    </row>
    <row r="18" spans="1:10" ht="15.75" customHeight="1" x14ac:dyDescent="0.25"/>
    <row r="19" spans="1:10" s="336" customFormat="1" ht="15.75" customHeight="1" x14ac:dyDescent="0.25">
      <c r="A19" s="337"/>
      <c r="B19" s="876"/>
      <c r="C19" s="877"/>
      <c r="D19" s="877"/>
      <c r="E19" s="877"/>
      <c r="F19" s="877"/>
      <c r="G19" s="877"/>
      <c r="J19" s="338"/>
    </row>
    <row r="20" spans="1:10" ht="15.75" customHeight="1" x14ac:dyDescent="0.25"/>
    <row r="21" spans="1:10" ht="15.75" customHeight="1" x14ac:dyDescent="0.3">
      <c r="B21" s="129"/>
    </row>
    <row r="22" spans="1:10" ht="15.75" customHeight="1" x14ac:dyDescent="0.25"/>
    <row r="23" spans="1:10" ht="15.75" customHeight="1" x14ac:dyDescent="0.25">
      <c r="B23" s="874"/>
      <c r="C23" s="875"/>
      <c r="D23" s="875"/>
      <c r="E23" s="875"/>
      <c r="F23" s="875"/>
      <c r="G23" s="875"/>
    </row>
    <row r="24" spans="1:10" ht="15.75" customHeight="1" x14ac:dyDescent="0.25"/>
    <row r="25" spans="1:10" s="336" customFormat="1" ht="15.75" customHeight="1" x14ac:dyDescent="0.25">
      <c r="A25" s="337"/>
      <c r="B25" s="876"/>
      <c r="C25" s="876"/>
      <c r="D25" s="876"/>
      <c r="E25" s="876"/>
      <c r="F25" s="876"/>
      <c r="G25" s="876"/>
    </row>
    <row r="26" spans="1:10" ht="15.75" customHeight="1" x14ac:dyDescent="0.25"/>
    <row r="27" spans="1:10" ht="15.75" customHeight="1" x14ac:dyDescent="0.25">
      <c r="B27" s="874"/>
      <c r="C27" s="875"/>
      <c r="D27" s="875"/>
      <c r="E27" s="875"/>
      <c r="F27" s="875"/>
      <c r="G27" s="875"/>
    </row>
    <row r="28" spans="1:10" ht="15.75" customHeight="1" x14ac:dyDescent="0.25"/>
    <row r="29" spans="1:10" s="338" customFormat="1" ht="15.75" customHeight="1" x14ac:dyDescent="0.25">
      <c r="A29" s="335"/>
      <c r="B29" s="876"/>
      <c r="C29" s="877"/>
      <c r="D29" s="877"/>
      <c r="E29" s="877"/>
      <c r="F29" s="877"/>
      <c r="G29" s="877"/>
    </row>
    <row r="30" spans="1:10" s="338" customFormat="1" ht="15.75" customHeight="1" x14ac:dyDescent="0.25">
      <c r="A30" s="335"/>
      <c r="B30" s="339"/>
      <c r="C30" s="340"/>
      <c r="D30" s="340"/>
      <c r="E30" s="340"/>
      <c r="F30" s="340"/>
      <c r="G30" s="340"/>
    </row>
    <row r="31" spans="1:10" s="338" customFormat="1" ht="15.75" customHeight="1" x14ac:dyDescent="0.25">
      <c r="A31" s="335"/>
      <c r="B31" s="876"/>
      <c r="C31" s="877"/>
      <c r="D31" s="877"/>
      <c r="E31" s="877"/>
      <c r="F31" s="877"/>
      <c r="G31" s="877"/>
    </row>
    <row r="32" spans="1:10" s="338" customFormat="1" ht="15.75" customHeight="1" x14ac:dyDescent="0.25">
      <c r="A32" s="335"/>
      <c r="B32" s="339"/>
      <c r="C32" s="340"/>
      <c r="D32" s="340"/>
      <c r="E32" s="340"/>
      <c r="F32" s="340"/>
      <c r="G32" s="340"/>
    </row>
    <row r="33" spans="1:7" s="338" customFormat="1" ht="15.75" customHeight="1" x14ac:dyDescent="0.25">
      <c r="A33" s="335"/>
      <c r="B33" s="339"/>
      <c r="C33" s="340"/>
      <c r="D33" s="340"/>
      <c r="E33" s="340"/>
      <c r="F33" s="340"/>
      <c r="G33" s="340"/>
    </row>
    <row r="34" spans="1:7" s="338" customFormat="1" ht="15.75" customHeight="1" x14ac:dyDescent="0.25">
      <c r="A34" s="335"/>
      <c r="B34" s="339"/>
      <c r="C34" s="340"/>
      <c r="D34" s="340"/>
      <c r="E34" s="340"/>
      <c r="F34" s="340"/>
      <c r="G34" s="340"/>
    </row>
    <row r="35" spans="1:7" s="338" customFormat="1" ht="15.75" customHeight="1" x14ac:dyDescent="0.25">
      <c r="A35" s="335"/>
      <c r="B35" s="876"/>
      <c r="C35" s="876"/>
      <c r="D35" s="876"/>
      <c r="E35" s="876"/>
      <c r="F35" s="876"/>
      <c r="G35" s="876"/>
    </row>
    <row r="36" spans="1:7" s="338" customFormat="1" ht="15.75" customHeight="1" x14ac:dyDescent="0.25">
      <c r="A36" s="335"/>
      <c r="B36" s="339"/>
      <c r="C36" s="340"/>
      <c r="D36" s="340"/>
      <c r="E36" s="340"/>
      <c r="F36" s="340"/>
      <c r="G36" s="340"/>
    </row>
    <row r="37" spans="1:7" s="338" customFormat="1" ht="15.75" customHeight="1" x14ac:dyDescent="0.25">
      <c r="A37" s="335"/>
      <c r="B37" s="876"/>
      <c r="C37" s="876"/>
      <c r="D37" s="876"/>
      <c r="E37" s="876"/>
      <c r="F37" s="876"/>
      <c r="G37" s="876"/>
    </row>
    <row r="38" spans="1:7" s="338" customFormat="1" ht="15.75" customHeight="1" x14ac:dyDescent="0.25">
      <c r="A38" s="335"/>
      <c r="B38" s="339"/>
      <c r="C38" s="340"/>
      <c r="D38" s="340"/>
      <c r="E38" s="340"/>
      <c r="F38" s="340"/>
      <c r="G38" s="340"/>
    </row>
    <row r="39" spans="1:7" s="338" customFormat="1" ht="15.75" customHeight="1" x14ac:dyDescent="0.25">
      <c r="A39" s="335"/>
      <c r="B39" s="876"/>
      <c r="C39" s="876"/>
      <c r="D39" s="876"/>
      <c r="E39" s="876"/>
      <c r="F39" s="876"/>
      <c r="G39" s="876"/>
    </row>
    <row r="40" spans="1:7" s="338" customFormat="1" ht="15.75" customHeight="1" x14ac:dyDescent="0.25">
      <c r="A40" s="335"/>
      <c r="B40" s="339"/>
      <c r="C40" s="340"/>
      <c r="D40" s="340"/>
      <c r="E40" s="340"/>
      <c r="F40" s="340"/>
      <c r="G40" s="340"/>
    </row>
    <row r="41" spans="1:7" s="338" customFormat="1" ht="15.75" customHeight="1" x14ac:dyDescent="0.25">
      <c r="A41" s="335"/>
      <c r="B41" s="876"/>
      <c r="C41" s="876"/>
      <c r="D41" s="876"/>
      <c r="E41" s="876"/>
      <c r="F41" s="876"/>
      <c r="G41" s="876"/>
    </row>
    <row r="42" spans="1:7" s="338" customFormat="1" ht="15.75" customHeight="1" x14ac:dyDescent="0.25">
      <c r="A42" s="335"/>
      <c r="B42" s="339"/>
      <c r="C42" s="340"/>
      <c r="D42" s="340"/>
      <c r="E42" s="340"/>
      <c r="F42" s="340"/>
      <c r="G42" s="340"/>
    </row>
    <row r="43" spans="1:7" s="338" customFormat="1" ht="15.75" customHeight="1" x14ac:dyDescent="0.25">
      <c r="A43" s="335"/>
      <c r="B43" s="341"/>
      <c r="C43" s="340"/>
      <c r="D43" s="340"/>
      <c r="E43" s="340"/>
      <c r="F43" s="340"/>
      <c r="G43" s="340"/>
    </row>
    <row r="44" spans="1:7" s="338" customFormat="1" ht="15.75" customHeight="1" x14ac:dyDescent="0.25">
      <c r="A44" s="335"/>
      <c r="B44" s="341"/>
      <c r="C44" s="340"/>
      <c r="D44" s="340"/>
      <c r="E44" s="340"/>
      <c r="F44" s="340"/>
      <c r="G44" s="340"/>
    </row>
    <row r="45" spans="1:7" s="338" customFormat="1" ht="15.75" customHeight="1" x14ac:dyDescent="0.25">
      <c r="A45" s="335"/>
      <c r="B45" s="341"/>
      <c r="C45" s="340"/>
      <c r="D45" s="340"/>
      <c r="E45" s="340"/>
      <c r="F45" s="340"/>
      <c r="G45" s="340"/>
    </row>
    <row r="46" spans="1:7" s="338" customFormat="1" ht="15.75" customHeight="1" x14ac:dyDescent="0.25">
      <c r="A46" s="335"/>
      <c r="B46" s="341"/>
      <c r="C46" s="340"/>
      <c r="D46" s="340"/>
      <c r="E46" s="340"/>
      <c r="F46" s="340"/>
      <c r="G46" s="340"/>
    </row>
    <row r="47" spans="1:7" s="338" customFormat="1" ht="15.75" customHeight="1" x14ac:dyDescent="0.25">
      <c r="A47" s="335"/>
      <c r="B47" s="341"/>
      <c r="C47" s="340"/>
      <c r="D47" s="340"/>
      <c r="E47" s="340"/>
      <c r="F47" s="340"/>
      <c r="G47" s="340"/>
    </row>
    <row r="48" spans="1:7" s="338" customFormat="1" ht="15.75" customHeight="1" x14ac:dyDescent="0.25">
      <c r="A48" s="335"/>
      <c r="B48" s="341"/>
      <c r="C48" s="340"/>
      <c r="D48" s="340"/>
      <c r="E48" s="340"/>
      <c r="F48" s="340"/>
      <c r="G48" s="340"/>
    </row>
    <row r="49" spans="1:8" s="338" customFormat="1" ht="15.75" customHeight="1" x14ac:dyDescent="0.25">
      <c r="A49" s="335"/>
      <c r="B49" s="341"/>
      <c r="C49" s="340"/>
      <c r="D49" s="340"/>
      <c r="E49" s="340"/>
      <c r="F49" s="340"/>
      <c r="G49" s="340"/>
    </row>
    <row r="50" spans="1:8" s="338" customFormat="1" ht="15.75" customHeight="1" x14ac:dyDescent="0.25">
      <c r="A50" s="335"/>
      <c r="B50" s="341"/>
      <c r="C50" s="340"/>
      <c r="D50" s="340"/>
      <c r="E50" s="340"/>
      <c r="F50" s="340"/>
      <c r="G50" s="340"/>
    </row>
    <row r="51" spans="1:8" s="338" customFormat="1" ht="15.75" customHeight="1" x14ac:dyDescent="0.25">
      <c r="A51" s="335"/>
      <c r="B51" s="341"/>
      <c r="C51" s="340"/>
      <c r="D51" s="340"/>
      <c r="E51" s="340"/>
      <c r="F51" s="340"/>
      <c r="G51" s="340"/>
    </row>
    <row r="52" spans="1:8" s="338" customFormat="1" ht="15.75" customHeight="1" x14ac:dyDescent="0.25">
      <c r="A52" s="335"/>
      <c r="B52" s="341"/>
      <c r="C52" s="340"/>
      <c r="D52" s="340"/>
      <c r="E52" s="340"/>
      <c r="F52" s="340"/>
      <c r="G52" s="340"/>
    </row>
    <row r="53" spans="1:8" s="338" customFormat="1" ht="15.75" customHeight="1" x14ac:dyDescent="0.25">
      <c r="A53" s="335"/>
      <c r="B53" s="341"/>
      <c r="C53" s="340"/>
      <c r="D53" s="340"/>
      <c r="E53" s="340"/>
      <c r="F53" s="340"/>
      <c r="G53" s="340"/>
    </row>
    <row r="54" spans="1:8" s="338" customFormat="1" ht="15.75" customHeight="1" x14ac:dyDescent="0.25">
      <c r="A54" s="335"/>
      <c r="B54" s="341"/>
      <c r="C54" s="340"/>
      <c r="D54" s="340"/>
      <c r="E54" s="340"/>
      <c r="F54" s="340"/>
      <c r="G54" s="340"/>
    </row>
    <row r="55" spans="1:8" s="338" customFormat="1" ht="15.75" customHeight="1" x14ac:dyDescent="0.25">
      <c r="A55" s="335"/>
      <c r="B55" s="339"/>
      <c r="C55" s="339"/>
      <c r="D55" s="339"/>
      <c r="E55" s="339"/>
      <c r="F55" s="339"/>
      <c r="G55" s="339"/>
      <c r="H55" s="339"/>
    </row>
    <row r="56" spans="1:8" s="338" customFormat="1" ht="15.75" customHeight="1" x14ac:dyDescent="0.25">
      <c r="A56" s="335"/>
      <c r="B56" s="876"/>
      <c r="C56" s="876"/>
      <c r="D56" s="876"/>
      <c r="E56" s="876"/>
      <c r="F56" s="876"/>
      <c r="G56" s="876"/>
      <c r="H56" s="876"/>
    </row>
    <row r="57" spans="1:8" s="338" customFormat="1" ht="15.75" customHeight="1" x14ac:dyDescent="0.25">
      <c r="A57" s="335"/>
      <c r="B57" s="339"/>
      <c r="C57" s="339"/>
      <c r="D57" s="339"/>
      <c r="E57" s="339"/>
      <c r="F57" s="339"/>
      <c r="G57" s="339"/>
      <c r="H57" s="339"/>
    </row>
    <row r="58" spans="1:8" s="338" customFormat="1" ht="15.75" customHeight="1" x14ac:dyDescent="0.25">
      <c r="A58" s="335"/>
      <c r="B58" s="876"/>
      <c r="C58" s="876"/>
      <c r="D58" s="876"/>
      <c r="E58" s="876"/>
      <c r="F58" s="876"/>
      <c r="G58" s="876"/>
      <c r="H58" s="876"/>
    </row>
    <row r="59" spans="1:8" s="338" customFormat="1" ht="15.75" customHeight="1" x14ac:dyDescent="0.25">
      <c r="A59" s="335"/>
      <c r="B59" s="339"/>
      <c r="C59" s="339"/>
      <c r="D59" s="339"/>
      <c r="E59" s="339"/>
      <c r="F59" s="339"/>
      <c r="G59" s="339"/>
      <c r="H59" s="339"/>
    </row>
    <row r="60" spans="1:8" s="338" customFormat="1" ht="15.75" customHeight="1" x14ac:dyDescent="0.25">
      <c r="A60" s="335"/>
      <c r="B60" s="876"/>
      <c r="C60" s="876"/>
      <c r="D60" s="876"/>
      <c r="E60" s="876"/>
      <c r="F60" s="876"/>
      <c r="G60" s="876"/>
      <c r="H60" s="876"/>
    </row>
    <row r="61" spans="1:8" s="338" customFormat="1" ht="15.75" customHeight="1" x14ac:dyDescent="0.25">
      <c r="A61" s="335"/>
      <c r="B61" s="876"/>
      <c r="C61" s="876"/>
      <c r="D61" s="876"/>
      <c r="E61" s="876"/>
      <c r="F61" s="876"/>
      <c r="G61" s="876"/>
      <c r="H61" s="876"/>
    </row>
    <row r="62" spans="1:8" s="338" customFormat="1" ht="15.75" customHeight="1" x14ac:dyDescent="0.25">
      <c r="A62" s="335"/>
      <c r="B62" s="880"/>
      <c r="C62" s="880"/>
      <c r="D62" s="880"/>
      <c r="E62" s="880"/>
      <c r="F62" s="880"/>
      <c r="G62" s="880"/>
      <c r="H62" s="880"/>
    </row>
    <row r="63" spans="1:8" ht="15.75" customHeight="1" x14ac:dyDescent="0.3">
      <c r="B63" s="129"/>
    </row>
    <row r="64" spans="1:8" ht="15.75" customHeight="1" x14ac:dyDescent="0.25">
      <c r="B64" s="876"/>
      <c r="C64" s="876"/>
      <c r="D64" s="876"/>
      <c r="E64" s="876"/>
      <c r="F64" s="876"/>
      <c r="G64" s="876"/>
      <c r="H64" s="876"/>
    </row>
    <row r="65" spans="2:2" ht="15.75" customHeight="1" x14ac:dyDescent="0.3">
      <c r="B65" s="129"/>
    </row>
    <row r="66" spans="2:2" ht="15.75" customHeight="1" x14ac:dyDescent="0.3">
      <c r="B66" s="130"/>
    </row>
    <row r="67" spans="2:2" ht="15.75" customHeight="1" x14ac:dyDescent="0.25"/>
    <row r="68" spans="2:2" ht="15.75" customHeight="1" x14ac:dyDescent="0.25">
      <c r="B68" s="202"/>
    </row>
    <row r="69" spans="2:2" ht="15.75" customHeight="1" x14ac:dyDescent="0.3">
      <c r="B69" s="131"/>
    </row>
    <row r="70" spans="2:2" ht="15.75" customHeight="1" x14ac:dyDescent="0.25"/>
    <row r="71" spans="2:2" ht="15.75" customHeight="1" x14ac:dyDescent="0.25"/>
    <row r="72" spans="2:2" ht="15.75" customHeight="1" x14ac:dyDescent="0.25"/>
    <row r="73" spans="2:2" ht="15.75" customHeight="1" x14ac:dyDescent="0.25"/>
    <row r="74" spans="2:2" ht="15.75" customHeight="1" x14ac:dyDescent="0.25"/>
    <row r="75" spans="2:2" ht="15.75" customHeight="1" x14ac:dyDescent="0.25"/>
    <row r="76" spans="2:2" ht="15.75" customHeight="1" x14ac:dyDescent="0.25"/>
    <row r="77" spans="2:2" ht="15.75" customHeight="1" x14ac:dyDescent="0.25"/>
    <row r="78" spans="2:2" ht="15.75" customHeight="1" x14ac:dyDescent="0.25">
      <c r="B78" s="202"/>
    </row>
    <row r="79" spans="2:2" ht="15.75" customHeight="1" x14ac:dyDescent="0.25"/>
    <row r="80" spans="2:2" ht="15.75" customHeight="1" x14ac:dyDescent="0.25"/>
    <row r="81" spans="2:7" ht="15.75" customHeight="1" x14ac:dyDescent="0.25"/>
    <row r="82" spans="2:7" ht="15.75" customHeight="1" x14ac:dyDescent="0.25"/>
    <row r="83" spans="2:7" ht="15.75" customHeight="1" x14ac:dyDescent="0.25"/>
    <row r="84" spans="2:7" ht="15.75" customHeight="1" x14ac:dyDescent="0.25">
      <c r="B84" s="874"/>
      <c r="C84" s="875"/>
      <c r="D84" s="875"/>
      <c r="E84" s="875"/>
      <c r="F84" s="875"/>
      <c r="G84" s="875"/>
    </row>
    <row r="85" spans="2:7" ht="15.75" customHeight="1" x14ac:dyDescent="0.25"/>
    <row r="86" spans="2:7" ht="15.75" customHeight="1" x14ac:dyDescent="0.3">
      <c r="B86" s="130"/>
    </row>
    <row r="87" spans="2:7" ht="15.75" customHeight="1" x14ac:dyDescent="0.25"/>
    <row r="88" spans="2:7" ht="15.75" customHeight="1" x14ac:dyDescent="0.25">
      <c r="B88" s="874"/>
      <c r="C88" s="875"/>
      <c r="D88" s="875"/>
      <c r="E88" s="875"/>
      <c r="F88" s="875"/>
      <c r="G88" s="875"/>
    </row>
    <row r="89" spans="2:7" ht="15.75" customHeight="1" x14ac:dyDescent="0.25"/>
    <row r="90" spans="2:7" ht="15.75" customHeight="1" x14ac:dyDescent="0.25">
      <c r="C90" s="132"/>
    </row>
    <row r="91" spans="2:7" ht="15.75" customHeight="1" x14ac:dyDescent="0.25"/>
    <row r="92" spans="2:7" ht="15.75" customHeight="1" x14ac:dyDescent="0.25"/>
    <row r="93" spans="2:7" ht="15.75" customHeight="1" x14ac:dyDescent="0.25"/>
    <row r="94" spans="2:7" ht="15.75" customHeight="1" x14ac:dyDescent="0.25"/>
    <row r="95" spans="2:7" ht="15.75" customHeight="1" x14ac:dyDescent="0.25"/>
    <row r="96" spans="2:7"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20" spans="1:7" s="99" customFormat="1" x14ac:dyDescent="0.25">
      <c r="A120" s="128"/>
      <c r="B120" s="128"/>
      <c r="C120" s="128"/>
      <c r="D120" s="128"/>
      <c r="E120" s="128"/>
      <c r="F120" s="128"/>
      <c r="G120" s="128"/>
    </row>
    <row r="121" spans="1:7" s="99" customFormat="1" x14ac:dyDescent="0.25">
      <c r="A121" s="128"/>
      <c r="B121" s="128"/>
      <c r="C121" s="128"/>
      <c r="D121" s="128"/>
      <c r="E121" s="128"/>
      <c r="F121" s="128"/>
      <c r="G121" s="128"/>
    </row>
  </sheetData>
  <sheetProtection algorithmName="SHA-512" hashValue="bpWvCPbu+EIrc8z2ikf3cbj/ccZJfCs++9ZkOQsKWsXYzp5IQN5Rh50aF41nLfywPxXCGwm7DV3exsYaH16EKg==" saltValue="9rayMfoKDV4KbNe1y2wjPg==" spinCount="100000" sheet="1" objects="1" scenarios="1"/>
  <mergeCells count="25">
    <mergeCell ref="A4:B4"/>
    <mergeCell ref="B5:C5"/>
    <mergeCell ref="B62:H62"/>
    <mergeCell ref="B64:H64"/>
    <mergeCell ref="B61:H61"/>
    <mergeCell ref="B56:H56"/>
    <mergeCell ref="B58:H58"/>
    <mergeCell ref="B60:H60"/>
    <mergeCell ref="B19:G19"/>
    <mergeCell ref="B7:G7"/>
    <mergeCell ref="B9:G9"/>
    <mergeCell ref="B11:G11"/>
    <mergeCell ref="B13:G13"/>
    <mergeCell ref="B15:G15"/>
    <mergeCell ref="B88:G88"/>
    <mergeCell ref="B23:G23"/>
    <mergeCell ref="B25:G25"/>
    <mergeCell ref="B27:G27"/>
    <mergeCell ref="B29:G29"/>
    <mergeCell ref="B35:G35"/>
    <mergeCell ref="B84:G84"/>
    <mergeCell ref="B31:G31"/>
    <mergeCell ref="B37:G37"/>
    <mergeCell ref="B39:G39"/>
    <mergeCell ref="B41:G41"/>
  </mergeCells>
  <phoneticPr fontId="18" type="noConversion"/>
  <printOptions horizontalCentered="1"/>
  <pageMargins left="0.75" right="0.75" top="1" bottom="1" header="0.5" footer="0.5"/>
  <pageSetup fitToHeight="2" orientation="portrait" r:id="rId1"/>
  <headerFooter alignWithMargins="0"/>
  <rowBreaks count="1" manualBreakCount="1">
    <brk id="65" min="1" max="6" man="1"/>
  </rowBreaks>
  <colBreaks count="1" manualBreakCount="1">
    <brk id="1" max="1048575" man="1"/>
  </colBreaks>
  <drawing r:id="rId2"/>
  <legacyDrawing r:id="rId3"/>
  <oleObjects>
    <mc:AlternateContent xmlns:mc="http://schemas.openxmlformats.org/markup-compatibility/2006">
      <mc:Choice Requires="x14">
        <oleObject progId="Acrobat.Document.DC" dvAspect="DVASPECT_ICON" shapeId="21780" r:id="rId4">
          <objectPr locked="0" defaultSize="0" autoPict="0" r:id="rId5">
            <anchor moveWithCells="1">
              <from>
                <xdr:col>7</xdr:col>
                <xdr:colOff>330200</xdr:colOff>
                <xdr:row>0</xdr:row>
                <xdr:rowOff>0</xdr:rowOff>
              </from>
              <to>
                <xdr:col>10</xdr:col>
                <xdr:colOff>393700</xdr:colOff>
                <xdr:row>3</xdr:row>
                <xdr:rowOff>25400</xdr:rowOff>
              </to>
            </anchor>
          </objectPr>
        </oleObject>
      </mc:Choice>
      <mc:Fallback>
        <oleObject progId="Acrobat.Document.DC" dvAspect="DVASPECT_ICON" shapeId="21780" r:id="rId4"/>
      </mc:Fallback>
    </mc:AlternateContent>
  </oleObjects>
  <mc:AlternateContent xmlns:mc="http://schemas.openxmlformats.org/markup-compatibility/2006">
    <mc:Choice Requires="x14">
      <controls>
        <mc:AlternateContent xmlns:mc="http://schemas.openxmlformats.org/markup-compatibility/2006">
          <mc:Choice Requires="x14">
            <control shapeId="21746" r:id="rId6" name="Button 242">
              <controlPr defaultSize="0" print="0" autoFill="0" autoPict="0" macro="[0]!Button1_Click">
                <anchor moveWithCells="1">
                  <from>
                    <xdr:col>7</xdr:col>
                    <xdr:colOff>342900</xdr:colOff>
                    <xdr:row>10</xdr:row>
                    <xdr:rowOff>190500</xdr:rowOff>
                  </from>
                  <to>
                    <xdr:col>9</xdr:col>
                    <xdr:colOff>374650</xdr:colOff>
                    <xdr:row>13</xdr:row>
                    <xdr:rowOff>114300</xdr:rowOff>
                  </to>
                </anchor>
              </controlPr>
            </control>
          </mc:Choice>
        </mc:AlternateContent>
        <mc:AlternateContent xmlns:mc="http://schemas.openxmlformats.org/markup-compatibility/2006">
          <mc:Choice Requires="x14">
            <control shapeId="21751" r:id="rId7" name="Button 247">
              <controlPr defaultSize="0" print="0" autoFill="0" autoPict="0" macro="[0]!Button1_Click">
                <anchor moveWithCells="1">
                  <from>
                    <xdr:col>7</xdr:col>
                    <xdr:colOff>342900</xdr:colOff>
                    <xdr:row>31</xdr:row>
                    <xdr:rowOff>31750</xdr:rowOff>
                  </from>
                  <to>
                    <xdr:col>9</xdr:col>
                    <xdr:colOff>381000</xdr:colOff>
                    <xdr:row>33</xdr:row>
                    <xdr:rowOff>158750</xdr:rowOff>
                  </to>
                </anchor>
              </controlPr>
            </control>
          </mc:Choice>
        </mc:AlternateContent>
        <mc:AlternateContent xmlns:mc="http://schemas.openxmlformats.org/markup-compatibility/2006">
          <mc:Choice Requires="x14">
            <control shapeId="21752" r:id="rId8" name="Button 248">
              <controlPr defaultSize="0" print="0" autoFill="0" autoPict="0" macro="[0]!Button1_Click">
                <anchor moveWithCells="1">
                  <from>
                    <xdr:col>7</xdr:col>
                    <xdr:colOff>342900</xdr:colOff>
                    <xdr:row>77</xdr:row>
                    <xdr:rowOff>101600</xdr:rowOff>
                  </from>
                  <to>
                    <xdr:col>9</xdr:col>
                    <xdr:colOff>381000</xdr:colOff>
                    <xdr:row>80</xdr:row>
                    <xdr:rowOff>31750</xdr:rowOff>
                  </to>
                </anchor>
              </controlPr>
            </control>
          </mc:Choice>
        </mc:AlternateContent>
        <mc:AlternateContent xmlns:mc="http://schemas.openxmlformats.org/markup-compatibility/2006">
          <mc:Choice Requires="x14">
            <control shapeId="21754" r:id="rId9" name="Button 250">
              <controlPr defaultSize="0" print="0" autoFill="0" autoPict="0" macro="[0]!Button1_Click">
                <anchor moveWithCells="1">
                  <from>
                    <xdr:col>7</xdr:col>
                    <xdr:colOff>336550</xdr:colOff>
                    <xdr:row>55</xdr:row>
                    <xdr:rowOff>152400</xdr:rowOff>
                  </from>
                  <to>
                    <xdr:col>9</xdr:col>
                    <xdr:colOff>374650</xdr:colOff>
                    <xdr:row>58</xdr:row>
                    <xdr:rowOff>101600</xdr:rowOff>
                  </to>
                </anchor>
              </controlPr>
            </control>
          </mc:Choice>
        </mc:AlternateContent>
        <mc:AlternateContent xmlns:mc="http://schemas.openxmlformats.org/markup-compatibility/2006">
          <mc:Choice Requires="x14">
            <control shapeId="21774" r:id="rId10" name="Button 270">
              <controlPr defaultSize="0" print="0" autoFill="0" autoPict="0" macro="[0]!Button1_Click">
                <anchor moveWithCells="1">
                  <from>
                    <xdr:col>7</xdr:col>
                    <xdr:colOff>336550</xdr:colOff>
                    <xdr:row>110</xdr:row>
                    <xdr:rowOff>120650</xdr:rowOff>
                  </from>
                  <to>
                    <xdr:col>9</xdr:col>
                    <xdr:colOff>374650</xdr:colOff>
                    <xdr:row>114</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218"/>
  <sheetViews>
    <sheetView showGridLines="0" zoomScaleNormal="100" workbookViewId="0">
      <selection activeCell="D1" sqref="D1"/>
    </sheetView>
  </sheetViews>
  <sheetFormatPr defaultColWidth="9.1796875" defaultRowHeight="17.25" customHeight="1" x14ac:dyDescent="0.25"/>
  <cols>
    <col min="1" max="1" width="41.453125" style="3" customWidth="1"/>
    <col min="2" max="2" width="30.81640625" style="3" customWidth="1"/>
    <col min="3" max="3" width="42.54296875" style="3" customWidth="1"/>
    <col min="4" max="4" width="2.54296875" style="3" customWidth="1"/>
    <col min="5" max="5" width="36.54296875" style="3" customWidth="1"/>
    <col min="6" max="6" width="12.453125" style="113" customWidth="1"/>
    <col min="7" max="7" width="12.453125" style="113" bestFit="1" customWidth="1"/>
    <col min="8" max="16384" width="9.1796875" style="3"/>
  </cols>
  <sheetData>
    <row r="1" spans="1:7" ht="55.4" customHeight="1" thickBot="1" x14ac:dyDescent="0.4">
      <c r="A1" s="453"/>
      <c r="B1" s="700"/>
      <c r="C1" s="454"/>
      <c r="D1" s="201"/>
      <c r="E1" s="559">
        <v>0</v>
      </c>
      <c r="F1" s="560">
        <f>SUM(G9:H207)</f>
        <v>0</v>
      </c>
      <c r="G1" s="560">
        <f>allchecknew</f>
        <v>0</v>
      </c>
    </row>
    <row r="2" spans="1:7" ht="30" customHeight="1" thickBot="1" x14ac:dyDescent="0.3">
      <c r="A2" s="881" t="s">
        <v>1</v>
      </c>
      <c r="B2" s="882"/>
      <c r="C2" s="883"/>
      <c r="D2" s="359"/>
      <c r="E2" s="559"/>
      <c r="F2" s="560"/>
      <c r="G2" s="560"/>
    </row>
    <row r="3" spans="1:7" ht="20.149999999999999" customHeight="1" thickTop="1" x14ac:dyDescent="0.35">
      <c r="A3" s="193" t="s">
        <v>2</v>
      </c>
      <c r="B3" s="701"/>
      <c r="C3" s="200"/>
      <c r="D3" s="360"/>
      <c r="E3" s="559"/>
      <c r="F3" s="560"/>
      <c r="G3" s="560"/>
    </row>
    <row r="4" spans="1:7" ht="20.149999999999999" customHeight="1" x14ac:dyDescent="0.25">
      <c r="A4" s="159" t="s">
        <v>3</v>
      </c>
      <c r="B4" s="702">
        <v>0</v>
      </c>
      <c r="C4" s="209"/>
      <c r="D4" s="194"/>
      <c r="E4" s="891" t="str">
        <f>IF(allchecknew&gt;0,"Errors found in some entries, check the input numbers listed in the box below","")</f>
        <v/>
      </c>
      <c r="F4" s="560"/>
      <c r="G4" s="560"/>
    </row>
    <row r="5" spans="1:7" ht="17.149999999999999" customHeight="1" x14ac:dyDescent="0.3">
      <c r="A5" s="163"/>
      <c r="B5" s="455"/>
      <c r="C5" s="209"/>
      <c r="D5" s="194"/>
      <c r="E5" s="891"/>
      <c r="F5" s="560"/>
      <c r="G5" s="560"/>
    </row>
    <row r="6" spans="1:7" ht="10.4" customHeight="1" x14ac:dyDescent="0.25">
      <c r="A6" s="157"/>
      <c r="B6" s="156">
        <v>1</v>
      </c>
      <c r="C6" s="158"/>
      <c r="D6"/>
      <c r="E6" s="891"/>
      <c r="F6" s="561"/>
      <c r="G6" s="560"/>
    </row>
    <row r="7" spans="1:7" ht="17.149999999999999" customHeight="1" x14ac:dyDescent="0.3">
      <c r="A7" s="175" t="s">
        <v>4</v>
      </c>
      <c r="B7" s="703"/>
      <c r="C7" s="209"/>
      <c r="D7" s="194"/>
      <c r="E7" s="562" t="str">
        <f>CONCATENATE(" ",allcheck1,"   ",allcheck2,"   ",allcheck4,"   ",allcheck5,"   ",allcheck6,"   ",allcheck8,"   ",allcheck9,"   ",allcheck10,"   ",allcheck11,"   ",allcheck12,"   ",allcheck13,"   ",allcheck14,"   ",allcheck15,"   ",allcheck16)</f>
        <v xml:space="preserve">                                        </v>
      </c>
      <c r="F7" s="560"/>
      <c r="G7" s="560"/>
    </row>
    <row r="8" spans="1:7" customFormat="1" ht="17.149999999999999" customHeight="1" x14ac:dyDescent="0.3">
      <c r="A8" s="160"/>
      <c r="B8" s="704" t="str">
        <f>IF(chptechinput&gt;0,CONCATENATE("Normal size range for this technology is ",TEXT(caplow/chptechcaplow,"#,###")," to ",TEXT(caphigh/chptechcaphigh,"#,###")," kW")," ")</f>
        <v xml:space="preserve"> </v>
      </c>
      <c r="C8" s="161"/>
      <c r="E8" s="563"/>
      <c r="F8" s="564"/>
      <c r="G8" s="560"/>
    </row>
    <row r="9" spans="1:7" ht="17.149999999999999" customHeight="1" x14ac:dyDescent="0.3">
      <c r="A9" s="162"/>
      <c r="B9" s="269">
        <v>0</v>
      </c>
      <c r="C9" s="209" t="s">
        <v>5</v>
      </c>
      <c r="D9" s="194"/>
      <c r="E9" s="563" t="str">
        <f>CONCATENATE(allcheck18,"   ",allcheck19,"   ",allcheck20,"   ",allcheck21,"   ",allcheck22,"   ",allcheck23,"   ",allcheck24,"   ",allcheck25,"   ",allcheck100,"   ",allcheck26,"   ",allcheck7,"   ")</f>
        <v xml:space="preserve">                                 </v>
      </c>
      <c r="F9" s="560"/>
      <c r="G9" s="560">
        <f>allcheck1</f>
        <v>0</v>
      </c>
    </row>
    <row r="10" spans="1:7" ht="8.15" customHeight="1" x14ac:dyDescent="0.3">
      <c r="A10" s="162"/>
      <c r="B10" s="196"/>
      <c r="C10" s="209"/>
      <c r="D10" s="194"/>
      <c r="E10" s="569"/>
      <c r="F10" s="560"/>
      <c r="G10" s="560">
        <f>F10</f>
        <v>0</v>
      </c>
    </row>
    <row r="11" spans="1:7" ht="10.4" customHeight="1" x14ac:dyDescent="0.3">
      <c r="A11" s="157"/>
      <c r="B11" s="155"/>
      <c r="C11" s="158"/>
      <c r="D11"/>
      <c r="E11" s="563"/>
      <c r="F11" s="561"/>
      <c r="G11" s="560">
        <f>allcheck2</f>
        <v>0</v>
      </c>
    </row>
    <row r="12" spans="1:7" ht="17.149999999999999" customHeight="1" x14ac:dyDescent="0.25">
      <c r="A12" s="159" t="s">
        <v>6</v>
      </c>
      <c r="B12" s="705"/>
      <c r="C12" s="209"/>
      <c r="D12" s="194"/>
      <c r="E12" s="569"/>
      <c r="F12" s="561"/>
      <c r="G12" s="560">
        <f>allcheck4</f>
        <v>0</v>
      </c>
    </row>
    <row r="13" spans="1:7" ht="17.149999999999999" customHeight="1" x14ac:dyDescent="0.25">
      <c r="A13" s="203"/>
      <c r="B13" s="269">
        <v>1</v>
      </c>
      <c r="C13" s="209"/>
      <c r="D13" s="194"/>
      <c r="E13" s="544"/>
      <c r="F13" s="561"/>
      <c r="G13" s="560">
        <f>F13</f>
        <v>0</v>
      </c>
    </row>
    <row r="14" spans="1:7" ht="8.15" customHeight="1" x14ac:dyDescent="0.3">
      <c r="A14" s="162"/>
      <c r="B14" s="196"/>
      <c r="C14" s="209"/>
      <c r="D14" s="194"/>
      <c r="E14" s="544"/>
      <c r="F14" s="560"/>
      <c r="G14" s="560">
        <f>F14</f>
        <v>0</v>
      </c>
    </row>
    <row r="15" spans="1:7" ht="10.4" customHeight="1" x14ac:dyDescent="0.25">
      <c r="A15" s="157"/>
      <c r="B15" s="155"/>
      <c r="C15" s="158"/>
      <c r="D15"/>
      <c r="E15" s="544"/>
      <c r="F15" s="561"/>
      <c r="G15" s="560">
        <f>allcheck5</f>
        <v>0</v>
      </c>
    </row>
    <row r="16" spans="1:7" ht="17.149999999999999" customHeight="1" x14ac:dyDescent="0.25">
      <c r="A16" s="159" t="s">
        <v>7</v>
      </c>
      <c r="B16" s="141"/>
      <c r="C16" s="161"/>
      <c r="D16"/>
      <c r="E16" s="544"/>
      <c r="F16" s="561"/>
      <c r="G16" s="560">
        <f>allcheck7</f>
        <v>0</v>
      </c>
    </row>
    <row r="17" spans="1:7" ht="17.149999999999999" customHeight="1" x14ac:dyDescent="0.25">
      <c r="A17" s="203" t="s">
        <v>8</v>
      </c>
      <c r="B17" s="141"/>
      <c r="C17" s="161"/>
      <c r="D17"/>
      <c r="E17" s="544"/>
      <c r="F17" s="561"/>
      <c r="G17" s="560">
        <f>allcheck6</f>
        <v>0</v>
      </c>
    </row>
    <row r="18" spans="1:7" ht="21" customHeight="1" x14ac:dyDescent="0.25">
      <c r="A18" s="164"/>
      <c r="B18" s="271">
        <v>0</v>
      </c>
      <c r="C18" s="897"/>
      <c r="D18" s="361"/>
      <c r="E18" s="544"/>
      <c r="F18" s="561"/>
      <c r="G18" s="560">
        <f>allcheck8</f>
        <v>0</v>
      </c>
    </row>
    <row r="19" spans="1:7" ht="8.15" customHeight="1" x14ac:dyDescent="0.25">
      <c r="A19" s="165"/>
      <c r="B19" s="141"/>
      <c r="C19" s="897"/>
      <c r="D19" s="361"/>
      <c r="E19" s="544"/>
      <c r="F19" s="561"/>
      <c r="G19" s="560">
        <f>allcheck9</f>
        <v>0</v>
      </c>
    </row>
    <row r="20" spans="1:7" ht="17.149999999999999" customHeight="1" x14ac:dyDescent="0.25">
      <c r="A20" s="166" t="s">
        <v>9</v>
      </c>
      <c r="B20" s="270">
        <v>0</v>
      </c>
      <c r="C20" s="897"/>
      <c r="D20" s="361"/>
      <c r="E20" s="565"/>
      <c r="F20" s="561"/>
      <c r="G20" s="560">
        <f>allcheck10</f>
        <v>0</v>
      </c>
    </row>
    <row r="21" spans="1:7" ht="17.149999999999999" customHeight="1" x14ac:dyDescent="0.25">
      <c r="A21" s="167" t="s">
        <v>10</v>
      </c>
      <c r="B21" s="272">
        <v>0</v>
      </c>
      <c r="C21" s="897"/>
      <c r="D21" s="361"/>
      <c r="E21" s="544"/>
      <c r="F21" s="560"/>
      <c r="G21" s="560">
        <f>F21</f>
        <v>0</v>
      </c>
    </row>
    <row r="22" spans="1:7" ht="8.15" customHeight="1" x14ac:dyDescent="0.3">
      <c r="A22" s="167"/>
      <c r="B22" s="204"/>
      <c r="C22" s="161"/>
      <c r="D22"/>
      <c r="E22" s="563"/>
      <c r="F22" s="560"/>
      <c r="G22" s="560">
        <f>F22</f>
        <v>0</v>
      </c>
    </row>
    <row r="23" spans="1:7" s="207" customFormat="1" ht="17.149999999999999" customHeight="1" x14ac:dyDescent="0.25">
      <c r="A23" s="205" t="s">
        <v>11</v>
      </c>
      <c r="B23" s="208"/>
      <c r="C23" s="206"/>
      <c r="D23" s="336"/>
      <c r="E23" s="569"/>
      <c r="F23" s="566"/>
      <c r="G23" s="560">
        <f>allcheck11</f>
        <v>0</v>
      </c>
    </row>
    <row r="24" spans="1:7" ht="17.149999999999999" customHeight="1" x14ac:dyDescent="0.25">
      <c r="A24" s="176" t="s">
        <v>12</v>
      </c>
      <c r="B24" s="270">
        <v>0</v>
      </c>
      <c r="C24" s="209" t="s">
        <v>13</v>
      </c>
      <c r="D24" s="194"/>
      <c r="E24" s="567"/>
      <c r="F24" s="560"/>
      <c r="G24" s="560">
        <f>F24</f>
        <v>0</v>
      </c>
    </row>
    <row r="25" spans="1:7" ht="8.15" customHeight="1" x14ac:dyDescent="0.3">
      <c r="A25" s="162"/>
      <c r="B25" s="142"/>
      <c r="C25" s="209"/>
      <c r="D25" s="194"/>
      <c r="E25" s="568"/>
      <c r="F25" s="560"/>
      <c r="G25" s="560">
        <f>F25</f>
        <v>0</v>
      </c>
    </row>
    <row r="26" spans="1:7" ht="10.4" customHeight="1" x14ac:dyDescent="0.25">
      <c r="A26" s="157"/>
      <c r="B26" s="155"/>
      <c r="C26" s="158"/>
      <c r="D26"/>
      <c r="E26" s="568"/>
      <c r="F26" s="561"/>
      <c r="G26" s="560">
        <f>allcheck12</f>
        <v>0</v>
      </c>
    </row>
    <row r="27" spans="1:7" customFormat="1" ht="17.149999999999999" customHeight="1" x14ac:dyDescent="0.3">
      <c r="A27" s="168" t="s">
        <v>14</v>
      </c>
      <c r="B27" s="703"/>
      <c r="C27" s="209"/>
      <c r="D27" s="194"/>
      <c r="E27" s="568"/>
      <c r="F27" s="561"/>
      <c r="G27" s="560">
        <f>allcheck13</f>
        <v>0</v>
      </c>
    </row>
    <row r="28" spans="1:7" customFormat="1" ht="21" customHeight="1" x14ac:dyDescent="0.25">
      <c r="A28" s="169"/>
      <c r="B28" s="273">
        <v>0</v>
      </c>
      <c r="C28" s="161"/>
      <c r="E28" s="568"/>
      <c r="F28" s="560"/>
      <c r="G28" s="560">
        <f>F28</f>
        <v>0</v>
      </c>
    </row>
    <row r="29" spans="1:7" customFormat="1" ht="8.15" customHeight="1" x14ac:dyDescent="0.25">
      <c r="A29" s="169"/>
      <c r="B29" s="143"/>
      <c r="C29" s="161"/>
      <c r="E29" s="568"/>
      <c r="F29" s="561"/>
      <c r="G29" s="560">
        <f>allcheck14</f>
        <v>0</v>
      </c>
    </row>
    <row r="30" spans="1:7" customFormat="1" ht="17.149999999999999" customHeight="1" x14ac:dyDescent="0.25">
      <c r="A30" s="225" t="str">
        <f>CONCATENATE("         If Heating and Cooling: How many of the ",TEXT(chours,"#,###")," hours are in cooling mode?")</f>
        <v xml:space="preserve">         If Heating and Cooling: How many of the  hours are in cooling mode?</v>
      </c>
      <c r="B30" s="143"/>
      <c r="C30" s="898"/>
      <c r="D30" s="362"/>
      <c r="E30" s="568"/>
      <c r="F30" s="561"/>
      <c r="G30" s="560">
        <f>allcheck15</f>
        <v>0</v>
      </c>
    </row>
    <row r="31" spans="1:7" customFormat="1" ht="17.149999999999999" customHeight="1" x14ac:dyDescent="0.25">
      <c r="A31" s="225"/>
      <c r="B31" s="143"/>
      <c r="C31" s="898"/>
      <c r="D31" s="362"/>
      <c r="E31" s="568"/>
      <c r="F31" s="561"/>
      <c r="G31" s="560">
        <f>F31</f>
        <v>0</v>
      </c>
    </row>
    <row r="32" spans="1:7" customFormat="1" ht="17.149999999999999" customHeight="1" x14ac:dyDescent="0.25">
      <c r="A32" s="176" t="s">
        <v>9</v>
      </c>
      <c r="B32" s="408">
        <v>0</v>
      </c>
      <c r="C32" s="898"/>
      <c r="D32" s="362"/>
      <c r="E32" s="568"/>
      <c r="F32" s="560"/>
      <c r="G32" s="560">
        <f>F32</f>
        <v>0</v>
      </c>
    </row>
    <row r="33" spans="1:7" customFormat="1" ht="17.149999999999999" customHeight="1" x14ac:dyDescent="0.25">
      <c r="A33" s="706" t="str">
        <f>CONCATENATE("as a percentage of the ",TEXT(chours,"#,###")," hours?")</f>
        <v>as a percentage of the  hours?</v>
      </c>
      <c r="B33" s="272">
        <v>0</v>
      </c>
      <c r="C33" s="898"/>
      <c r="D33" s="362"/>
      <c r="E33" s="568"/>
      <c r="F33" s="561"/>
      <c r="G33" s="560">
        <f>allcheck16</f>
        <v>0</v>
      </c>
    </row>
    <row r="34" spans="1:7" customFormat="1" ht="17.149999999999999" customHeight="1" x14ac:dyDescent="0.3">
      <c r="A34" s="243"/>
      <c r="B34" s="143"/>
      <c r="C34" s="170"/>
      <c r="D34" s="363"/>
      <c r="E34" s="563"/>
      <c r="F34" s="561"/>
      <c r="G34" s="560">
        <f>allcheck18</f>
        <v>0</v>
      </c>
    </row>
    <row r="35" spans="1:7" customFormat="1" ht="17.149999999999999" customHeight="1" x14ac:dyDescent="0.25">
      <c r="A35" s="225" t="str">
        <f>CONCATENATE("         If Heating and Cooling: Does the System Provide Simultaneous Heating and Cooling?")</f>
        <v xml:space="preserve">         If Heating and Cooling: Does the System Provide Simultaneous Heating and Cooling?</v>
      </c>
      <c r="B35" s="143"/>
      <c r="C35" s="161"/>
      <c r="E35" s="569"/>
      <c r="F35" s="561"/>
      <c r="G35" s="560">
        <f>allcheck19</f>
        <v>0</v>
      </c>
    </row>
    <row r="36" spans="1:7" customFormat="1" ht="17.149999999999999" customHeight="1" x14ac:dyDescent="0.25">
      <c r="A36" s="166"/>
      <c r="B36" s="273">
        <v>0</v>
      </c>
      <c r="C36" s="161"/>
      <c r="E36" s="569"/>
      <c r="F36" s="560"/>
      <c r="G36" s="560">
        <f>F36</f>
        <v>0</v>
      </c>
    </row>
    <row r="37" spans="1:7" ht="8.15" customHeight="1" x14ac:dyDescent="0.3">
      <c r="A37" s="162"/>
      <c r="B37" s="196"/>
      <c r="C37" s="209"/>
      <c r="D37" s="194"/>
      <c r="E37" s="569"/>
      <c r="F37" s="560"/>
      <c r="G37" s="560">
        <f>F37</f>
        <v>0</v>
      </c>
    </row>
    <row r="38" spans="1:7" ht="10.4" customHeight="1" x14ac:dyDescent="0.25">
      <c r="A38" s="157"/>
      <c r="B38" s="155"/>
      <c r="C38" s="158"/>
      <c r="D38"/>
      <c r="E38" s="569"/>
      <c r="F38" s="561"/>
      <c r="G38" s="560">
        <f>allcheck20</f>
        <v>0</v>
      </c>
    </row>
    <row r="39" spans="1:7" ht="17.149999999999999" customHeight="1" x14ac:dyDescent="0.25">
      <c r="A39" s="159" t="s">
        <v>15</v>
      </c>
      <c r="B39" s="141"/>
      <c r="C39" s="161"/>
      <c r="D39"/>
      <c r="E39" s="569"/>
      <c r="F39" s="561"/>
      <c r="G39" s="560">
        <f>allcheck21</f>
        <v>0</v>
      </c>
    </row>
    <row r="40" spans="1:7" ht="21" customHeight="1" x14ac:dyDescent="0.25">
      <c r="A40" s="171" t="s">
        <v>16</v>
      </c>
      <c r="B40" s="271">
        <v>0</v>
      </c>
      <c r="C40" s="161"/>
      <c r="D40"/>
      <c r="E40" s="569"/>
      <c r="F40" s="561"/>
      <c r="G40" s="560">
        <f>allcheck22</f>
        <v>0</v>
      </c>
    </row>
    <row r="41" spans="1:7" ht="12" customHeight="1" x14ac:dyDescent="0.25">
      <c r="A41" s="171"/>
      <c r="B41" s="886" t="str">
        <f>IF(chpfuelinput=7,"Click on 'View Biomass and Coal Fuel Characteristics' to select the appropriate CO2 emissions rate and heat content for your fuel. ","")</f>
        <v/>
      </c>
      <c r="C41" s="161"/>
      <c r="D41"/>
      <c r="E41" s="568"/>
      <c r="F41" s="561"/>
      <c r="G41" s="560">
        <f>allcheck23</f>
        <v>0</v>
      </c>
    </row>
    <row r="42" spans="1:7" ht="30" customHeight="1" x14ac:dyDescent="0.3">
      <c r="A42" s="333"/>
      <c r="B42" s="887"/>
      <c r="C42" s="216" t="str">
        <f>IF(chptechinput&gt;8,IF(chpfuelinput=8,"","Please enter a fuel type compatible with the CHP technology"),IF(chptechinput&lt;9,IF(chpfuelinput=8,"Please enter a fuel type compatible with the CHP technology",IF(chpfuelinput=0,"",IF(AND(chptechinput=3,chpfuelinput&lt;&gt;2),"Please enter a fuel type compatible with the CHP technology",IF(OR(chptechinput=6,chptechinput=8),"",IF(AND(OR(chptechinput&lt;&gt;6,chptechinput&lt;&gt;8),OR(chpfuelinput=4,chpfuelinput=6)),"Please enter a fuel compatible with the CHP technology","")))))))</f>
        <v/>
      </c>
      <c r="D42" s="364"/>
      <c r="E42" s="568"/>
      <c r="F42" s="561"/>
      <c r="G42" s="560">
        <f>F42</f>
        <v>0</v>
      </c>
    </row>
    <row r="43" spans="1:7" ht="10.4" customHeight="1" x14ac:dyDescent="0.25">
      <c r="A43" s="157"/>
      <c r="B43" s="155"/>
      <c r="C43" s="158"/>
      <c r="D43"/>
      <c r="E43" s="568"/>
      <c r="F43" s="561"/>
      <c r="G43" s="560">
        <f>allcheck24</f>
        <v>0</v>
      </c>
    </row>
    <row r="44" spans="1:7" customFormat="1" ht="17.149999999999999" customHeight="1" x14ac:dyDescent="0.3">
      <c r="A44" s="450" t="s">
        <v>17</v>
      </c>
      <c r="B44" s="142"/>
      <c r="C44" s="170"/>
      <c r="D44" s="363"/>
      <c r="E44" s="568"/>
      <c r="F44" s="561"/>
      <c r="G44" s="560">
        <f t="shared" ref="G44:G75" si="0">F44</f>
        <v>0</v>
      </c>
    </row>
    <row r="45" spans="1:7" customFormat="1" ht="17.149999999999999" customHeight="1" x14ac:dyDescent="0.3">
      <c r="A45" s="172"/>
      <c r="B45" s="270">
        <v>0</v>
      </c>
      <c r="C45" s="209" t="s">
        <v>18</v>
      </c>
      <c r="D45" s="194"/>
      <c r="E45" s="563"/>
      <c r="F45" s="560"/>
      <c r="G45" s="560">
        <f t="shared" si="0"/>
        <v>0</v>
      </c>
    </row>
    <row r="46" spans="1:7" customFormat="1" ht="17.149999999999999" customHeight="1" x14ac:dyDescent="0.3">
      <c r="A46" s="173" t="s">
        <v>19</v>
      </c>
      <c r="B46" s="270">
        <v>0</v>
      </c>
      <c r="C46" s="209" t="s">
        <v>20</v>
      </c>
      <c r="D46" s="194"/>
      <c r="E46" s="568"/>
      <c r="F46" s="560"/>
      <c r="G46" s="560">
        <f t="shared" si="0"/>
        <v>0</v>
      </c>
    </row>
    <row r="47" spans="1:7" customFormat="1" ht="17.149999999999999" customHeight="1" x14ac:dyDescent="0.3">
      <c r="A47" s="173" t="s">
        <v>19</v>
      </c>
      <c r="B47" s="270">
        <v>0</v>
      </c>
      <c r="C47" s="161" t="s">
        <v>21</v>
      </c>
      <c r="E47" s="568"/>
      <c r="F47" s="560"/>
      <c r="G47" s="560">
        <f t="shared" si="0"/>
        <v>0</v>
      </c>
    </row>
    <row r="48" spans="1:7" ht="8.15" customHeight="1" x14ac:dyDescent="0.3">
      <c r="A48" s="162"/>
      <c r="B48" s="196"/>
      <c r="C48" s="209"/>
      <c r="D48" s="194"/>
      <c r="E48" s="568"/>
      <c r="F48" s="560"/>
      <c r="G48" s="560">
        <f t="shared" si="0"/>
        <v>0</v>
      </c>
    </row>
    <row r="49" spans="1:7" customFormat="1" ht="10.4" customHeight="1" x14ac:dyDescent="0.25">
      <c r="A49" s="174"/>
      <c r="B49" s="150"/>
      <c r="C49" s="158"/>
      <c r="E49" s="568"/>
      <c r="F49" s="560"/>
      <c r="G49" s="560">
        <f t="shared" si="0"/>
        <v>0</v>
      </c>
    </row>
    <row r="50" spans="1:7" customFormat="1" ht="17.149999999999999" customHeight="1" x14ac:dyDescent="0.3">
      <c r="A50" s="175" t="s">
        <v>22</v>
      </c>
      <c r="B50" s="141"/>
      <c r="C50" s="161"/>
      <c r="E50" s="568"/>
      <c r="F50" s="560"/>
      <c r="G50" s="560">
        <f t="shared" si="0"/>
        <v>0</v>
      </c>
    </row>
    <row r="51" spans="1:7" customFormat="1" ht="17.149999999999999" customHeight="1" x14ac:dyDescent="0.3">
      <c r="A51" s="164"/>
      <c r="B51" s="332"/>
      <c r="C51" s="161"/>
      <c r="E51" s="563"/>
      <c r="F51" s="560"/>
      <c r="G51" s="560">
        <f t="shared" si="0"/>
        <v>0</v>
      </c>
    </row>
    <row r="52" spans="1:7" customFormat="1" ht="17.149999999999999" customHeight="1" x14ac:dyDescent="0.25">
      <c r="A52" s="169" t="s">
        <v>23</v>
      </c>
      <c r="B52" s="270">
        <v>0</v>
      </c>
      <c r="C52" s="264" t="str">
        <f>IF(AND(chptechinput&lt;&gt;6,OR(lbsteamperhr&gt;0,mmbtusteamperhr&gt;0)),"Enter boiler steam to process only if steam turbine"," ")</f>
        <v xml:space="preserve"> </v>
      </c>
      <c r="D52" s="365"/>
      <c r="E52" s="569"/>
      <c r="F52" s="560"/>
      <c r="G52" s="560">
        <f t="shared" si="0"/>
        <v>0</v>
      </c>
    </row>
    <row r="53" spans="1:7" customFormat="1" ht="17.149999999999999" customHeight="1" x14ac:dyDescent="0.3">
      <c r="A53" s="169" t="s">
        <v>24</v>
      </c>
      <c r="B53" s="270">
        <v>0</v>
      </c>
      <c r="C53" s="263" t="str">
        <f>IF(AND(chptechinput=6,AND(lbsteamperhr&gt;0,mmbtusteamperhr&gt;0)),"Please enter only lb/hr or MMBtu/hr","")</f>
        <v/>
      </c>
      <c r="D53" s="366"/>
      <c r="E53" s="568"/>
      <c r="F53" s="560"/>
      <c r="G53" s="560">
        <f t="shared" si="0"/>
        <v>0</v>
      </c>
    </row>
    <row r="54" spans="1:7" ht="8.15" customHeight="1" x14ac:dyDescent="0.3">
      <c r="A54" s="162"/>
      <c r="B54" s="196"/>
      <c r="C54" s="209"/>
      <c r="D54" s="194"/>
      <c r="E54" s="568"/>
      <c r="F54" s="560"/>
      <c r="G54" s="560">
        <f t="shared" si="0"/>
        <v>0</v>
      </c>
    </row>
    <row r="55" spans="1:7" ht="10.4" customHeight="1" x14ac:dyDescent="0.25">
      <c r="A55" s="157"/>
      <c r="B55" s="155"/>
      <c r="C55" s="158"/>
      <c r="D55"/>
      <c r="E55" s="568"/>
      <c r="F55" s="561"/>
      <c r="G55" s="560">
        <f t="shared" si="0"/>
        <v>0</v>
      </c>
    </row>
    <row r="56" spans="1:7" customFormat="1" ht="17.149999999999999" customHeight="1" x14ac:dyDescent="0.3">
      <c r="A56" s="175" t="s">
        <v>25</v>
      </c>
      <c r="B56" s="141"/>
      <c r="C56" s="161"/>
      <c r="E56" s="568"/>
      <c r="F56" s="560"/>
      <c r="G56" s="560">
        <f t="shared" si="0"/>
        <v>0</v>
      </c>
    </row>
    <row r="57" spans="1:7" customFormat="1" ht="17.149999999999999" customHeight="1" x14ac:dyDescent="0.3">
      <c r="A57" s="164"/>
      <c r="B57" s="141"/>
      <c r="C57" s="161"/>
      <c r="E57" s="563"/>
      <c r="F57" s="560"/>
      <c r="G57" s="560">
        <f t="shared" si="0"/>
        <v>0</v>
      </c>
    </row>
    <row r="58" spans="1:7" customFormat="1" ht="17.149999999999999" customHeight="1" x14ac:dyDescent="0.25">
      <c r="A58" s="164"/>
      <c r="B58" s="141"/>
      <c r="C58" s="161"/>
      <c r="E58" s="568"/>
      <c r="F58" s="560"/>
      <c r="G58" s="560">
        <f t="shared" si="0"/>
        <v>0</v>
      </c>
    </row>
    <row r="59" spans="1:7" customFormat="1" ht="17.149999999999999" customHeight="1" x14ac:dyDescent="0.3">
      <c r="A59" s="176" t="s">
        <v>26</v>
      </c>
      <c r="B59" s="272">
        <v>0</v>
      </c>
      <c r="C59" s="263" t="str">
        <f>IF(AND(chptechinput=6,boilereff=0),"Please enter an efficiency","")</f>
        <v/>
      </c>
      <c r="D59" s="366"/>
      <c r="E59" s="569"/>
      <c r="F59" s="560"/>
      <c r="G59" s="560">
        <f t="shared" si="0"/>
        <v>0</v>
      </c>
    </row>
    <row r="60" spans="1:7" ht="8.15" customHeight="1" x14ac:dyDescent="0.3">
      <c r="A60" s="162"/>
      <c r="B60" s="196"/>
      <c r="C60" s="209"/>
      <c r="D60" s="194"/>
      <c r="E60" s="569"/>
      <c r="F60" s="560"/>
      <c r="G60" s="560">
        <f t="shared" si="0"/>
        <v>0</v>
      </c>
    </row>
    <row r="61" spans="1:7" customFormat="1" ht="10.4" customHeight="1" x14ac:dyDescent="0.25">
      <c r="A61" s="707"/>
      <c r="B61" s="154"/>
      <c r="C61" s="158"/>
      <c r="E61" s="569"/>
      <c r="F61" s="560"/>
      <c r="G61" s="560">
        <f t="shared" si="0"/>
        <v>0</v>
      </c>
    </row>
    <row r="62" spans="1:7" ht="17.149999999999999" customHeight="1" x14ac:dyDescent="0.25">
      <c r="A62" s="159" t="s">
        <v>27</v>
      </c>
      <c r="B62" s="703"/>
      <c r="C62" s="209"/>
      <c r="D62" s="194"/>
      <c r="E62" s="569"/>
      <c r="F62" s="560"/>
      <c r="G62" s="560">
        <f t="shared" si="0"/>
        <v>0</v>
      </c>
    </row>
    <row r="63" spans="1:7" ht="17.149999999999999" customHeight="1" x14ac:dyDescent="0.25">
      <c r="A63" s="203"/>
      <c r="B63" s="703"/>
      <c r="C63" s="209"/>
      <c r="D63" s="194"/>
      <c r="E63" s="708"/>
      <c r="F63" s="560"/>
      <c r="G63" s="560">
        <f t="shared" si="0"/>
        <v>0</v>
      </c>
    </row>
    <row r="64" spans="1:7" ht="30" customHeight="1" x14ac:dyDescent="0.3">
      <c r="A64" s="195">
        <v>0</v>
      </c>
      <c r="B64" s="266" t="str">
        <f>IF(AND(OR(chptechinput=6,chptechinput=9,chptechinput=10),chpeffinput1&gt;0),"Electric efficiency is not used for this technology","")</f>
        <v/>
      </c>
      <c r="C64" s="242"/>
      <c r="D64" s="367"/>
      <c r="E64" s="569"/>
      <c r="F64" s="560"/>
      <c r="G64" s="560">
        <f t="shared" si="0"/>
        <v>0</v>
      </c>
    </row>
    <row r="65" spans="1:7" ht="17.149999999999999" customHeight="1" x14ac:dyDescent="0.3">
      <c r="A65" s="176" t="s">
        <v>28</v>
      </c>
      <c r="B65" s="272">
        <v>0</v>
      </c>
      <c r="C65" s="209" t="s">
        <v>29</v>
      </c>
      <c r="D65" s="194"/>
      <c r="E65" s="563"/>
      <c r="F65" s="560"/>
      <c r="G65" s="560">
        <f t="shared" si="0"/>
        <v>0</v>
      </c>
    </row>
    <row r="66" spans="1:7" ht="17.149999999999999" customHeight="1" x14ac:dyDescent="0.3">
      <c r="A66" s="173" t="s">
        <v>30</v>
      </c>
      <c r="B66" s="270">
        <v>0</v>
      </c>
      <c r="C66" s="209" t="s">
        <v>31</v>
      </c>
      <c r="D66" s="194"/>
      <c r="E66" s="569"/>
      <c r="F66" s="560"/>
      <c r="G66" s="560">
        <f t="shared" si="0"/>
        <v>0</v>
      </c>
    </row>
    <row r="67" spans="1:7" ht="17.149999999999999" customHeight="1" x14ac:dyDescent="0.3">
      <c r="A67" s="173" t="s">
        <v>32</v>
      </c>
      <c r="B67" s="269">
        <v>0</v>
      </c>
      <c r="C67" s="209" t="s">
        <v>33</v>
      </c>
      <c r="D67" s="194"/>
      <c r="E67" s="569"/>
      <c r="F67" s="560"/>
      <c r="G67" s="560">
        <f t="shared" si="0"/>
        <v>0</v>
      </c>
    </row>
    <row r="68" spans="1:7" ht="8.15" customHeight="1" x14ac:dyDescent="0.3">
      <c r="A68" s="162"/>
      <c r="B68" s="196"/>
      <c r="C68" s="209"/>
      <c r="D68" s="194"/>
      <c r="E68" s="569"/>
      <c r="F68" s="560"/>
      <c r="G68" s="560">
        <f t="shared" si="0"/>
        <v>0</v>
      </c>
    </row>
    <row r="69" spans="1:7" ht="10.4" customHeight="1" x14ac:dyDescent="0.25">
      <c r="A69" s="709"/>
      <c r="B69" s="710"/>
      <c r="C69" s="711"/>
      <c r="D69" s="194"/>
      <c r="E69" s="569"/>
      <c r="F69" s="560"/>
      <c r="G69" s="560">
        <f t="shared" si="0"/>
        <v>0</v>
      </c>
    </row>
    <row r="70" spans="1:7" ht="17.149999999999999" customHeight="1" x14ac:dyDescent="0.25">
      <c r="A70" s="159" t="s">
        <v>34</v>
      </c>
      <c r="B70" s="703"/>
      <c r="C70" s="209"/>
      <c r="D70" s="194"/>
      <c r="E70" s="569"/>
      <c r="F70" s="560"/>
      <c r="G70" s="560">
        <f t="shared" si="0"/>
        <v>0</v>
      </c>
    </row>
    <row r="71" spans="1:7" ht="17.149999999999999" customHeight="1" x14ac:dyDescent="0.25">
      <c r="A71" s="203" t="s">
        <v>35</v>
      </c>
      <c r="B71" s="703"/>
      <c r="C71" s="209"/>
      <c r="D71" s="194"/>
      <c r="E71" s="569"/>
      <c r="F71" s="560"/>
      <c r="G71" s="560">
        <f t="shared" si="0"/>
        <v>0</v>
      </c>
    </row>
    <row r="72" spans="1:7" ht="17.149999999999999" customHeight="1" x14ac:dyDescent="0.25">
      <c r="A72" s="203" t="s">
        <v>36</v>
      </c>
      <c r="B72" s="703"/>
      <c r="C72" s="209"/>
      <c r="D72" s="194"/>
      <c r="E72" s="569"/>
      <c r="F72" s="560"/>
      <c r="G72" s="560">
        <f t="shared" si="0"/>
        <v>0</v>
      </c>
    </row>
    <row r="73" spans="1:7" ht="17.149999999999999" customHeight="1" x14ac:dyDescent="0.25">
      <c r="A73" s="712"/>
      <c r="B73" s="703"/>
      <c r="C73" s="209"/>
      <c r="D73" s="194"/>
      <c r="E73" s="569"/>
      <c r="F73" s="560"/>
      <c r="G73" s="560">
        <f t="shared" si="0"/>
        <v>0</v>
      </c>
    </row>
    <row r="74" spans="1:7" ht="25.4" customHeight="1" x14ac:dyDescent="0.3">
      <c r="A74" s="203"/>
      <c r="B74" s="268" t="s">
        <v>37</v>
      </c>
      <c r="C74" s="209"/>
      <c r="D74" s="194"/>
      <c r="E74" s="562"/>
      <c r="F74" s="560"/>
      <c r="G74" s="560">
        <f t="shared" si="0"/>
        <v>0</v>
      </c>
    </row>
    <row r="75" spans="1:7" ht="17.149999999999999" customHeight="1" x14ac:dyDescent="0.3">
      <c r="A75" s="176" t="s">
        <v>38</v>
      </c>
      <c r="B75" s="274">
        <v>0</v>
      </c>
      <c r="C75" s="217" t="str">
        <f>IF(chpphinput&gt;0,IF(whptherminput&gt;0,"Enter only one value.",""),"")</f>
        <v/>
      </c>
      <c r="D75" s="368"/>
      <c r="E75" s="569"/>
      <c r="F75" s="560"/>
      <c r="G75" s="560">
        <f t="shared" si="0"/>
        <v>0</v>
      </c>
    </row>
    <row r="76" spans="1:7" ht="17.149999999999999" customHeight="1" x14ac:dyDescent="0.3">
      <c r="A76" s="176" t="s">
        <v>39</v>
      </c>
      <c r="B76" s="270">
        <v>0</v>
      </c>
      <c r="C76" s="334"/>
      <c r="D76" s="369"/>
      <c r="E76" s="568"/>
      <c r="F76" s="560"/>
      <c r="G76" s="560">
        <f t="shared" ref="G76:G107" si="1">F76</f>
        <v>0</v>
      </c>
    </row>
    <row r="77" spans="1:7" s="115" customFormat="1" ht="30" customHeight="1" x14ac:dyDescent="0.25">
      <c r="A77" s="901" t="str">
        <f>IF(AND(chptechinput=9,whptherminput&gt;0),"Useful Thermal Output only applies to WHP with thermal output",IF(AND(OR(chptechinput=1,chptechinput=2,chptechinput=3,chptechinput=4,chptechinput=5,chptechinput=6,chptechinput=7,chptechinput=8),whptherminput&gt;0),"Useful Thermal Output only applies to WHP - see the SubThermalCalculator tab for help calculating the Power to Heat Ratio",""))</f>
        <v/>
      </c>
      <c r="B77" s="902"/>
      <c r="C77" s="267" t="str">
        <f>IF(AND(OR(chptechinput=6,chptechinput=9),chpphinput&gt;0),"Power to Heat Ratio is not used for this technology","")</f>
        <v/>
      </c>
      <c r="D77" s="370"/>
      <c r="E77" s="568"/>
      <c r="F77" s="561"/>
      <c r="G77" s="560">
        <f t="shared" si="1"/>
        <v>0</v>
      </c>
    </row>
    <row r="78" spans="1:7" ht="10.4" customHeight="1" x14ac:dyDescent="0.3">
      <c r="A78" s="709"/>
      <c r="B78" s="710"/>
      <c r="C78" s="711"/>
      <c r="D78" s="194"/>
      <c r="E78" s="563"/>
      <c r="F78" s="560"/>
      <c r="G78" s="560">
        <f t="shared" si="1"/>
        <v>0</v>
      </c>
    </row>
    <row r="79" spans="1:7" customFormat="1" ht="17.149999999999999" customHeight="1" x14ac:dyDescent="0.3">
      <c r="A79" s="168" t="s">
        <v>40</v>
      </c>
      <c r="B79" s="153"/>
      <c r="C79" s="209"/>
      <c r="D79" s="194"/>
      <c r="E79" s="569"/>
      <c r="F79" s="560"/>
      <c r="G79" s="560">
        <f t="shared" si="1"/>
        <v>0</v>
      </c>
    </row>
    <row r="80" spans="1:7" customFormat="1" ht="21" customHeight="1" x14ac:dyDescent="0.25">
      <c r="A80" s="218">
        <v>0</v>
      </c>
      <c r="B80" s="273">
        <v>0</v>
      </c>
      <c r="C80" s="161"/>
      <c r="E80" s="568"/>
      <c r="F80" s="560"/>
      <c r="G80" s="560">
        <f t="shared" si="1"/>
        <v>0</v>
      </c>
    </row>
    <row r="81" spans="1:7" ht="17.149999999999999" customHeight="1" x14ac:dyDescent="0.3">
      <c r="A81" s="162"/>
      <c r="B81" s="351" t="str">
        <f>IF(AND(chptechinput&lt;&gt;5,chpduct1=1),"Duct burners only allowed on Combustion Turbines","")</f>
        <v/>
      </c>
      <c r="C81" s="209"/>
      <c r="D81" s="194"/>
      <c r="E81" s="568"/>
      <c r="F81" s="560"/>
      <c r="G81" s="560">
        <f t="shared" si="1"/>
        <v>0</v>
      </c>
    </row>
    <row r="82" spans="1:7" ht="10.4" customHeight="1" x14ac:dyDescent="0.25">
      <c r="A82" s="709"/>
      <c r="B82" s="710"/>
      <c r="C82" s="711"/>
      <c r="D82" s="194"/>
      <c r="E82" s="568"/>
      <c r="F82" s="560"/>
      <c r="G82" s="560">
        <f t="shared" si="1"/>
        <v>0</v>
      </c>
    </row>
    <row r="83" spans="1:7" customFormat="1" ht="17.149999999999999" customHeight="1" x14ac:dyDescent="0.3">
      <c r="A83" s="168" t="s">
        <v>41</v>
      </c>
      <c r="B83" s="703"/>
      <c r="C83" s="177"/>
      <c r="D83" s="371"/>
      <c r="E83" s="563"/>
      <c r="F83" s="560"/>
      <c r="G83" s="560">
        <f t="shared" si="1"/>
        <v>0</v>
      </c>
    </row>
    <row r="84" spans="1:7" customFormat="1" ht="17.149999999999999" customHeight="1" x14ac:dyDescent="0.25">
      <c r="A84" s="219" t="str">
        <f>IF(chptechinput&lt;&gt;0,CONCATENATE("         For reference, the ",CHPname," has a heat input of ",TEXT(cbtuperhour,"#,###.#")," MMBtu/hr")," ")</f>
        <v xml:space="preserve"> </v>
      </c>
      <c r="B84" s="144"/>
      <c r="C84" s="209"/>
      <c r="D84" s="194"/>
      <c r="E84" s="569"/>
      <c r="F84" s="560"/>
      <c r="G84" s="560">
        <f t="shared" si="1"/>
        <v>0</v>
      </c>
    </row>
    <row r="85" spans="1:7" customFormat="1" ht="17.149999999999999" customHeight="1" x14ac:dyDescent="0.25">
      <c r="A85" s="178"/>
      <c r="B85" s="275">
        <v>0</v>
      </c>
      <c r="C85" s="161" t="s">
        <v>42</v>
      </c>
      <c r="E85" s="568"/>
      <c r="F85" s="560"/>
      <c r="G85" s="560">
        <f t="shared" si="1"/>
        <v>0</v>
      </c>
    </row>
    <row r="86" spans="1:7" ht="8.15" customHeight="1" x14ac:dyDescent="0.3">
      <c r="A86" s="162"/>
      <c r="B86" s="196"/>
      <c r="C86" s="209"/>
      <c r="D86" s="194"/>
      <c r="E86" s="568"/>
      <c r="F86" s="560"/>
      <c r="G86" s="560">
        <f t="shared" si="1"/>
        <v>0</v>
      </c>
    </row>
    <row r="87" spans="1:7" ht="10.4" customHeight="1" x14ac:dyDescent="0.25">
      <c r="A87" s="709"/>
      <c r="B87" s="710"/>
      <c r="C87" s="711"/>
      <c r="D87" s="194"/>
      <c r="E87" s="568"/>
      <c r="F87" s="560"/>
      <c r="G87" s="560">
        <f t="shared" si="1"/>
        <v>0</v>
      </c>
    </row>
    <row r="88" spans="1:7" customFormat="1" ht="17.149999999999999" customHeight="1" x14ac:dyDescent="0.3">
      <c r="A88" s="222" t="str">
        <f>CONCATENATE("14. Duct Burners: The CHP system operates ",TEXT(chours,"#,###")," hours per year.  How much do the Duct Burners operate?")</f>
        <v>14. Duct Burners: The CHP system operates  hours per year.  How much do the Duct Burners operate?</v>
      </c>
      <c r="B88" s="143"/>
      <c r="C88" s="179"/>
      <c r="D88" s="372"/>
      <c r="E88" s="563"/>
      <c r="F88" s="560"/>
      <c r="G88" s="560">
        <f t="shared" si="1"/>
        <v>0</v>
      </c>
    </row>
    <row r="89" spans="1:7" customFormat="1" ht="17.149999999999999" customHeight="1" x14ac:dyDescent="0.3">
      <c r="A89" s="169" t="s">
        <v>9</v>
      </c>
      <c r="B89" s="270">
        <v>0</v>
      </c>
      <c r="C89" s="242"/>
      <c r="D89" s="367"/>
      <c r="E89" s="568"/>
      <c r="F89" s="560"/>
      <c r="G89" s="560">
        <f t="shared" si="1"/>
        <v>0</v>
      </c>
    </row>
    <row r="90" spans="1:7" customFormat="1" ht="17.149999999999999" customHeight="1" x14ac:dyDescent="0.25">
      <c r="A90" s="176" t="str">
        <f>CONCATENATE("As a percentage of the ",TEXT(chours,"#,###")," hours?")</f>
        <v>As a percentage of the  hours?</v>
      </c>
      <c r="B90" s="276">
        <v>0</v>
      </c>
      <c r="C90" s="220">
        <v>0</v>
      </c>
      <c r="D90" s="373"/>
      <c r="E90" s="568"/>
      <c r="F90" s="560"/>
      <c r="G90" s="560">
        <f t="shared" si="1"/>
        <v>0</v>
      </c>
    </row>
    <row r="91" spans="1:7" ht="8.15" customHeight="1" x14ac:dyDescent="0.3">
      <c r="A91" s="162"/>
      <c r="B91" s="196"/>
      <c r="C91" s="209"/>
      <c r="D91" s="194"/>
      <c r="E91" s="568"/>
      <c r="F91" s="560"/>
      <c r="G91" s="560">
        <f t="shared" si="1"/>
        <v>0</v>
      </c>
    </row>
    <row r="92" spans="1:7" customFormat="1" ht="10.4" customHeight="1" x14ac:dyDescent="0.25">
      <c r="A92" s="888" t="s">
        <v>43</v>
      </c>
      <c r="B92" s="149"/>
      <c r="C92" s="180"/>
      <c r="E92" s="568"/>
      <c r="F92" s="560"/>
      <c r="G92" s="560">
        <f t="shared" si="1"/>
        <v>0</v>
      </c>
    </row>
    <row r="93" spans="1:7" customFormat="1" ht="10.4" customHeight="1" x14ac:dyDescent="0.25">
      <c r="A93" s="889"/>
      <c r="B93" s="152"/>
      <c r="C93" s="181"/>
      <c r="E93" s="569"/>
      <c r="F93" s="560"/>
      <c r="G93" s="560">
        <f t="shared" si="1"/>
        <v>0</v>
      </c>
    </row>
    <row r="94" spans="1:7" customFormat="1" ht="17.149999999999999" customHeight="1" x14ac:dyDescent="0.3">
      <c r="A94" s="182" t="s">
        <v>44</v>
      </c>
      <c r="B94" s="139" t="str">
        <f>IF(coolinput1=1,"Yes","No")</f>
        <v>No</v>
      </c>
      <c r="C94" s="713"/>
      <c r="D94" s="194"/>
      <c r="E94" s="568"/>
      <c r="F94" s="560"/>
      <c r="G94" s="560">
        <f t="shared" si="1"/>
        <v>0</v>
      </c>
    </row>
    <row r="95" spans="1:7" customFormat="1" ht="17.149999999999999" customHeight="1" x14ac:dyDescent="0.25">
      <c r="A95" s="221">
        <f>IF(chpheatcoolboth=0,2,IF(chpheatcoolboth=1,2,1))</f>
        <v>2</v>
      </c>
      <c r="B95" s="714" t="str">
        <f>IF(coolinput1=1,"You indicated Cooling in Item 5","You indicated No Cooling in Item 5")</f>
        <v>You indicated No Cooling in Item 5</v>
      </c>
      <c r="C95" s="9"/>
      <c r="E95" s="568"/>
      <c r="F95" s="560"/>
      <c r="G95" s="560">
        <f t="shared" si="1"/>
        <v>0</v>
      </c>
    </row>
    <row r="96" spans="1:7" ht="10.4" customHeight="1" x14ac:dyDescent="0.25">
      <c r="A96" s="709"/>
      <c r="B96" s="710"/>
      <c r="C96" s="711"/>
      <c r="D96" s="194"/>
      <c r="E96" s="568"/>
      <c r="F96" s="560"/>
      <c r="G96" s="560">
        <f t="shared" si="1"/>
        <v>0</v>
      </c>
    </row>
    <row r="97" spans="1:7" customFormat="1" ht="17.149999999999999" customHeight="1" x14ac:dyDescent="0.3">
      <c r="A97" s="182" t="s">
        <v>45</v>
      </c>
      <c r="B97" s="68"/>
      <c r="C97" s="713"/>
      <c r="D97" s="194"/>
      <c r="E97" s="568"/>
      <c r="F97" s="560"/>
      <c r="G97" s="560">
        <f t="shared" si="1"/>
        <v>0</v>
      </c>
    </row>
    <row r="98" spans="1:7" customFormat="1" ht="21" customHeight="1" x14ac:dyDescent="0.25">
      <c r="A98" s="93"/>
      <c r="B98" s="74">
        <v>0</v>
      </c>
      <c r="C98" s="183">
        <v>0</v>
      </c>
      <c r="D98" s="374"/>
      <c r="E98" s="568"/>
      <c r="F98" s="560"/>
      <c r="G98" s="560">
        <f t="shared" si="1"/>
        <v>0</v>
      </c>
    </row>
    <row r="99" spans="1:7" customFormat="1" ht="17.149999999999999" customHeight="1" x14ac:dyDescent="0.25">
      <c r="A99" s="184"/>
      <c r="B99" s="70"/>
      <c r="C99" s="713"/>
      <c r="D99" s="194"/>
      <c r="E99" s="569"/>
      <c r="F99" s="560"/>
      <c r="G99" s="560">
        <f t="shared" si="1"/>
        <v>0</v>
      </c>
    </row>
    <row r="100" spans="1:7" customFormat="1" ht="17.149999999999999" customHeight="1" x14ac:dyDescent="0.25">
      <c r="A100" s="93" t="s">
        <v>46</v>
      </c>
      <c r="B100" s="151">
        <v>0</v>
      </c>
      <c r="C100" s="713"/>
      <c r="D100" s="194"/>
      <c r="E100" s="568"/>
      <c r="F100" s="560"/>
      <c r="G100" s="560">
        <f t="shared" si="1"/>
        <v>0</v>
      </c>
    </row>
    <row r="101" spans="1:7" customFormat="1" ht="8.15" customHeight="1" x14ac:dyDescent="0.25">
      <c r="A101" s="93"/>
      <c r="B101" s="197"/>
      <c r="C101" s="713"/>
      <c r="D101" s="194"/>
      <c r="E101" s="568"/>
      <c r="F101" s="560"/>
      <c r="G101" s="560">
        <f t="shared" si="1"/>
        <v>0</v>
      </c>
    </row>
    <row r="102" spans="1:7" ht="10.4" customHeight="1" x14ac:dyDescent="0.25">
      <c r="A102" s="709"/>
      <c r="B102" s="710"/>
      <c r="C102" s="711"/>
      <c r="D102" s="194"/>
      <c r="E102" s="568"/>
      <c r="F102" s="560"/>
      <c r="G102" s="560">
        <f t="shared" si="1"/>
        <v>0</v>
      </c>
    </row>
    <row r="103" spans="1:7" customFormat="1" ht="17.149999999999999" customHeight="1" x14ac:dyDescent="0.3">
      <c r="A103" s="182" t="s">
        <v>47</v>
      </c>
      <c r="B103" s="72"/>
      <c r="C103" s="183">
        <v>0</v>
      </c>
      <c r="D103" s="374"/>
      <c r="E103" s="568"/>
      <c r="F103" s="560"/>
      <c r="G103" s="560">
        <f t="shared" si="1"/>
        <v>0</v>
      </c>
    </row>
    <row r="104" spans="1:7" customFormat="1" ht="17.149999999999999" customHeight="1" x14ac:dyDescent="0.25">
      <c r="A104" s="223" t="str">
        <f>IF(chpheatcoolboth&lt;&gt;0,CONCATENATE("      Based on your other entries, the maximum cooling capacity is ",TEXT(coolavailabletons,"#,###.#")," tons or ",TEXT(coolavailableMMBtu,"#,###.#")," MMBtu/hr of cooling")," ")</f>
        <v xml:space="preserve"> </v>
      </c>
      <c r="B104" s="72"/>
      <c r="C104" s="713"/>
      <c r="D104" s="194"/>
      <c r="E104" s="568"/>
      <c r="F104" s="560"/>
      <c r="G104" s="560">
        <f t="shared" si="1"/>
        <v>0</v>
      </c>
    </row>
    <row r="105" spans="1:7" customFormat="1" ht="17.149999999999999" customHeight="1" x14ac:dyDescent="0.3">
      <c r="A105" s="184"/>
      <c r="B105" s="72"/>
      <c r="C105" s="185"/>
      <c r="D105" s="363"/>
      <c r="E105" s="568"/>
      <c r="F105" s="560"/>
      <c r="G105" s="560">
        <f t="shared" si="1"/>
        <v>0</v>
      </c>
    </row>
    <row r="106" spans="1:7" customFormat="1" ht="17.149999999999999" customHeight="1" x14ac:dyDescent="0.3">
      <c r="A106" s="182" t="s">
        <v>48</v>
      </c>
      <c r="B106" s="69">
        <v>0</v>
      </c>
      <c r="C106" s="713" t="s">
        <v>49</v>
      </c>
      <c r="D106" s="194"/>
      <c r="E106" s="569"/>
      <c r="F106" s="560"/>
      <c r="G106" s="560">
        <f t="shared" si="1"/>
        <v>0</v>
      </c>
    </row>
    <row r="107" spans="1:7" customFormat="1" ht="17.149999999999999" customHeight="1" x14ac:dyDescent="0.3">
      <c r="A107" s="184"/>
      <c r="B107" s="73">
        <v>0</v>
      </c>
      <c r="C107" s="186" t="s">
        <v>50</v>
      </c>
      <c r="D107" s="1"/>
      <c r="E107" s="568"/>
      <c r="F107" s="560"/>
      <c r="G107" s="560">
        <f t="shared" si="1"/>
        <v>0</v>
      </c>
    </row>
    <row r="108" spans="1:7" customFormat="1" ht="8.15" customHeight="1" x14ac:dyDescent="0.25">
      <c r="A108" s="184"/>
      <c r="B108" s="74"/>
      <c r="C108" s="713"/>
      <c r="D108" s="194"/>
      <c r="E108" s="568"/>
      <c r="F108" s="560"/>
      <c r="G108" s="560">
        <f t="shared" ref="G108:G139" si="2">F108</f>
        <v>0</v>
      </c>
    </row>
    <row r="109" spans="1:7" ht="10.4" customHeight="1" x14ac:dyDescent="0.25">
      <c r="A109" s="709"/>
      <c r="B109" s="710"/>
      <c r="C109" s="711"/>
      <c r="D109" s="194"/>
      <c r="E109" s="568"/>
      <c r="F109" s="560"/>
      <c r="G109" s="560">
        <f t="shared" si="2"/>
        <v>0</v>
      </c>
    </row>
    <row r="110" spans="1:7" customFormat="1" ht="17.149999999999999" customHeight="1" x14ac:dyDescent="0.3">
      <c r="A110" s="182" t="s">
        <v>51</v>
      </c>
      <c r="B110" s="68"/>
      <c r="C110" s="713"/>
      <c r="D110" s="194"/>
      <c r="E110" s="568"/>
      <c r="F110" s="560"/>
      <c r="G110" s="560">
        <f t="shared" si="2"/>
        <v>0</v>
      </c>
    </row>
    <row r="111" spans="1:7" customFormat="1" ht="21" customHeight="1" x14ac:dyDescent="0.25">
      <c r="A111" s="93"/>
      <c r="B111" s="74">
        <v>0</v>
      </c>
      <c r="C111" s="9"/>
      <c r="E111" s="568"/>
      <c r="F111" s="560"/>
      <c r="G111" s="560">
        <f t="shared" si="2"/>
        <v>0</v>
      </c>
    </row>
    <row r="112" spans="1:7" customFormat="1" ht="17.149999999999999" customHeight="1" x14ac:dyDescent="0.25">
      <c r="A112" s="93"/>
      <c r="B112" s="68"/>
      <c r="C112" s="224">
        <v>0</v>
      </c>
      <c r="D112" s="375"/>
      <c r="E112" s="568"/>
      <c r="F112" s="560"/>
      <c r="G112" s="560">
        <f t="shared" si="2"/>
        <v>0</v>
      </c>
    </row>
    <row r="113" spans="1:7" customFormat="1" ht="17.149999999999999" customHeight="1" x14ac:dyDescent="0.3">
      <c r="A113" s="182" t="s">
        <v>48</v>
      </c>
      <c r="B113" s="68"/>
      <c r="C113" s="185"/>
      <c r="D113" s="363"/>
      <c r="E113" s="568"/>
      <c r="F113" s="560"/>
      <c r="G113" s="560">
        <f t="shared" si="2"/>
        <v>0</v>
      </c>
    </row>
    <row r="114" spans="1:7" customFormat="1" ht="17.149999999999999" customHeight="1" x14ac:dyDescent="0.25">
      <c r="A114" s="93" t="s">
        <v>52</v>
      </c>
      <c r="B114" s="71">
        <v>0</v>
      </c>
      <c r="C114" s="713"/>
      <c r="D114" s="194"/>
      <c r="E114" s="569"/>
      <c r="F114" s="560"/>
      <c r="G114" s="560">
        <f t="shared" si="2"/>
        <v>0</v>
      </c>
    </row>
    <row r="115" spans="1:7" customFormat="1" ht="17.149999999999999" customHeight="1" x14ac:dyDescent="0.3">
      <c r="A115" s="198" t="s">
        <v>53</v>
      </c>
      <c r="B115" s="71">
        <v>0</v>
      </c>
      <c r="C115" s="713"/>
      <c r="D115" s="194"/>
      <c r="E115" s="569"/>
      <c r="F115" s="560"/>
      <c r="G115" s="560">
        <f t="shared" si="2"/>
        <v>0</v>
      </c>
    </row>
    <row r="116" spans="1:7" customFormat="1" ht="8.15" customHeight="1" x14ac:dyDescent="0.3">
      <c r="A116" s="187"/>
      <c r="B116" s="199"/>
      <c r="C116" s="715"/>
      <c r="D116" s="194"/>
      <c r="E116" s="568"/>
      <c r="F116" s="560"/>
      <c r="G116" s="560">
        <f t="shared" si="2"/>
        <v>0</v>
      </c>
    </row>
    <row r="117" spans="1:7" ht="10.4" customHeight="1" x14ac:dyDescent="0.25">
      <c r="A117" s="890" t="s">
        <v>54</v>
      </c>
      <c r="B117" s="194"/>
      <c r="C117" s="716"/>
      <c r="D117" s="194"/>
      <c r="E117" s="568"/>
      <c r="F117" s="560"/>
      <c r="G117" s="560">
        <f t="shared" si="2"/>
        <v>0</v>
      </c>
    </row>
    <row r="118" spans="1:7" ht="10.4" customHeight="1" x14ac:dyDescent="0.25">
      <c r="A118" s="889"/>
      <c r="B118" s="717"/>
      <c r="C118" s="718"/>
      <c r="D118" s="194"/>
      <c r="E118" s="568"/>
      <c r="F118" s="560"/>
      <c r="G118" s="560">
        <f t="shared" si="2"/>
        <v>0</v>
      </c>
    </row>
    <row r="119" spans="1:7" ht="35.25" customHeight="1" x14ac:dyDescent="0.25">
      <c r="A119" s="279" t="s">
        <v>55</v>
      </c>
      <c r="B119" s="277">
        <v>0</v>
      </c>
      <c r="C119" s="278"/>
      <c r="D119" s="376"/>
      <c r="E119" s="568"/>
      <c r="F119" s="560"/>
      <c r="G119" s="560">
        <f t="shared" si="2"/>
        <v>0</v>
      </c>
    </row>
    <row r="120" spans="1:7" ht="8.15" customHeight="1" x14ac:dyDescent="0.25">
      <c r="A120" s="279"/>
      <c r="B120" s="280"/>
      <c r="C120" s="278"/>
      <c r="D120" s="376"/>
      <c r="E120" s="568"/>
      <c r="F120" s="560"/>
      <c r="G120" s="560">
        <f t="shared" si="2"/>
        <v>0</v>
      </c>
    </row>
    <row r="121" spans="1:7" customFormat="1" ht="10.4" customHeight="1" x14ac:dyDescent="0.25">
      <c r="A121" s="174"/>
      <c r="B121" s="150"/>
      <c r="C121" s="158"/>
      <c r="E121" s="568"/>
      <c r="F121" s="560"/>
      <c r="G121" s="560">
        <f t="shared" si="2"/>
        <v>0</v>
      </c>
    </row>
    <row r="122" spans="1:7" customFormat="1" ht="17.149999999999999" customHeight="1" x14ac:dyDescent="0.3">
      <c r="A122" s="281" t="s">
        <v>56</v>
      </c>
      <c r="B122" s="282"/>
      <c r="C122" s="296"/>
      <c r="D122" s="194"/>
      <c r="E122" s="568"/>
      <c r="F122" s="560"/>
      <c r="G122" s="560">
        <f t="shared" si="2"/>
        <v>0</v>
      </c>
    </row>
    <row r="123" spans="1:7" customFormat="1" ht="17.149999999999999" customHeight="1" x14ac:dyDescent="0.25">
      <c r="A123" s="283"/>
      <c r="B123" s="297">
        <v>0</v>
      </c>
      <c r="C123" s="296" t="s">
        <v>18</v>
      </c>
      <c r="D123" s="194"/>
      <c r="E123" s="568"/>
      <c r="F123" s="560"/>
      <c r="G123" s="560">
        <f t="shared" si="2"/>
        <v>0</v>
      </c>
    </row>
    <row r="124" spans="1:7" customFormat="1" ht="17.149999999999999" customHeight="1" x14ac:dyDescent="0.3">
      <c r="A124" s="285" t="s">
        <v>19</v>
      </c>
      <c r="B124" s="284">
        <v>0</v>
      </c>
      <c r="C124" s="296" t="s">
        <v>20</v>
      </c>
      <c r="D124" s="194"/>
      <c r="E124" s="568"/>
      <c r="F124" s="560"/>
      <c r="G124" s="560">
        <f t="shared" si="2"/>
        <v>0</v>
      </c>
    </row>
    <row r="125" spans="1:7" customFormat="1" ht="17.149999999999999" customHeight="1" x14ac:dyDescent="0.3">
      <c r="A125" s="285" t="s">
        <v>19</v>
      </c>
      <c r="B125" s="284">
        <v>0</v>
      </c>
      <c r="C125" s="286" t="s">
        <v>21</v>
      </c>
      <c r="E125" s="569"/>
      <c r="F125" s="560"/>
      <c r="G125" s="560">
        <f t="shared" si="2"/>
        <v>0</v>
      </c>
    </row>
    <row r="126" spans="1:7" customFormat="1" ht="8.15" customHeight="1" x14ac:dyDescent="0.25">
      <c r="A126" s="287"/>
      <c r="B126" s="288"/>
      <c r="C126" s="289"/>
      <c r="D126" s="377"/>
      <c r="E126" s="569"/>
      <c r="F126" s="560"/>
      <c r="G126" s="560">
        <f t="shared" si="2"/>
        <v>0</v>
      </c>
    </row>
    <row r="127" spans="1:7" customFormat="1" ht="10.4" customHeight="1" x14ac:dyDescent="0.25">
      <c r="A127" s="174"/>
      <c r="B127" s="150"/>
      <c r="C127" s="158"/>
      <c r="E127" s="569"/>
      <c r="F127" s="560"/>
      <c r="G127" s="560">
        <f t="shared" si="2"/>
        <v>0</v>
      </c>
    </row>
    <row r="128" spans="1:7" ht="17.149999999999999" customHeight="1" x14ac:dyDescent="0.25">
      <c r="A128" s="279" t="s">
        <v>57</v>
      </c>
      <c r="B128" s="719"/>
      <c r="C128" s="296"/>
      <c r="D128" s="194"/>
      <c r="E128" s="569"/>
      <c r="F128" s="560"/>
      <c r="G128" s="560">
        <f t="shared" si="2"/>
        <v>0</v>
      </c>
    </row>
    <row r="129" spans="1:9" ht="17.149999999999999" customHeight="1" x14ac:dyDescent="0.25">
      <c r="A129" s="720"/>
      <c r="B129" s="719"/>
      <c r="C129" s="296"/>
      <c r="D129" s="194"/>
      <c r="E129" s="568"/>
      <c r="F129" s="560"/>
      <c r="G129" s="560">
        <f t="shared" si="2"/>
        <v>0</v>
      </c>
      <c r="H129" s="194"/>
      <c r="I129" s="194"/>
    </row>
    <row r="130" spans="1:9" ht="17.149999999999999" customHeight="1" x14ac:dyDescent="0.25">
      <c r="A130" s="295" t="s">
        <v>28</v>
      </c>
      <c r="B130" s="298">
        <v>0</v>
      </c>
      <c r="C130" s="296"/>
      <c r="D130" s="194"/>
      <c r="E130" s="568"/>
      <c r="F130" s="560"/>
      <c r="G130" s="560">
        <f t="shared" si="2"/>
        <v>0</v>
      </c>
      <c r="H130" s="194"/>
      <c r="I130" s="194"/>
    </row>
    <row r="131" spans="1:9" ht="17.149999999999999" customHeight="1" x14ac:dyDescent="0.3">
      <c r="A131" s="721"/>
      <c r="B131" s="290"/>
      <c r="C131" s="722"/>
      <c r="D131" s="194"/>
      <c r="E131" s="569"/>
      <c r="F131" s="560"/>
      <c r="G131" s="560">
        <f t="shared" si="2"/>
        <v>0</v>
      </c>
      <c r="H131" s="194"/>
      <c r="I131" s="194"/>
    </row>
    <row r="132" spans="1:9" customFormat="1" ht="10.4" customHeight="1" x14ac:dyDescent="0.25">
      <c r="A132" s="174"/>
      <c r="B132" s="150"/>
      <c r="C132" s="158"/>
      <c r="E132" s="569"/>
      <c r="F132" s="560"/>
      <c r="G132" s="560">
        <f t="shared" si="2"/>
        <v>0</v>
      </c>
    </row>
    <row r="133" spans="1:9" customFormat="1" ht="17.149999999999999" customHeight="1" x14ac:dyDescent="0.3">
      <c r="A133" s="281" t="s">
        <v>58</v>
      </c>
      <c r="B133" s="288"/>
      <c r="C133" s="289"/>
      <c r="D133" s="377"/>
      <c r="E133" s="568"/>
      <c r="F133" s="560"/>
      <c r="G133" s="560">
        <f t="shared" si="2"/>
        <v>0</v>
      </c>
    </row>
    <row r="134" spans="1:9" s="194" customFormat="1" ht="17.149999999999999" customHeight="1" x14ac:dyDescent="0.25">
      <c r="A134" s="291" t="s">
        <v>59</v>
      </c>
      <c r="B134" s="292"/>
      <c r="C134" s="293"/>
      <c r="D134" s="378"/>
      <c r="E134" s="568"/>
      <c r="F134" s="560"/>
      <c r="G134" s="560">
        <f t="shared" si="2"/>
        <v>0</v>
      </c>
    </row>
    <row r="135" spans="1:9" s="194" customFormat="1" ht="30" customHeight="1" x14ac:dyDescent="0.25">
      <c r="A135" s="291"/>
      <c r="B135" s="292"/>
      <c r="C135" s="293"/>
      <c r="D135" s="378"/>
      <c r="E135" s="568"/>
      <c r="F135" s="560"/>
      <c r="G135" s="560">
        <f t="shared" si="2"/>
        <v>0</v>
      </c>
    </row>
    <row r="136" spans="1:9" customFormat="1" ht="17.149999999999999" customHeight="1" x14ac:dyDescent="0.25">
      <c r="A136" s="295" t="s">
        <v>60</v>
      </c>
      <c r="B136" s="298">
        <v>0</v>
      </c>
      <c r="C136" s="289"/>
      <c r="D136" s="377"/>
      <c r="E136" s="568"/>
      <c r="F136" s="560"/>
      <c r="G136" s="560">
        <f t="shared" si="2"/>
        <v>0</v>
      </c>
    </row>
    <row r="137" spans="1:9" customFormat="1" ht="17.149999999999999" customHeight="1" x14ac:dyDescent="0.25">
      <c r="A137" s="342" t="s">
        <v>61</v>
      </c>
      <c r="B137" s="899" t="s">
        <v>62</v>
      </c>
      <c r="C137" s="900"/>
      <c r="D137" s="379"/>
      <c r="E137" s="568"/>
      <c r="F137" s="560"/>
      <c r="G137" s="560">
        <f t="shared" si="2"/>
        <v>0</v>
      </c>
    </row>
    <row r="138" spans="1:9" customFormat="1" ht="17.149999999999999" customHeight="1" x14ac:dyDescent="0.25">
      <c r="A138" s="291" t="s">
        <v>63</v>
      </c>
      <c r="B138" s="294"/>
      <c r="C138" s="289"/>
      <c r="D138" s="377"/>
      <c r="E138" s="569"/>
      <c r="F138" s="560"/>
      <c r="G138" s="560">
        <f t="shared" si="2"/>
        <v>0</v>
      </c>
    </row>
    <row r="139" spans="1:9" customFormat="1" ht="17.149999999999999" customHeight="1" x14ac:dyDescent="0.25">
      <c r="A139" s="295" t="s">
        <v>64</v>
      </c>
      <c r="B139" s="330">
        <v>0</v>
      </c>
      <c r="C139" s="296" t="s">
        <v>65</v>
      </c>
      <c r="D139" s="194"/>
      <c r="E139" s="569"/>
      <c r="F139" s="560"/>
      <c r="G139" s="560">
        <f t="shared" si="2"/>
        <v>0</v>
      </c>
    </row>
    <row r="140" spans="1:9" customFormat="1" ht="8.15" customHeight="1" x14ac:dyDescent="0.25">
      <c r="A140" s="287"/>
      <c r="B140" s="288"/>
      <c r="C140" s="286"/>
      <c r="E140" s="568"/>
      <c r="F140" s="560"/>
      <c r="G140" s="560">
        <f t="shared" ref="G140:G160" si="3">F140</f>
        <v>0</v>
      </c>
    </row>
    <row r="141" spans="1:9" ht="10.4" customHeight="1" x14ac:dyDescent="0.25">
      <c r="A141" s="888" t="s">
        <v>66</v>
      </c>
      <c r="B141" s="146"/>
      <c r="C141" s="723"/>
      <c r="D141" s="194"/>
      <c r="E141" s="568"/>
      <c r="F141" s="560"/>
      <c r="G141" s="560">
        <f t="shared" si="3"/>
        <v>0</v>
      </c>
      <c r="H141" s="194"/>
      <c r="I141" s="194"/>
    </row>
    <row r="142" spans="1:9" ht="10.4" customHeight="1" x14ac:dyDescent="0.25">
      <c r="A142" s="889"/>
      <c r="B142" s="147"/>
      <c r="C142" s="718"/>
      <c r="D142" s="194"/>
      <c r="E142" s="568"/>
      <c r="F142" s="560"/>
      <c r="G142" s="560">
        <f t="shared" si="3"/>
        <v>0</v>
      </c>
      <c r="H142" s="194"/>
      <c r="I142" s="194"/>
    </row>
    <row r="143" spans="1:9" ht="17.149999999999999" customHeight="1" x14ac:dyDescent="0.25">
      <c r="A143" s="213" t="s">
        <v>67</v>
      </c>
      <c r="B143" s="724"/>
      <c r="C143" s="725"/>
      <c r="D143" s="194"/>
      <c r="E143" s="568"/>
      <c r="F143" s="560"/>
      <c r="G143" s="560">
        <f t="shared" si="3"/>
        <v>0</v>
      </c>
      <c r="H143"/>
      <c r="I143"/>
    </row>
    <row r="144" spans="1:9" ht="21" customHeight="1" x14ac:dyDescent="0.25">
      <c r="A144" s="726"/>
      <c r="B144" s="100">
        <v>1</v>
      </c>
      <c r="C144" s="727"/>
      <c r="D144" s="194"/>
      <c r="E144" s="626"/>
      <c r="F144" s="560"/>
      <c r="G144" s="560">
        <f t="shared" si="3"/>
        <v>0</v>
      </c>
      <c r="H144"/>
      <c r="I144"/>
    </row>
    <row r="145" spans="1:9" ht="24.75" customHeight="1" x14ac:dyDescent="0.3">
      <c r="A145" s="884" t="s">
        <v>68</v>
      </c>
      <c r="B145" s="885"/>
      <c r="C145" s="727"/>
      <c r="D145" s="194"/>
      <c r="E145" s="626"/>
      <c r="F145" s="560" t="s">
        <v>69</v>
      </c>
      <c r="G145" s="560" t="str">
        <f t="shared" si="3"/>
        <v>If Range("deinput") = 14</v>
      </c>
      <c r="H145"/>
      <c r="I145"/>
    </row>
    <row r="146" spans="1:9" ht="8.15" customHeight="1" x14ac:dyDescent="0.25">
      <c r="A146" s="214"/>
      <c r="B146" s="215"/>
      <c r="C146" s="728"/>
      <c r="D146" s="194"/>
      <c r="E146" s="626"/>
      <c r="F146" s="560"/>
      <c r="G146" s="560">
        <f t="shared" si="3"/>
        <v>0</v>
      </c>
      <c r="H146"/>
      <c r="I146"/>
    </row>
    <row r="147" spans="1:9" customFormat="1" ht="10.4" customHeight="1" x14ac:dyDescent="0.25">
      <c r="A147" s="212"/>
      <c r="B147" s="152"/>
      <c r="C147" s="181"/>
      <c r="E147" s="626"/>
      <c r="F147" s="560"/>
      <c r="G147" s="560">
        <f t="shared" si="3"/>
        <v>0</v>
      </c>
    </row>
    <row r="148" spans="1:9" ht="17.149999999999999" customHeight="1" x14ac:dyDescent="0.25">
      <c r="A148" s="188" t="s">
        <v>70</v>
      </c>
      <c r="B148" s="729"/>
      <c r="C148" s="730"/>
      <c r="D148" s="194"/>
      <c r="E148" s="626"/>
      <c r="F148" s="560"/>
      <c r="G148" s="560">
        <f t="shared" si="3"/>
        <v>0</v>
      </c>
      <c r="H148"/>
      <c r="I148"/>
    </row>
    <row r="149" spans="1:9" ht="21" customHeight="1" x14ac:dyDescent="0.3">
      <c r="A149" s="697"/>
      <c r="B149" s="100">
        <v>1</v>
      </c>
      <c r="C149" s="730"/>
      <c r="D149" s="194"/>
      <c r="E149" s="626"/>
      <c r="F149" s="560"/>
      <c r="G149" s="560">
        <f t="shared" si="3"/>
        <v>0</v>
      </c>
      <c r="H149"/>
      <c r="I149"/>
    </row>
    <row r="150" spans="1:9" ht="25.4" customHeight="1" x14ac:dyDescent="0.3">
      <c r="A150" s="602" t="s">
        <v>71</v>
      </c>
      <c r="B150" s="100"/>
      <c r="C150" s="603" t="str">
        <f>IF(OR(AND(deinput=1,deinput2&gt;15),(AND(deinput&gt;1,deinput2&lt;16))),"Please select a region to align with the input selected in 23 or change input 23","")</f>
        <v/>
      </c>
      <c r="D150" s="194"/>
      <c r="E150" s="892" t="s">
        <v>72</v>
      </c>
      <c r="F150" s="892"/>
      <c r="G150" s="560">
        <f t="shared" si="3"/>
        <v>0</v>
      </c>
      <c r="H150"/>
      <c r="I150"/>
    </row>
    <row r="151" spans="1:9" ht="8.15" customHeight="1" x14ac:dyDescent="0.25">
      <c r="A151" s="189"/>
      <c r="B151" s="100"/>
      <c r="C151" s="730"/>
      <c r="D151" s="194"/>
      <c r="E151" s="892"/>
      <c r="F151" s="892"/>
      <c r="G151" s="560">
        <f t="shared" si="3"/>
        <v>0</v>
      </c>
      <c r="H151"/>
      <c r="I151"/>
    </row>
    <row r="152" spans="1:9" ht="10.4" customHeight="1" x14ac:dyDescent="0.25">
      <c r="A152" s="709"/>
      <c r="B152" s="710"/>
      <c r="C152" s="711"/>
      <c r="D152" s="194"/>
      <c r="E152" s="892"/>
      <c r="F152" s="892"/>
      <c r="G152" s="560">
        <f t="shared" si="3"/>
        <v>0</v>
      </c>
      <c r="H152" s="194"/>
      <c r="I152" s="194"/>
    </row>
    <row r="153" spans="1:9" ht="17.149999999999999" customHeight="1" x14ac:dyDescent="0.25">
      <c r="A153" s="188" t="s">
        <v>73</v>
      </c>
      <c r="B153" s="145"/>
      <c r="C153" s="190"/>
      <c r="D153"/>
      <c r="E153" s="892"/>
      <c r="F153" s="892"/>
      <c r="G153" s="560">
        <f t="shared" si="3"/>
        <v>0</v>
      </c>
      <c r="H153"/>
      <c r="I153"/>
    </row>
    <row r="154" spans="1:9" ht="17.149999999999999" customHeight="1" x14ac:dyDescent="0.25">
      <c r="A154" s="893" t="str">
        <f>IF(deinput2&lt;16,"AVERT regions already have grid loss included in emission factors, so default is set to zero","")</f>
        <v>AVERT regions already have grid loss included in emission factors, so default is set to zero</v>
      </c>
      <c r="B154" s="100">
        <v>0</v>
      </c>
      <c r="C154" s="190"/>
      <c r="D154"/>
      <c r="E154" s="892"/>
      <c r="F154" s="892"/>
      <c r="G154" s="560">
        <f t="shared" si="3"/>
        <v>0</v>
      </c>
      <c r="H154"/>
      <c r="I154"/>
    </row>
    <row r="155" spans="1:9" ht="17.149999999999999" customHeight="1" x14ac:dyDescent="0.25">
      <c r="A155" s="893"/>
      <c r="B155" s="358"/>
      <c r="C155" s="191"/>
      <c r="D155" s="380"/>
      <c r="E155" s="569"/>
      <c r="F155" s="560"/>
      <c r="G155" s="560">
        <f t="shared" si="3"/>
        <v>0</v>
      </c>
      <c r="H155"/>
      <c r="I155"/>
    </row>
    <row r="156" spans="1:9" ht="17.149999999999999" customHeight="1" x14ac:dyDescent="0.25">
      <c r="A156" s="602" t="s">
        <v>74</v>
      </c>
      <c r="B156" s="903" t="str">
        <f>IF(AND(deinput2&lt;16,deinput3&gt;0),"AVERT regions already have grid loss included in emission factors, this will not be used in calculations","")</f>
        <v/>
      </c>
      <c r="C156" s="904"/>
      <c r="D156"/>
      <c r="E156" s="569"/>
      <c r="F156" s="560"/>
      <c r="G156" s="560">
        <f t="shared" si="3"/>
        <v>0</v>
      </c>
      <c r="H156"/>
      <c r="I156"/>
    </row>
    <row r="157" spans="1:9" ht="8.15" customHeight="1" thickBot="1" x14ac:dyDescent="0.3">
      <c r="A157" s="192"/>
      <c r="B157" s="905"/>
      <c r="C157" s="906"/>
      <c r="D157"/>
      <c r="E157" s="569"/>
      <c r="F157" s="560"/>
      <c r="G157" s="560">
        <f t="shared" si="3"/>
        <v>0</v>
      </c>
      <c r="H157"/>
      <c r="I157"/>
    </row>
    <row r="158" spans="1:9" ht="30" customHeight="1" thickBot="1" x14ac:dyDescent="0.3">
      <c r="A158" s="881" t="s">
        <v>75</v>
      </c>
      <c r="B158" s="882"/>
      <c r="C158" s="894"/>
      <c r="D158" s="359"/>
      <c r="E158" s="569"/>
      <c r="F158" s="560"/>
      <c r="G158" s="560">
        <f t="shared" si="3"/>
        <v>0</v>
      </c>
      <c r="H158" s="194"/>
      <c r="I158" s="194"/>
    </row>
    <row r="159" spans="1:9" ht="10.4" customHeight="1" thickTop="1" x14ac:dyDescent="0.25">
      <c r="A159" s="890" t="s">
        <v>76</v>
      </c>
      <c r="B159" s="895"/>
      <c r="C159" s="716"/>
      <c r="D159" s="194"/>
      <c r="E159" s="569"/>
      <c r="F159" s="560"/>
      <c r="G159" s="560">
        <f t="shared" si="3"/>
        <v>0</v>
      </c>
      <c r="H159" s="194"/>
      <c r="I159" s="194"/>
    </row>
    <row r="160" spans="1:9" ht="10.4" customHeight="1" x14ac:dyDescent="0.25">
      <c r="A160" s="889"/>
      <c r="B160" s="896"/>
      <c r="C160" s="718"/>
      <c r="D160" s="194"/>
      <c r="E160" s="569"/>
      <c r="F160" s="560"/>
      <c r="G160" s="560">
        <f t="shared" si="3"/>
        <v>0</v>
      </c>
      <c r="H160" s="194"/>
      <c r="I160" s="194"/>
    </row>
    <row r="161" spans="1:7" ht="17.149999999999999" customHeight="1" x14ac:dyDescent="0.3">
      <c r="A161" s="299" t="s">
        <v>77</v>
      </c>
      <c r="B161" s="300"/>
      <c r="C161" s="301"/>
      <c r="D161"/>
      <c r="E161" s="569"/>
      <c r="F161" s="561"/>
      <c r="G161" s="560">
        <f>allcheck25</f>
        <v>0</v>
      </c>
    </row>
    <row r="162" spans="1:7" ht="17.149999999999999" customHeight="1" x14ac:dyDescent="0.3">
      <c r="A162" s="299" t="s">
        <v>78</v>
      </c>
      <c r="B162" s="300"/>
      <c r="C162" s="301"/>
      <c r="D162"/>
      <c r="E162" s="569"/>
      <c r="F162" s="561"/>
      <c r="G162" s="560">
        <f>F162</f>
        <v>0</v>
      </c>
    </row>
    <row r="163" spans="1:7" ht="17.149999999999999" customHeight="1" x14ac:dyDescent="0.25">
      <c r="A163" s="302"/>
      <c r="B163" s="303" t="s">
        <v>79</v>
      </c>
      <c r="C163" s="301"/>
      <c r="D163"/>
      <c r="E163" s="569"/>
      <c r="F163" s="561"/>
      <c r="G163" s="560">
        <f>allcheck26</f>
        <v>0</v>
      </c>
    </row>
    <row r="164" spans="1:7" ht="17.149999999999999" customHeight="1" x14ac:dyDescent="0.25">
      <c r="A164" s="304">
        <v>0</v>
      </c>
      <c r="B164" s="300"/>
      <c r="C164" s="301"/>
      <c r="D164"/>
      <c r="E164" s="569"/>
      <c r="F164" s="561"/>
      <c r="G164" s="560">
        <f>allcheck29</f>
        <v>0</v>
      </c>
    </row>
    <row r="165" spans="1:7" ht="17.149999999999999" customHeight="1" x14ac:dyDescent="0.25">
      <c r="A165" s="302"/>
      <c r="B165" s="300"/>
      <c r="C165" s="301"/>
      <c r="D165"/>
      <c r="E165" s="569"/>
      <c r="F165" s="561"/>
      <c r="G165" s="560">
        <f>allcheck27</f>
        <v>0</v>
      </c>
    </row>
    <row r="166" spans="1:7" ht="17.149999999999999" customHeight="1" x14ac:dyDescent="0.3">
      <c r="A166" s="305" t="s">
        <v>80</v>
      </c>
      <c r="B166" s="306">
        <v>0</v>
      </c>
      <c r="C166" s="307"/>
      <c r="D166" s="367"/>
      <c r="E166" s="569"/>
      <c r="F166" s="561"/>
      <c r="G166" s="560">
        <f t="shared" ref="G166:G207" si="4">F166</f>
        <v>0</v>
      </c>
    </row>
    <row r="167" spans="1:7" ht="17.149999999999999" customHeight="1" x14ac:dyDescent="0.3">
      <c r="A167" s="308" t="s">
        <v>81</v>
      </c>
      <c r="B167" s="309">
        <v>0</v>
      </c>
      <c r="C167" s="301" t="s">
        <v>82</v>
      </c>
      <c r="D167"/>
      <c r="E167" s="568"/>
      <c r="F167" s="561"/>
      <c r="G167" s="560">
        <f t="shared" si="4"/>
        <v>0</v>
      </c>
    </row>
    <row r="168" spans="1:7" ht="8.15" customHeight="1" x14ac:dyDescent="0.3">
      <c r="A168" s="308"/>
      <c r="B168" s="310"/>
      <c r="C168" s="301"/>
      <c r="D168"/>
      <c r="E168" s="568"/>
      <c r="F168" s="561"/>
      <c r="G168" s="560">
        <f t="shared" si="4"/>
        <v>0</v>
      </c>
    </row>
    <row r="169" spans="1:7" ht="10.4" customHeight="1" x14ac:dyDescent="0.25">
      <c r="A169" s="709"/>
      <c r="B169" s="710"/>
      <c r="C169" s="711"/>
      <c r="D169" s="194"/>
      <c r="E169" s="568"/>
      <c r="F169" s="560"/>
      <c r="G169" s="560">
        <f t="shared" si="4"/>
        <v>0</v>
      </c>
    </row>
    <row r="170" spans="1:7" customFormat="1" ht="17.149999999999999" customHeight="1" x14ac:dyDescent="0.4">
      <c r="A170" s="311" t="s">
        <v>83</v>
      </c>
      <c r="B170" s="312"/>
      <c r="C170" s="314"/>
      <c r="D170" s="194"/>
      <c r="E170" s="569"/>
      <c r="F170" s="570"/>
      <c r="G170" s="560">
        <f t="shared" si="4"/>
        <v>0</v>
      </c>
    </row>
    <row r="171" spans="1:7" customFormat="1" ht="17.149999999999999" customHeight="1" x14ac:dyDescent="0.4">
      <c r="A171" s="305" t="s">
        <v>84</v>
      </c>
      <c r="B171" s="313">
        <v>0</v>
      </c>
      <c r="C171" s="314" t="s">
        <v>85</v>
      </c>
      <c r="D171" s="194"/>
      <c r="E171" s="568"/>
      <c r="F171" s="561"/>
      <c r="G171" s="560">
        <f t="shared" si="4"/>
        <v>0</v>
      </c>
    </row>
    <row r="172" spans="1:7" customFormat="1" ht="8.15" customHeight="1" x14ac:dyDescent="0.3">
      <c r="A172" s="305"/>
      <c r="B172" s="315"/>
      <c r="C172" s="301"/>
      <c r="E172" s="568"/>
      <c r="F172" s="561"/>
      <c r="G172" s="560">
        <f t="shared" si="4"/>
        <v>0</v>
      </c>
    </row>
    <row r="173" spans="1:7" ht="10.4" customHeight="1" x14ac:dyDescent="0.25">
      <c r="A173" s="709"/>
      <c r="B173" s="710"/>
      <c r="C173" s="711"/>
      <c r="D173" s="194"/>
      <c r="E173" s="568"/>
      <c r="F173" s="560"/>
      <c r="G173" s="560">
        <f t="shared" si="4"/>
        <v>0</v>
      </c>
    </row>
    <row r="174" spans="1:7" ht="17.149999999999999" customHeight="1" x14ac:dyDescent="0.25">
      <c r="A174" s="316" t="s">
        <v>86</v>
      </c>
      <c r="B174" s="300"/>
      <c r="C174" s="731"/>
      <c r="D174" s="732"/>
      <c r="E174" s="568"/>
      <c r="F174" s="560"/>
      <c r="G174" s="560">
        <f t="shared" si="4"/>
        <v>0</v>
      </c>
    </row>
    <row r="175" spans="1:7" ht="17.149999999999999" customHeight="1" x14ac:dyDescent="0.25">
      <c r="A175" s="316"/>
      <c r="B175" s="300"/>
      <c r="C175" s="314"/>
      <c r="D175" s="194"/>
      <c r="E175" s="568"/>
      <c r="F175" s="560"/>
      <c r="G175" s="560">
        <f t="shared" si="4"/>
        <v>0</v>
      </c>
    </row>
    <row r="176" spans="1:7" ht="17.149999999999999" customHeight="1" x14ac:dyDescent="0.25">
      <c r="A176" s="329">
        <v>0</v>
      </c>
      <c r="B176" s="300">
        <v>2</v>
      </c>
      <c r="C176" s="314"/>
      <c r="D176" s="194"/>
      <c r="E176" s="568"/>
      <c r="F176" s="560"/>
      <c r="G176" s="560">
        <f t="shared" si="4"/>
        <v>0</v>
      </c>
    </row>
    <row r="177" spans="1:7" ht="22.4" customHeight="1" x14ac:dyDescent="0.3">
      <c r="A177" s="302"/>
      <c r="B177" s="300"/>
      <c r="C177" s="307"/>
      <c r="D177" s="367"/>
      <c r="E177" s="568"/>
      <c r="F177" s="560"/>
      <c r="G177" s="560">
        <f t="shared" si="4"/>
        <v>0</v>
      </c>
    </row>
    <row r="178" spans="1:7" ht="17.149999999999999" customHeight="1" x14ac:dyDescent="0.4">
      <c r="A178" s="305" t="s">
        <v>87</v>
      </c>
      <c r="B178" s="309">
        <v>0</v>
      </c>
      <c r="C178" s="314" t="s">
        <v>82</v>
      </c>
      <c r="D178" s="194"/>
      <c r="E178" s="568"/>
      <c r="F178" s="560"/>
      <c r="G178" s="560">
        <f t="shared" si="4"/>
        <v>0</v>
      </c>
    </row>
    <row r="179" spans="1:7" ht="17.149999999999999" customHeight="1" x14ac:dyDescent="0.3">
      <c r="A179" s="308" t="s">
        <v>88</v>
      </c>
      <c r="B179" s="317">
        <v>0</v>
      </c>
      <c r="C179" s="314" t="s">
        <v>89</v>
      </c>
      <c r="D179" s="194"/>
      <c r="E179" s="568"/>
      <c r="F179" s="560"/>
      <c r="G179" s="560">
        <f t="shared" si="4"/>
        <v>0</v>
      </c>
    </row>
    <row r="180" spans="1:7" ht="17.149999999999999" customHeight="1" x14ac:dyDescent="0.3">
      <c r="A180" s="308" t="s">
        <v>90</v>
      </c>
      <c r="B180" s="317">
        <v>0</v>
      </c>
      <c r="C180" s="314" t="s">
        <v>91</v>
      </c>
      <c r="D180" s="194"/>
      <c r="E180" s="569"/>
      <c r="F180" s="560"/>
      <c r="G180" s="560">
        <f t="shared" si="4"/>
        <v>0</v>
      </c>
    </row>
    <row r="181" spans="1:7" ht="17.149999999999999" customHeight="1" x14ac:dyDescent="0.3">
      <c r="A181" s="308" t="s">
        <v>92</v>
      </c>
      <c r="B181" s="318">
        <v>0</v>
      </c>
      <c r="C181" s="314" t="s">
        <v>93</v>
      </c>
      <c r="D181" s="194"/>
      <c r="E181" s="568"/>
      <c r="F181" s="560"/>
      <c r="G181" s="560">
        <f t="shared" si="4"/>
        <v>0</v>
      </c>
    </row>
    <row r="182" spans="1:7" ht="8.15" customHeight="1" x14ac:dyDescent="0.3">
      <c r="A182" s="308"/>
      <c r="B182" s="319"/>
      <c r="C182" s="314"/>
      <c r="D182" s="194"/>
      <c r="E182" s="568"/>
      <c r="F182" s="560"/>
      <c r="G182" s="560">
        <f t="shared" si="4"/>
        <v>0</v>
      </c>
    </row>
    <row r="183" spans="1:7" ht="10.4" customHeight="1" x14ac:dyDescent="0.25">
      <c r="A183" s="709"/>
      <c r="B183" s="710"/>
      <c r="C183" s="711"/>
      <c r="D183" s="194"/>
      <c r="E183" s="568"/>
      <c r="F183" s="560"/>
      <c r="G183" s="560">
        <f t="shared" si="4"/>
        <v>0</v>
      </c>
    </row>
    <row r="184" spans="1:7" ht="26.25" customHeight="1" x14ac:dyDescent="0.25">
      <c r="A184" s="316" t="s">
        <v>94</v>
      </c>
      <c r="B184" s="300"/>
      <c r="C184" s="314"/>
      <c r="D184" s="194"/>
      <c r="E184" s="568"/>
      <c r="F184" s="560"/>
      <c r="G184" s="560">
        <f t="shared" si="4"/>
        <v>0</v>
      </c>
    </row>
    <row r="185" spans="1:7" ht="17.149999999999999" customHeight="1" x14ac:dyDescent="0.25">
      <c r="A185" s="302"/>
      <c r="B185" s="300">
        <v>2</v>
      </c>
      <c r="C185" s="314"/>
      <c r="D185" s="194"/>
      <c r="E185" s="568"/>
      <c r="F185" s="560"/>
      <c r="G185" s="560">
        <f t="shared" si="4"/>
        <v>0</v>
      </c>
    </row>
    <row r="186" spans="1:7" ht="25.4" customHeight="1" x14ac:dyDescent="0.25">
      <c r="A186" s="328">
        <v>0</v>
      </c>
      <c r="B186" s="320" t="str">
        <f>IF(AND(chptechinput&lt;&gt;5,OR(chpduct3&gt;0,chpduct4&gt;0)),"Duct burners only allowed on Combustion Turbines","")</f>
        <v/>
      </c>
      <c r="C186" s="321"/>
      <c r="D186" s="381"/>
      <c r="E186" s="568"/>
      <c r="F186" s="560"/>
      <c r="G186" s="560">
        <f t="shared" si="4"/>
        <v>0</v>
      </c>
    </row>
    <row r="187" spans="1:7" ht="17.149999999999999" customHeight="1" x14ac:dyDescent="0.25">
      <c r="A187" s="329">
        <v>0</v>
      </c>
      <c r="B187" s="317">
        <v>0</v>
      </c>
      <c r="C187" s="314" t="s">
        <v>95</v>
      </c>
      <c r="D187" s="194"/>
      <c r="E187" s="569"/>
      <c r="F187" s="560"/>
      <c r="G187" s="560">
        <f t="shared" si="4"/>
        <v>0</v>
      </c>
    </row>
    <row r="188" spans="1:7" ht="17.149999999999999" customHeight="1" x14ac:dyDescent="0.4">
      <c r="A188" s="308" t="s">
        <v>96</v>
      </c>
      <c r="B188" s="309">
        <v>0</v>
      </c>
      <c r="C188" s="314" t="s">
        <v>97</v>
      </c>
      <c r="D188" s="194"/>
      <c r="E188" s="568"/>
      <c r="F188" s="560"/>
      <c r="G188" s="560">
        <f t="shared" si="4"/>
        <v>0</v>
      </c>
    </row>
    <row r="189" spans="1:7" ht="8.15" customHeight="1" x14ac:dyDescent="0.3">
      <c r="A189" s="308"/>
      <c r="B189" s="310"/>
      <c r="C189" s="314"/>
      <c r="D189" s="194"/>
      <c r="E189" s="568"/>
      <c r="F189" s="560"/>
      <c r="G189" s="560">
        <f t="shared" si="4"/>
        <v>0</v>
      </c>
    </row>
    <row r="190" spans="1:7" ht="10.4" customHeight="1" x14ac:dyDescent="0.25">
      <c r="A190" s="709"/>
      <c r="B190" s="710"/>
      <c r="C190" s="711"/>
      <c r="D190" s="194"/>
      <c r="E190" s="568"/>
      <c r="F190" s="560"/>
      <c r="G190" s="560">
        <f t="shared" si="4"/>
        <v>0</v>
      </c>
    </row>
    <row r="191" spans="1:7" customFormat="1" ht="15" customHeight="1" x14ac:dyDescent="0.4">
      <c r="A191" s="311" t="s">
        <v>1324</v>
      </c>
      <c r="B191" s="312"/>
      <c r="C191" s="314"/>
      <c r="D191" s="194"/>
      <c r="E191" s="569"/>
      <c r="F191" s="560"/>
      <c r="G191" s="560">
        <f t="shared" si="4"/>
        <v>0</v>
      </c>
    </row>
    <row r="192" spans="1:7" customFormat="1" ht="15" customHeight="1" x14ac:dyDescent="0.4">
      <c r="A192" s="305" t="s">
        <v>84</v>
      </c>
      <c r="B192" s="313">
        <v>0</v>
      </c>
      <c r="C192" s="314" t="s">
        <v>85</v>
      </c>
      <c r="D192" s="194"/>
      <c r="E192" s="569"/>
      <c r="F192" s="560"/>
      <c r="G192" s="560">
        <f t="shared" si="4"/>
        <v>0</v>
      </c>
    </row>
    <row r="193" spans="1:7" customFormat="1" ht="8.15" customHeight="1" x14ac:dyDescent="0.25">
      <c r="A193" s="305"/>
      <c r="B193" s="322"/>
      <c r="C193" s="301"/>
      <c r="E193" s="569"/>
      <c r="F193" s="560"/>
      <c r="G193" s="560">
        <f t="shared" si="4"/>
        <v>0</v>
      </c>
    </row>
    <row r="194" spans="1:7" ht="10.4" customHeight="1" x14ac:dyDescent="0.35">
      <c r="A194" s="148"/>
      <c r="B194" s="710"/>
      <c r="C194" s="711"/>
      <c r="D194" s="194"/>
      <c r="E194" s="569"/>
      <c r="F194" s="560"/>
      <c r="G194" s="560">
        <f t="shared" si="4"/>
        <v>0</v>
      </c>
    </row>
    <row r="195" spans="1:7" ht="17.149999999999999" customHeight="1" x14ac:dyDescent="0.25">
      <c r="A195" s="316" t="s">
        <v>98</v>
      </c>
      <c r="B195" s="300"/>
      <c r="C195" s="301"/>
      <c r="D195"/>
      <c r="E195" s="569"/>
      <c r="F195" s="560"/>
      <c r="G195" s="560">
        <f t="shared" si="4"/>
        <v>0</v>
      </c>
    </row>
    <row r="196" spans="1:7" ht="17.149999999999999" customHeight="1" x14ac:dyDescent="0.25">
      <c r="A196" s="323"/>
      <c r="B196" s="300">
        <v>1</v>
      </c>
      <c r="C196" s="301"/>
      <c r="D196"/>
      <c r="E196" s="569"/>
      <c r="F196" s="560"/>
      <c r="G196" s="560">
        <f t="shared" si="4"/>
        <v>0</v>
      </c>
    </row>
    <row r="197" spans="1:7" ht="17.149999999999999" customHeight="1" x14ac:dyDescent="0.25">
      <c r="A197" s="302"/>
      <c r="B197" s="303" t="s">
        <v>99</v>
      </c>
      <c r="C197" s="301"/>
      <c r="D197"/>
      <c r="E197" s="569"/>
      <c r="F197" s="560"/>
      <c r="G197" s="560">
        <f t="shared" si="4"/>
        <v>0</v>
      </c>
    </row>
    <row r="198" spans="1:7" ht="17.149999999999999" customHeight="1" x14ac:dyDescent="0.25">
      <c r="A198" s="302"/>
      <c r="B198" s="300"/>
      <c r="C198" s="301"/>
      <c r="D198"/>
      <c r="E198" s="569"/>
      <c r="F198" s="560"/>
      <c r="G198" s="560">
        <f t="shared" si="4"/>
        <v>0</v>
      </c>
    </row>
    <row r="199" spans="1:7" ht="17.149999999999999" customHeight="1" x14ac:dyDescent="0.25">
      <c r="A199" s="324">
        <v>0</v>
      </c>
      <c r="B199" s="300"/>
      <c r="C199" s="301"/>
      <c r="D199"/>
      <c r="E199" s="569"/>
      <c r="F199" s="560"/>
      <c r="G199" s="560">
        <f t="shared" si="4"/>
        <v>0</v>
      </c>
    </row>
    <row r="200" spans="1:7" ht="17.149999999999999" customHeight="1" x14ac:dyDescent="0.3">
      <c r="A200" s="305" t="s">
        <v>100</v>
      </c>
      <c r="B200" s="306">
        <v>0</v>
      </c>
      <c r="C200" s="307"/>
      <c r="D200" s="367"/>
      <c r="E200" s="569"/>
      <c r="F200" s="560"/>
      <c r="G200" s="560">
        <f t="shared" si="4"/>
        <v>0</v>
      </c>
    </row>
    <row r="201" spans="1:7" ht="17.149999999999999" customHeight="1" x14ac:dyDescent="0.3">
      <c r="A201" s="308" t="s">
        <v>101</v>
      </c>
      <c r="B201" s="309">
        <v>0</v>
      </c>
      <c r="C201" s="301" t="s">
        <v>82</v>
      </c>
      <c r="D201"/>
      <c r="E201" s="568"/>
      <c r="F201" s="560"/>
      <c r="G201" s="560">
        <f t="shared" si="4"/>
        <v>0</v>
      </c>
    </row>
    <row r="202" spans="1:7" ht="8.15" customHeight="1" x14ac:dyDescent="0.3">
      <c r="A202" s="308"/>
      <c r="B202" s="310"/>
      <c r="C202" s="301"/>
      <c r="D202"/>
      <c r="E202" s="568"/>
      <c r="F202" s="560"/>
      <c r="G202" s="560">
        <f t="shared" si="4"/>
        <v>0</v>
      </c>
    </row>
    <row r="203" spans="1:7" ht="10.4" customHeight="1" x14ac:dyDescent="0.25">
      <c r="A203" s="709"/>
      <c r="B203" s="710"/>
      <c r="C203" s="711"/>
      <c r="D203" s="194"/>
      <c r="E203" s="568"/>
      <c r="F203" s="560"/>
      <c r="G203" s="560">
        <f t="shared" si="4"/>
        <v>0</v>
      </c>
    </row>
    <row r="204" spans="1:7" ht="17.149999999999999" customHeight="1" x14ac:dyDescent="0.25">
      <c r="A204" s="316" t="s">
        <v>102</v>
      </c>
      <c r="B204" s="300"/>
      <c r="C204" s="301"/>
      <c r="D204"/>
      <c r="E204" s="568"/>
      <c r="F204" s="560"/>
      <c r="G204" s="560">
        <f t="shared" si="4"/>
        <v>0</v>
      </c>
    </row>
    <row r="205" spans="1:7" ht="17.149999999999999" customHeight="1" x14ac:dyDescent="0.25">
      <c r="A205" s="302"/>
      <c r="B205" s="300"/>
      <c r="C205" s="301"/>
      <c r="D205"/>
      <c r="E205" s="569"/>
      <c r="F205" s="560"/>
      <c r="G205" s="560">
        <f t="shared" si="4"/>
        <v>0</v>
      </c>
    </row>
    <row r="206" spans="1:7" ht="17.149999999999999" customHeight="1" x14ac:dyDescent="0.25">
      <c r="A206" s="305" t="s">
        <v>103</v>
      </c>
      <c r="B206" s="317">
        <v>0</v>
      </c>
      <c r="C206" s="301" t="s">
        <v>91</v>
      </c>
      <c r="D206"/>
      <c r="E206" s="569"/>
      <c r="F206" s="560"/>
      <c r="G206" s="560">
        <f t="shared" si="4"/>
        <v>0</v>
      </c>
    </row>
    <row r="207" spans="1:7" ht="17.149999999999999" customHeight="1" thickBot="1" x14ac:dyDescent="0.3">
      <c r="A207" s="325"/>
      <c r="B207" s="326"/>
      <c r="C207" s="327"/>
      <c r="D207" s="379"/>
      <c r="E207" s="569"/>
      <c r="F207" s="560"/>
      <c r="G207" s="560">
        <f t="shared" si="4"/>
        <v>0</v>
      </c>
    </row>
    <row r="212" spans="1:2" ht="17.25" hidden="1" customHeight="1" x14ac:dyDescent="0.25">
      <c r="A212" s="733" t="s">
        <v>104</v>
      </c>
      <c r="B212" s="734"/>
    </row>
    <row r="213" spans="1:2" ht="17.25" hidden="1" customHeight="1" x14ac:dyDescent="0.25">
      <c r="A213" s="735" t="e">
        <f>LOOKUP(chpfuelinput,lista6a,lista6c)</f>
        <v>#N/A</v>
      </c>
      <c r="B213" s="716" t="s">
        <v>105</v>
      </c>
    </row>
    <row r="214" spans="1:2" ht="17.25" hidden="1" customHeight="1" thickBot="1" x14ac:dyDescent="0.3">
      <c r="A214" s="735" t="e">
        <f>LOOKUP(chpfuelinput, lista6a, lista6f)</f>
        <v>#N/A</v>
      </c>
      <c r="B214" s="716" t="s">
        <v>106</v>
      </c>
    </row>
    <row r="215" spans="1:2" ht="17.25" hidden="1" customHeight="1" x14ac:dyDescent="0.25">
      <c r="A215" s="733" t="s">
        <v>107</v>
      </c>
      <c r="B215" s="734"/>
    </row>
    <row r="216" spans="1:2" ht="17.25" hidden="1" customHeight="1" x14ac:dyDescent="0.25">
      <c r="A216" s="735" t="e">
        <f>LOOKUP(stminput1,listd2a,listd2c)</f>
        <v>#N/A</v>
      </c>
      <c r="B216" s="716" t="s">
        <v>108</v>
      </c>
    </row>
    <row r="217" spans="1:2" ht="17.25" hidden="1" customHeight="1" x14ac:dyDescent="0.25">
      <c r="A217" s="735" t="e">
        <f>LOOKUP(stminput1,listd2a,listd2c)</f>
        <v>#N/A</v>
      </c>
      <c r="B217" s="716" t="s">
        <v>105</v>
      </c>
    </row>
    <row r="218" spans="1:2" ht="17.25" hidden="1" customHeight="1" thickBot="1" x14ac:dyDescent="0.3">
      <c r="A218" s="736" t="e">
        <f>LOOKUP(stminput1, listd2a, listd2f)</f>
        <v>#N/A</v>
      </c>
      <c r="B218" s="737" t="s">
        <v>106</v>
      </c>
    </row>
  </sheetData>
  <sheetProtection algorithmName="SHA-512" hashValue="UfAi8cWtlNBJQ4M8zsRSP43S7l53FMhJFpgOjzKtcxa6IeqJXuK5Nwo35gIPPHiCwUMYJYjaUNbq4r/AMmrPCg==" saltValue="HuE1DtGLXr0jtmO6cXpHuA==" spinCount="100000" sheet="1" objects="1" scenarios="1"/>
  <mergeCells count="16">
    <mergeCell ref="E4:E6"/>
    <mergeCell ref="E150:F154"/>
    <mergeCell ref="A154:A155"/>
    <mergeCell ref="A158:C158"/>
    <mergeCell ref="A159:B160"/>
    <mergeCell ref="C18:C21"/>
    <mergeCell ref="C30:C33"/>
    <mergeCell ref="B137:C137"/>
    <mergeCell ref="A77:B77"/>
    <mergeCell ref="B156:C157"/>
    <mergeCell ref="A2:C2"/>
    <mergeCell ref="A145:B145"/>
    <mergeCell ref="B41:B42"/>
    <mergeCell ref="A92:A93"/>
    <mergeCell ref="A141:A142"/>
    <mergeCell ref="A117:A118"/>
  </mergeCells>
  <phoneticPr fontId="18" type="noConversion"/>
  <conditionalFormatting sqref="B61">
    <cfRule type="cellIs" priority="58" stopIfTrue="1" operator="between">
      <formula>66</formula>
      <formula>120</formula>
    </cfRule>
  </conditionalFormatting>
  <conditionalFormatting sqref="B1 B3:B5">
    <cfRule type="expression" dxfId="52" priority="59" stopIfTrue="1">
      <formula>questionNum=1</formula>
    </cfRule>
  </conditionalFormatting>
  <conditionalFormatting sqref="B9:B10">
    <cfRule type="expression" dxfId="51" priority="60" stopIfTrue="1">
      <formula>questionNum=2</formula>
    </cfRule>
  </conditionalFormatting>
  <conditionalFormatting sqref="B13">
    <cfRule type="expression" dxfId="50" priority="61" stopIfTrue="1">
      <formula>questionNum=3</formula>
    </cfRule>
  </conditionalFormatting>
  <conditionalFormatting sqref="B16:B18">
    <cfRule type="expression" dxfId="49" priority="62" stopIfTrue="1">
      <formula>questionNum=4</formula>
    </cfRule>
  </conditionalFormatting>
  <conditionalFormatting sqref="B27:B28">
    <cfRule type="expression" dxfId="48" priority="63" stopIfTrue="1">
      <formula>questionNum=5</formula>
    </cfRule>
  </conditionalFormatting>
  <conditionalFormatting sqref="B39:B40">
    <cfRule type="expression" dxfId="47" priority="64" stopIfTrue="1">
      <formula>questionNum=6</formula>
    </cfRule>
  </conditionalFormatting>
  <conditionalFormatting sqref="B167:B168">
    <cfRule type="expression" dxfId="46" priority="65" stopIfTrue="1">
      <formula>questionNum=7</formula>
    </cfRule>
  </conditionalFormatting>
  <conditionalFormatting sqref="B172">
    <cfRule type="expression" dxfId="45" priority="66" stopIfTrue="1">
      <formula>questionNum=8</formula>
    </cfRule>
  </conditionalFormatting>
  <conditionalFormatting sqref="B45:B47">
    <cfRule type="expression" dxfId="44" priority="67" stopIfTrue="1">
      <formula>questionNum=9</formula>
    </cfRule>
  </conditionalFormatting>
  <conditionalFormatting sqref="B59">
    <cfRule type="expression" dxfId="43" priority="69" stopIfTrue="1">
      <formula>questionNum=11</formula>
    </cfRule>
  </conditionalFormatting>
  <conditionalFormatting sqref="B65:B67">
    <cfRule type="expression" dxfId="42" priority="70" stopIfTrue="1">
      <formula>questionNum=12</formula>
    </cfRule>
  </conditionalFormatting>
  <conditionalFormatting sqref="B75">
    <cfRule type="expression" dxfId="41" priority="71" stopIfTrue="1">
      <formula>questionNum=13</formula>
    </cfRule>
  </conditionalFormatting>
  <conditionalFormatting sqref="B179:B182">
    <cfRule type="expression" dxfId="40" priority="72" stopIfTrue="1">
      <formula>questionNum=14</formula>
    </cfRule>
  </conditionalFormatting>
  <conditionalFormatting sqref="B79:B80">
    <cfRule type="expression" dxfId="39" priority="73" stopIfTrue="1">
      <formula>questionNum=15</formula>
    </cfRule>
  </conditionalFormatting>
  <conditionalFormatting sqref="B85">
    <cfRule type="expression" dxfId="38" priority="74" stopIfTrue="1">
      <formula>questionNum=16</formula>
    </cfRule>
  </conditionalFormatting>
  <conditionalFormatting sqref="B89:B90">
    <cfRule type="expression" dxfId="37" priority="75" stopIfTrue="1">
      <formula>questionNum=17</formula>
    </cfRule>
  </conditionalFormatting>
  <conditionalFormatting sqref="B188:B189">
    <cfRule type="expression" dxfId="36" priority="76" stopIfTrue="1">
      <formula>questionNum=18</formula>
    </cfRule>
  </conditionalFormatting>
  <conditionalFormatting sqref="B94">
    <cfRule type="expression" dxfId="35" priority="77" stopIfTrue="1">
      <formula>questionNum=19</formula>
    </cfRule>
  </conditionalFormatting>
  <conditionalFormatting sqref="B97:B98">
    <cfRule type="expression" dxfId="34" priority="78" stopIfTrue="1">
      <formula>questionNum=20</formula>
    </cfRule>
  </conditionalFormatting>
  <conditionalFormatting sqref="B106:B107">
    <cfRule type="expression" dxfId="33" priority="79" stopIfTrue="1">
      <formula>questionNum=21</formula>
    </cfRule>
  </conditionalFormatting>
  <conditionalFormatting sqref="B110:B111">
    <cfRule type="expression" dxfId="32" priority="80" stopIfTrue="1">
      <formula>questionNum=22</formula>
    </cfRule>
  </conditionalFormatting>
  <conditionalFormatting sqref="B143:B144">
    <cfRule type="expression" dxfId="31" priority="81" stopIfTrue="1">
      <formula>questionNum=29</formula>
    </cfRule>
  </conditionalFormatting>
  <conditionalFormatting sqref="B148:B151">
    <cfRule type="expression" dxfId="30" priority="82" stopIfTrue="1">
      <formula>questionNum=30</formula>
    </cfRule>
  </conditionalFormatting>
  <conditionalFormatting sqref="B155">
    <cfRule type="expression" dxfId="29" priority="83" stopIfTrue="1">
      <formula>questionNum=31</formula>
    </cfRule>
  </conditionalFormatting>
  <conditionalFormatting sqref="B200:B202">
    <cfRule type="expression" dxfId="28" priority="84" stopIfTrue="1">
      <formula>questionNum=24</formula>
    </cfRule>
  </conditionalFormatting>
  <conditionalFormatting sqref="B119:B120">
    <cfRule type="expression" dxfId="27" priority="85" stopIfTrue="1">
      <formula>questionNum=23</formula>
    </cfRule>
  </conditionalFormatting>
  <conditionalFormatting sqref="B123:B125">
    <cfRule type="expression" dxfId="26" priority="87" stopIfTrue="1">
      <formula>questionNum=26</formula>
    </cfRule>
  </conditionalFormatting>
  <conditionalFormatting sqref="B130">
    <cfRule type="expression" dxfId="25" priority="88" stopIfTrue="1">
      <formula>questionNum=27</formula>
    </cfRule>
  </conditionalFormatting>
  <conditionalFormatting sqref="B206">
    <cfRule type="expression" dxfId="24" priority="89" stopIfTrue="1">
      <formula>questionNum=28</formula>
    </cfRule>
  </conditionalFormatting>
  <conditionalFormatting sqref="B14">
    <cfRule type="expression" dxfId="23" priority="54" stopIfTrue="1">
      <formula>questionNum=2</formula>
    </cfRule>
  </conditionalFormatting>
  <conditionalFormatting sqref="B25">
    <cfRule type="expression" dxfId="22" priority="53" stopIfTrue="1">
      <formula>questionNum=2</formula>
    </cfRule>
  </conditionalFormatting>
  <conditionalFormatting sqref="B60">
    <cfRule type="expression" dxfId="21" priority="49" stopIfTrue="1">
      <formula>questionNum=2</formula>
    </cfRule>
  </conditionalFormatting>
  <conditionalFormatting sqref="B37">
    <cfRule type="expression" dxfId="20" priority="52" stopIfTrue="1">
      <formula>questionNum=2</formula>
    </cfRule>
  </conditionalFormatting>
  <conditionalFormatting sqref="B48">
    <cfRule type="expression" dxfId="19" priority="51" stopIfTrue="1">
      <formula>questionNum=2</formula>
    </cfRule>
  </conditionalFormatting>
  <conditionalFormatting sqref="B54">
    <cfRule type="expression" dxfId="18" priority="50" stopIfTrue="1">
      <formula>questionNum=2</formula>
    </cfRule>
  </conditionalFormatting>
  <conditionalFormatting sqref="A77">
    <cfRule type="expression" dxfId="17" priority="47" stopIfTrue="1">
      <formula>questionNum=2</formula>
    </cfRule>
  </conditionalFormatting>
  <conditionalFormatting sqref="B68">
    <cfRule type="expression" dxfId="16" priority="48" stopIfTrue="1">
      <formula>questionNum=2</formula>
    </cfRule>
  </conditionalFormatting>
  <conditionalFormatting sqref="B81">
    <cfRule type="expression" dxfId="15" priority="46" stopIfTrue="1">
      <formula>questionNum=2</formula>
    </cfRule>
  </conditionalFormatting>
  <conditionalFormatting sqref="B86">
    <cfRule type="expression" dxfId="14" priority="45" stopIfTrue="1">
      <formula>questionNum=2</formula>
    </cfRule>
  </conditionalFormatting>
  <conditionalFormatting sqref="B91">
    <cfRule type="expression" dxfId="13" priority="44" stopIfTrue="1">
      <formula>questionNum=2</formula>
    </cfRule>
  </conditionalFormatting>
  <conditionalFormatting sqref="B139">
    <cfRule type="expression" dxfId="12" priority="43" stopIfTrue="1">
      <formula>questionNum=26</formula>
    </cfRule>
  </conditionalFormatting>
  <conditionalFormatting sqref="B76">
    <cfRule type="expression" dxfId="11" priority="42" stopIfTrue="1">
      <formula>questionNum=12</formula>
    </cfRule>
  </conditionalFormatting>
  <conditionalFormatting sqref="B52">
    <cfRule type="expression" dxfId="10" priority="41" stopIfTrue="1">
      <formula>questionNum=9</formula>
    </cfRule>
  </conditionalFormatting>
  <conditionalFormatting sqref="B53">
    <cfRule type="expression" dxfId="9" priority="40" stopIfTrue="1">
      <formula>questionNum=9</formula>
    </cfRule>
  </conditionalFormatting>
  <conditionalFormatting sqref="B146">
    <cfRule type="expression" dxfId="8" priority="38" stopIfTrue="1">
      <formula>questionNum=30</formula>
    </cfRule>
  </conditionalFormatting>
  <conditionalFormatting sqref="B171">
    <cfRule type="expression" dxfId="7" priority="8" stopIfTrue="1">
      <formula>questionNum=25</formula>
    </cfRule>
  </conditionalFormatting>
  <conditionalFormatting sqref="B166">
    <cfRule type="expression" dxfId="6" priority="33" stopIfTrue="1">
      <formula>questionNum=24</formula>
    </cfRule>
  </conditionalFormatting>
  <conditionalFormatting sqref="B187">
    <cfRule type="expression" dxfId="5" priority="19" stopIfTrue="1">
      <formula>questionNum=14</formula>
    </cfRule>
  </conditionalFormatting>
  <conditionalFormatting sqref="B178">
    <cfRule type="expression" dxfId="4" priority="17" stopIfTrue="1">
      <formula>questionNum=7</formula>
    </cfRule>
  </conditionalFormatting>
  <conditionalFormatting sqref="E8">
    <cfRule type="expression" dxfId="3" priority="5">
      <formula>SUM(allchecknew)&gt;0</formula>
    </cfRule>
  </conditionalFormatting>
  <conditionalFormatting sqref="E7">
    <cfRule type="expression" dxfId="2" priority="4">
      <formula>SUM(allchecknew)&gt;0</formula>
    </cfRule>
  </conditionalFormatting>
  <conditionalFormatting sqref="E9">
    <cfRule type="expression" dxfId="1" priority="2">
      <formula>SUM(allchecknew)&gt;0</formula>
    </cfRule>
  </conditionalFormatting>
  <conditionalFormatting sqref="B192">
    <cfRule type="expression" dxfId="0" priority="1" stopIfTrue="1">
      <formula>questionNum=25</formula>
    </cfRule>
  </conditionalFormatting>
  <dataValidations count="44">
    <dataValidation type="decimal" allowBlank="1" showInputMessage="1" showErrorMessage="1" error="You have entered an efficency that is too high or too low._x000a__x000a_Boilers must be between 66% and 99%_x000a_Electric Heat Pumps must be between 66% and 150%_x000a__x000a_Please try again." sqref="B60:B61" xr:uid="{00000000-0002-0000-0100-000000000000}">
      <formula1>j</formula1>
      <formula2>IF(jk=9,hg,f)</formula2>
    </dataValidation>
    <dataValidation type="decimal" errorStyle="warning" allowBlank="1" showInputMessage="1" showErrorMessage="1" error="You have entered an efficency that is outside the normal range for generating efficiency._x000a__x000a_Typical values are 7% to 66%" sqref="B65" xr:uid="{00000000-0002-0000-0100-000001000000}">
      <formula1>effpercentlow</formula1>
      <formula2>effpercenthigh</formula2>
    </dataValidation>
    <dataValidation type="decimal" errorStyle="warning" allowBlank="1" showInputMessage="1" showErrorMessage="1" error="You have entered an efficency that is outside the normal range of Higher Heating Value (HHV) efficiencies._x000a__x000a_Typical values are 5,170 Btu/kWh to 48,743 Btu/kWh" sqref="B66" xr:uid="{00000000-0002-0000-0100-000002000000}">
      <formula1>effhhvlow</formula1>
      <formula2>effhhvhigh</formula2>
    </dataValidation>
    <dataValidation type="decimal" allowBlank="1" showInputMessage="1" showErrorMessage="1" error="You have entered an efficency that is too high or too low._x000a_Please try again." sqref="B142" xr:uid="{00000000-0002-0000-0100-000003000000}">
      <formula1>efflhvlow</formula1>
      <formula2>efflhvhigh</formula2>
    </dataValidation>
    <dataValidation type="decimal" errorStyle="warning" allowBlank="1" showInputMessage="1" showErrorMessage="1" error="You have entered a Power to Heat_x000a_ratio that is outside the normal range._x000a__x000a_Typical Power to Heat Ratios are between 0.05 and 10" sqref="B75" xr:uid="{00000000-0002-0000-0100-000004000000}">
      <formula1>phlow</formula1>
      <formula2>phhigh</formula2>
    </dataValidation>
    <dataValidation type="decimal" operator="lessThan" allowBlank="1" showInputMessage="1" showErrorMessage="1" error="You have entered a NOx rate in PPM that is too high._x000a__x000a_Must be less than 200 ppm_x000a__x000a_Please try again." sqref="B178" xr:uid="{00000000-0002-0000-0100-000005000000}">
      <formula1>chpnoxppmhigh</formula1>
    </dataValidation>
    <dataValidation type="decimal" operator="lessThan" allowBlank="1" showInputMessage="1" showErrorMessage="1" error="You have entered a NOx emission rate that is too high._x000a__x000a_Must be less than 20 gm/hp-hr_x000a__x000a_Please try again." sqref="B179" xr:uid="{00000000-0002-0000-0100-000006000000}">
      <formula1>chpnoxgmhphrhigh</formula1>
    </dataValidation>
    <dataValidation type="decimal" operator="lessThan" allowBlank="1" showInputMessage="1" showErrorMessage="1" error="You have entered a NOx emission rate that is  too high._x000a__x000a_Must be less than 0.8 lb/MMBtu_x000a__x000a_Please try again." sqref="B180 B206:B207" xr:uid="{00000000-0002-0000-0100-000007000000}">
      <formula1>chpnoxlbhigh</formula1>
    </dataValidation>
    <dataValidation type="decimal" operator="lessThan" allowBlank="1" showInputMessage="1" error="You have entered a sulfur content value that is too high._x000a__x000a_Must be less than 50%_x000a__x000a_Please try again." sqref="B200" xr:uid="{00000000-0002-0000-0100-000008000000}">
      <formula1>sulfurpercenthigh</formula1>
    </dataValidation>
    <dataValidation type="decimal" operator="lessThan" allowBlank="1" showInputMessage="1" error="You have entered a sulfur content value that is too high._x000a__x000a_Must be less than 5000 ppm_x000a__x000a_Please try again." sqref="B201:B202" xr:uid="{00000000-0002-0000-0100-000009000000}">
      <formula1>sulfurppmhigh</formula1>
    </dataValidation>
    <dataValidation type="decimal" allowBlank="1" showInputMessage="1" showErrorMessage="1" error="You have entered a value for transmission losses that is too high or too low._x000a__x000a_Must be between 0% and 20%_x000a__x000a_Please try again." sqref="B155" xr:uid="{00000000-0002-0000-0100-00000A000000}">
      <formula1>0</formula1>
      <formula2>0.2</formula2>
    </dataValidation>
    <dataValidation type="decimal" allowBlank="1" showInputMessage="1" showErrorMessage="1" error="You have entered a heat content value that is either too large or too small for this fuel._x000a__x000a_Must be between 90 and 3000 Btu/cf_x000a__x000a_Please try again." sqref="B123 B45" xr:uid="{00000000-0002-0000-0100-00000B000000}">
      <formula1>90</formula1>
      <formula2>3000</formula2>
    </dataValidation>
    <dataValidation type="decimal" allowBlank="1" showInputMessage="1" showErrorMessage="1" error="You have entered a heat content value that is either too large or too small for this fuel._x000a__x000a_Must be between 50,000 and 200,000 Btu/gallon_x000a__x000a_Please try again." sqref="B124 B46" xr:uid="{00000000-0002-0000-0100-00000C000000}">
      <formula1>50000</formula1>
      <formula2>200000</formula2>
    </dataValidation>
    <dataValidation type="decimal" allowBlank="1" showInputMessage="1" showErrorMessage="1" error="You have entered a heat content value that is either too large or too small for this fuel._x000a__x000a_Must be between 2,000 and 20,000 Btu/lb_x000a__x000a_Please try again." sqref="B47 B140 B126:B127 B132:B135" xr:uid="{00000000-0002-0000-0100-00000D000000}">
      <formula1>2000</formula1>
      <formula2>20000</formula2>
    </dataValidation>
    <dataValidation type="decimal" operator="lessThan" allowBlank="1" showInputMessage="1" showErrorMessage="1" error="You have entered a NOx emission rate that is  too high._x000a__x000a_Must be less than 8.0 lb/MWh_x000a__x000a_Please try again." sqref="B181:B182" xr:uid="{00000000-0002-0000-0100-00000E000000}">
      <formula1>chpnoxlbmwhhigh</formula1>
    </dataValidation>
    <dataValidation type="decimal" errorStyle="warning" allowBlank="1" showInputMessage="1" showErrorMessage="1" error="You must enter a COP that is between 0 and 2.0._x000a__x000a_Please try again." sqref="B100:B101" xr:uid="{00000000-0002-0000-0100-00000F000000}">
      <formula1>0</formula1>
      <formula2>2</formula2>
    </dataValidation>
    <dataValidation type="decimal" errorStyle="warning" allowBlank="1" showInputMessage="1" showErrorMessage="1" error="You have entered an unusual value._x000a__x000a_Typical values are between 1 and 250 MMBtu per hour." sqref="B85:B86" xr:uid="{00000000-0002-0000-0100-000010000000}">
      <formula1>0</formula1>
      <formula2>250</formula2>
    </dataValidation>
    <dataValidation type="decimal" operator="lessThan" allowBlank="1" showInputMessage="1" showErrorMessage="1" error="You have entered a NOx rate in lb/MMBtu that is too high._x000a__x000a_Must be less than 2 lb per MMBtu_x000a__x000a_Please try again." sqref="B187" xr:uid="{00000000-0002-0000-0100-000011000000}">
      <formula1>2</formula1>
    </dataValidation>
    <dataValidation type="decimal" operator="lessThan" allowBlank="1" showInputMessage="1" showErrorMessage="1" error="You have entered a NOx emission rate that is too high._x000a__x000a_Must be less than 500 ppm @3% O2_x000a__x000a_Please try again." sqref="B188:B190 B194" xr:uid="{00000000-0002-0000-0100-000012000000}">
      <formula1>500</formula1>
    </dataValidation>
    <dataValidation type="decimal" operator="lessThanOrEqual" allowBlank="1" showInputMessage="1" error="You have entered a value for the number of operating hours per year that is greater than the operating hours of the CHP system._x000a__x000a_Please try again." sqref="B89 B32" xr:uid="{00000000-0002-0000-0100-000013000000}">
      <formula1>chours</formula1>
    </dataValidation>
    <dataValidation type="decimal" operator="lessThanOrEqual" allowBlank="1" showInputMessage="1" error="You have entered a value for the percentage of the year that is higher than the value for the CHP system._x000a__x000a_Please try again." sqref="B90:B91 B33" xr:uid="{00000000-0002-0000-0100-000014000000}">
      <formula1>1</formula1>
    </dataValidation>
    <dataValidation type="decimal" operator="lessThanOrEqual" allowBlank="1" showInputMessage="1" showErrorMessage="1" error="You have entered a value that is greater than the available cooling of the CHP system._x000a__x000a_Please try again." sqref="B106" xr:uid="{00000000-0002-0000-0100-000015000000}">
      <formula1>coolavailabletonsraw</formula1>
    </dataValidation>
    <dataValidation type="decimal" allowBlank="1" showInputMessage="1" showErrorMessage="1" error="You must enter a kW/ton value that is between 0.2 and 3.0_x000a__x000a_Please try again." sqref="B114" xr:uid="{00000000-0002-0000-0100-000016000000}">
      <formula1>0</formula1>
      <formula2>20</formula2>
    </dataValidation>
    <dataValidation type="decimal" allowBlank="1" showInputMessage="1" showErrorMessage="1" error="You must enter a COP that is between 0 and 6.0_x000a__x000a_Please try again." sqref="B115:B117" xr:uid="{00000000-0002-0000-0100-000017000000}">
      <formula1>0</formula1>
      <formula2>6</formula2>
    </dataValidation>
    <dataValidation type="whole" operator="equal" allowBlank="1" showInputMessage="1" showErrorMessage="1" errorTitle="sdf" error="sdf" sqref="B80" xr:uid="{00000000-0002-0000-0100-000018000000}">
      <formula1>2</formula1>
    </dataValidation>
    <dataValidation type="decimal" errorStyle="warning" allowBlank="1" showInputMessage="1" showErrorMessage="1" error="You have entered a heat content value that is outside the normal range for coal.  _x000a_(You may be specifying a fuel that is not coal)_x000a__x000a_Typical values for boiler coal are between 2,000 and 20,000 Btu/lb" sqref="B125" xr:uid="{00000000-0002-0000-0100-000019000000}">
      <formula1>2000</formula1>
      <formula2>20000</formula2>
    </dataValidation>
    <dataValidation type="decimal" errorStyle="warning" allowBlank="1" showInputMessage="1" showErrorMessage="1" error="You have entered an efficency that is outside the normal range for Lower Heating Value (LHV) efficiencies._x000a__x000a_Typical values are 4,704 Btu/kWh to 44,356 Btu/kWh" sqref="B67:B68" xr:uid="{00000000-0002-0000-0100-00001A000000}">
      <formula1>efflhvlow</formula1>
      <formula2>efflhvhigh</formula2>
    </dataValidation>
    <dataValidation type="decimal" allowBlank="1" showInputMessage="1" showErrorMessage="1" error="You have entered an efficency that is too high or too low._x000a__x000a_Boilers must be between 66% and 99%_x000a_Electric Heat Pumps must be between 66% and 350%_x000a__x000a_Please try again." sqref="B130" xr:uid="{00000000-0002-0000-0100-00001B000000}">
      <formula1>stmefflow</formula1>
      <formula2>IF(stminput1=9,stmeffelec,stmeffhigh)</formula2>
    </dataValidation>
    <dataValidation type="decimal" errorStyle="warning" operator="lessThan" allowBlank="1" showInputMessage="1" error="You have entered a value for the sulfur content that is too high._x000a__x000a_Your value should be less than 5%_x000a_" sqref="B166" xr:uid="{00000000-0002-0000-0100-00001C000000}">
      <formula1>sulfurpercenthigh</formula1>
    </dataValidation>
    <dataValidation type="decimal" errorStyle="warning" operator="lessThan" allowBlank="1" showInputMessage="1" error="You have entered a sulfur content value that is too high._x000a__x000a_Should be less than 5,000 ppm_x000a_" sqref="B167:B168" xr:uid="{00000000-0002-0000-0100-00001D000000}">
      <formula1>sulfurppmhigh</formula1>
    </dataValidation>
    <dataValidation operator="equal" allowBlank="1" showInputMessage="1" showErrorMessage="1" errorTitle="Sulfur Content" error="Please enter only a % value or a ppm value" sqref="E163:E165 F171:F172" xr:uid="{00000000-0002-0000-0100-00001E000000}"/>
    <dataValidation type="decimal" operator="lessThan" allowBlank="1" showInputMessage="1" showErrorMessage="1" error="You have entered a value for the number of operating hours per year that is too high._x000a__x000a_The maximum number of hours in a year is 8,760._x000a__x000a_Please try again." sqref="B36:B37" xr:uid="{00000000-0002-0000-0100-00001F000000}">
      <formula1>8769</formula1>
    </dataValidation>
    <dataValidation type="decimal" errorStyle="warning" allowBlank="1" showInputMessage="1" showErrorMessage="1" error="You have entered a CO2 emission rate that is either too high or too low for typical fossil fuels._x000a__x000a_Fossil fuels are between 15 and 300 lb/MMBtu_x000a__x000a_Renewable fuels may be considered to have_x000a_lower or no CO2 emissions." sqref="B171:B172 B192" xr:uid="{00000000-0002-0000-0100-000020000000}">
      <formula1>50</formula1>
      <formula2>300</formula2>
    </dataValidation>
    <dataValidation type="decimal" errorStyle="warning" allowBlank="1" showInputMessage="1" showErrorMessage="1" error="You have entered a capacity value that is outside the normal range for this technology._x000a__x000a_You can continue with this value or enter a new value." sqref="B9:B10" xr:uid="{00000000-0002-0000-0100-000021000000}">
      <formula1>caplow</formula1>
      <formula2>caphigh</formula2>
    </dataValidation>
    <dataValidation type="whole" operator="greaterThanOrEqual" allowBlank="1" showInputMessage="1" showErrorMessage="1" error="You must enter a postive integer._x000a__x000a_Please try again." sqref="B13:B14" xr:uid="{00000000-0002-0000-0100-000022000000}">
      <formula1>1</formula1>
    </dataValidation>
    <dataValidation type="decimal" operator="lessThan" allowBlank="1" showInputMessage="1" showErrorMessage="1" error="You have entered a value for the number of operating hours per year that is too high._x000a__x000a_The maximum number of hours in a year is 8,760._x000a__x000a_Please try again." sqref="B20" xr:uid="{00000000-0002-0000-0100-000023000000}">
      <formula1>8760.000001</formula1>
    </dataValidation>
    <dataValidation type="decimal" allowBlank="1" showInputMessage="1" showErrorMessage="1" error="You have entered a thermal utilization percentage that either too high or too low._x000a__x000a_Enter a value between 0 and 100%._x000a__x000a_Please try again." sqref="B138" xr:uid="{00000000-0002-0000-0100-000025000000}">
      <formula1>0</formula1>
      <formula2>100</formula2>
    </dataValidation>
    <dataValidation type="decimal" errorStyle="information" allowBlank="1" showInputMessage="1" showErrorMessage="1" error="You have entered a value for the percentage of the year that the CHP system operates that is too high or is less than zero._x000a__x000a_The maximum is 100%_x000a_The minimum is 0%_x000a__x000a_Please try again." sqref="B21:B23 B25" xr:uid="{00000000-0002-0000-0100-000026000000}">
      <formula1>-0.0001</formula1>
      <formula2>1.00001</formula2>
    </dataValidation>
    <dataValidation type="decimal" allowBlank="1" showInputMessage="1" showErrorMessage="1" error="You have entered an efficency that is too high or too low._x000a__x000a_Must be between 66% and 99%_x000a__x000a_Please try again." sqref="B141 B131" xr:uid="{00000000-0002-0000-0100-000027000000}">
      <formula1>stmefflow</formula1>
      <formula2>stmeffhigh</formula2>
    </dataValidation>
    <dataValidation type="decimal" operator="lessThanOrEqual" allowBlank="1" showInputMessage="1" showErrorMessage="1" error="You have entered a value that is greater than the available cooling of the CHP system._x000a__x000a_Please try again." sqref="B107:B108" xr:uid="{00000000-0002-0000-0100-000028000000}">
      <formula1>coolavailablemmbturaw</formula1>
    </dataValidation>
    <dataValidation type="decimal" allowBlank="1" showInputMessage="1" showErrorMessage="1" error="You have entered a CO2 emission rate that is either too high or too low._x000a__x000a_Must be between 15 and 300 lb/MMBtu_x000a__x000a_Please try again." sqref="B193" xr:uid="{00000000-0002-0000-0100-000029000000}">
      <formula1>15</formula1>
      <formula2>300</formula2>
    </dataValidation>
    <dataValidation type="decimal" allowBlank="1" showInputMessage="1" showErrorMessage="1" error="You have entered a thermal utilization percentage that either too high or too low._x000a__x000a_Enter a value between 0 and 100%._x000a__x000a_Please try again." sqref="B136" xr:uid="{00000000-0002-0000-0100-00002A000000}">
      <formula1>0</formula1>
      <formula2>1</formula2>
    </dataValidation>
    <dataValidation type="decimal" allowBlank="1" showInputMessage="1" showErrorMessage="1" error="You have entered an efficency that is too high or too low._x000a__x000a_Boilers must be between 66% and 99%_x000a_Electric Heat Pumps must be between 66% and 150%_x000a__x000a_Please try again." sqref="B59" xr:uid="{00000000-0002-0000-0100-00002B000000}">
      <formula1>0</formula1>
      <formula2>100</formula2>
    </dataValidation>
    <dataValidation operator="equal" allowBlank="1" showErrorMessage="1" promptTitle="1" prompt="2" sqref="B149" xr:uid="{6234F18D-DCCB-49D0-94FD-8E99A27A2A60}"/>
  </dataValidations>
  <hyperlinks>
    <hyperlink ref="A156" location="NERCMapLink" tooltip=" " display="Link to NERC Interconnections Map" xr:uid="{00000000-0004-0000-0100-000000000000}"/>
    <hyperlink ref="B74" location="tctitle" display=" See the SubThermalCalculator for help on calculating a Power to Heat Ratio" xr:uid="{00000000-0004-0000-0100-000001000000}"/>
    <hyperlink ref="A150" location="eGridMap" tooltip=" " display="Link to eGRID Subregion Map, NERC Interconnections Map, and AVERT Region Map" xr:uid="{00000000-0004-0000-0100-000002000000}"/>
  </hyperlinks>
  <printOptions horizontalCentered="1"/>
  <pageMargins left="0.25" right="0.25" top="0.75" bottom="0.75" header="0.3" footer="0.3"/>
  <pageSetup scale="62" fitToHeight="0" orientation="portrait" cellComments="asDisplayed" r:id="rId1"/>
  <headerFooter alignWithMargins="0">
    <oddFooter>&amp;L&amp;F, &amp;A&amp;R&amp;D</oddFooter>
  </headerFooter>
  <rowBreaks count="3" manualBreakCount="3">
    <brk id="69" max="2" man="1"/>
    <brk id="118" max="2" man="1"/>
    <brk id="142" max="2" man="1"/>
  </rowBreaks>
  <colBreaks count="1" manualBreakCount="1">
    <brk id="4" max="1048575" man="1"/>
  </colBreaks>
  <ignoredErrors>
    <ignoredError sqref="A8:C8 E7:E9 A10:C12 C9 A19 A18 A31:C31 A30:B30 A35:C35 B34 A48:C49 A44:B44 A68:C71 A78:C78 A76:A77 A81:C82 A79 C79 A189:C190 B186 A182:C185 A177:B177 A84:C84 A83:B83 A91:C93 A89 A98 B97 A101:C102 A99 C99 A108:C110 A105:B105 A120:C122 A119 A202:C205 A200 A127:C129 A126:B126 A132:C132 A131 C131 A207:B207 A158:C160 C154 A168:C170 A166 B138:C138 C137 A130 C130 A116:C118 A113:B113 A165:C165 B164:C164 B176:C176 C80 A90 C187 A104:C104 A103:B103 A112:B112 B199:C199 A25:C27 A24 C24 A41:C41 A40 C40 A22:C23 A20 C20 A21 C21 A14:C17 A13 C13 A167 C167 A173:C175 A171 C171 A45 C45 A46 C46 A47 C47 A65 C65 A66 C66 A67 C67 A29:C29 A28 C28 A33 A32 C32 C33 A106 C106 A107 C107 A100 C100 A111 C111 A114 C114 A115 C115 A37:C39 A36 C36 A75 C75 A178 C178 A179 C179 A180 C180 A181 C181 A86:C87 A85 C85 A188 C188 A206 C206 A201 C201 A193:C198 A192 C192 A125 A123 C123 A124 C124 C125 A60:C63 A59 A136 A140:C143 A139 C139 A146:C147 A144 C144 A151:C153 A135:C135 B133:C133 B134:C134 A54:C55 A52 A53 E155:E159 A95:C96 A94:B94 C94 E10:E96 A51 C51 A172 C172 A73:C73 B72:C72 A74 C74 A162:C163 A161:B161 E164:E165 E167:E177 E161 C145 C19 A43:C43 B42:C42 E98:E118 B150 E179:E204 B88:C88 E4 E120:E143 A57:C58 B56:C56 B50:C50 G9:G22 G24:G42 G44:G160 F1:G1 G162:G207 B148:C148 A156 A157 B191:C191" unlockedFormula="1"/>
    <ignoredError sqref="G208:G219" formula="1"/>
    <ignoredError sqref="G23 G43 G161" formula="1" unlockedFormula="1"/>
  </ignoredErrors>
  <drawing r:id="rId2"/>
  <legacyDrawing r:id="rId3"/>
  <oleObjects>
    <mc:AlternateContent xmlns:mc="http://schemas.openxmlformats.org/markup-compatibility/2006">
      <mc:Choice Requires="x14">
        <oleObject progId="Acrobat.Document.DC" dvAspect="DVASPECT_ICON" shapeId="43299" r:id="rId4">
          <objectPr locked="0" defaultSize="0" autoPict="0" r:id="rId5">
            <anchor moveWithCells="1">
              <from>
                <xdr:col>4</xdr:col>
                <xdr:colOff>203200</xdr:colOff>
                <xdr:row>0</xdr:row>
                <xdr:rowOff>0</xdr:rowOff>
              </from>
              <to>
                <xdr:col>4</xdr:col>
                <xdr:colOff>2095500</xdr:colOff>
                <xdr:row>0</xdr:row>
                <xdr:rowOff>685800</xdr:rowOff>
              </to>
            </anchor>
          </objectPr>
        </oleObject>
      </mc:Choice>
      <mc:Fallback>
        <oleObject progId="Acrobat.Document.DC" dvAspect="DVASPECT_ICON" shapeId="43299" r:id="rId4"/>
      </mc:Fallback>
    </mc:AlternateContent>
  </oleObjects>
  <mc:AlternateContent xmlns:mc="http://schemas.openxmlformats.org/markup-compatibility/2006">
    <mc:Choice Requires="x14">
      <controls>
        <mc:AlternateContent xmlns:mc="http://schemas.openxmlformats.org/markup-compatibility/2006">
          <mc:Choice Requires="x14">
            <control shapeId="8206" r:id="rId6" name="Drop Down 14">
              <controlPr locked="0" defaultSize="0" autoLine="0" autoPict="0" macro="[0]!InputCHPFuel_Click">
                <anchor moveWithCells="1">
                  <from>
                    <xdr:col>1</xdr:col>
                    <xdr:colOff>6350</xdr:colOff>
                    <xdr:row>39</xdr:row>
                    <xdr:rowOff>12700</xdr:rowOff>
                  </from>
                  <to>
                    <xdr:col>2</xdr:col>
                    <xdr:colOff>31750</xdr:colOff>
                    <xdr:row>39</xdr:row>
                    <xdr:rowOff>241300</xdr:rowOff>
                  </to>
                </anchor>
              </controlPr>
            </control>
          </mc:Choice>
        </mc:AlternateContent>
        <mc:AlternateContent xmlns:mc="http://schemas.openxmlformats.org/markup-compatibility/2006">
          <mc:Choice Requires="x14">
            <control shapeId="8216" r:id="rId7" name="Drop Down 24">
              <controlPr locked="0" defaultSize="0" autoLine="0" autoPict="0" macro="[0]!OpSchedule">
                <anchor moveWithCells="1">
                  <from>
                    <xdr:col>0</xdr:col>
                    <xdr:colOff>2197100</xdr:colOff>
                    <xdr:row>17</xdr:row>
                    <xdr:rowOff>31750</xdr:rowOff>
                  </from>
                  <to>
                    <xdr:col>2</xdr:col>
                    <xdr:colOff>12700</xdr:colOff>
                    <xdr:row>17</xdr:row>
                    <xdr:rowOff>260350</xdr:rowOff>
                  </to>
                </anchor>
              </controlPr>
            </control>
          </mc:Choice>
        </mc:AlternateContent>
        <mc:AlternateContent xmlns:mc="http://schemas.openxmlformats.org/markup-compatibility/2006">
          <mc:Choice Requires="x14">
            <control shapeId="8226" r:id="rId8" name="Drop Down 34">
              <controlPr locked="0" defaultSize="0" autoLine="0" autoPict="0" macro="[0]!DropDown34_Change">
                <anchor moveWithCells="1">
                  <from>
                    <xdr:col>1</xdr:col>
                    <xdr:colOff>203200</xdr:colOff>
                    <xdr:row>118</xdr:row>
                    <xdr:rowOff>222250</xdr:rowOff>
                  </from>
                  <to>
                    <xdr:col>2</xdr:col>
                    <xdr:colOff>12700</xdr:colOff>
                    <xdr:row>119</xdr:row>
                    <xdr:rowOff>6350</xdr:rowOff>
                  </to>
                </anchor>
              </controlPr>
            </control>
          </mc:Choice>
        </mc:AlternateContent>
        <mc:AlternateContent xmlns:mc="http://schemas.openxmlformats.org/markup-compatibility/2006">
          <mc:Choice Requires="x14">
            <control shapeId="8239" r:id="rId9" name="Drop Down 47">
              <controlPr locked="0" defaultSize="0" autoLine="0" autoPict="0">
                <anchor moveWithCells="1">
                  <from>
                    <xdr:col>0</xdr:col>
                    <xdr:colOff>1511300</xdr:colOff>
                    <xdr:row>143</xdr:row>
                    <xdr:rowOff>44450</xdr:rowOff>
                  </from>
                  <to>
                    <xdr:col>2</xdr:col>
                    <xdr:colOff>0</xdr:colOff>
                    <xdr:row>144</xdr:row>
                    <xdr:rowOff>6350</xdr:rowOff>
                  </to>
                </anchor>
              </controlPr>
            </control>
          </mc:Choice>
        </mc:AlternateContent>
        <mc:AlternateContent xmlns:mc="http://schemas.openxmlformats.org/markup-compatibility/2006">
          <mc:Choice Requires="x14">
            <control shapeId="8284" r:id="rId10" name="Drop Down 92">
              <controlPr locked="0" defaultSize="0" autoLine="0" autoPict="0" macro="[0]!DropDown92_Change">
                <anchor moveWithCells="1">
                  <from>
                    <xdr:col>0</xdr:col>
                    <xdr:colOff>2654300</xdr:colOff>
                    <xdr:row>3</xdr:row>
                    <xdr:rowOff>44450</xdr:rowOff>
                  </from>
                  <to>
                    <xdr:col>2</xdr:col>
                    <xdr:colOff>6350</xdr:colOff>
                    <xdr:row>4</xdr:row>
                    <xdr:rowOff>25400</xdr:rowOff>
                  </to>
                </anchor>
              </controlPr>
            </control>
          </mc:Choice>
        </mc:AlternateContent>
        <mc:AlternateContent xmlns:mc="http://schemas.openxmlformats.org/markup-compatibility/2006">
          <mc:Choice Requires="x14">
            <control shapeId="8285" r:id="rId11" name="Button 93">
              <controlPr defaultSize="0" autoFill="0" autoPict="0" macro="[0]!Button94_Click">
                <anchor moveWithCells="1" sizeWithCells="1">
                  <from>
                    <xdr:col>1</xdr:col>
                    <xdr:colOff>914400</xdr:colOff>
                    <xdr:row>72</xdr:row>
                    <xdr:rowOff>38100</xdr:rowOff>
                  </from>
                  <to>
                    <xdr:col>2</xdr:col>
                    <xdr:colOff>908050</xdr:colOff>
                    <xdr:row>73</xdr:row>
                    <xdr:rowOff>25400</xdr:rowOff>
                  </to>
                </anchor>
              </controlPr>
            </control>
          </mc:Choice>
        </mc:AlternateContent>
        <mc:AlternateContent xmlns:mc="http://schemas.openxmlformats.org/markup-compatibility/2006">
          <mc:Choice Requires="x14">
            <control shapeId="8286" r:id="rId12" name="Button 94">
              <controlPr defaultSize="0" autoFill="0" autoPict="0" macro="[0]!Button93_Click">
                <anchor moveWithCells="1" sizeWithCells="1">
                  <from>
                    <xdr:col>0</xdr:col>
                    <xdr:colOff>1797050</xdr:colOff>
                    <xdr:row>72</xdr:row>
                    <xdr:rowOff>38100</xdr:rowOff>
                  </from>
                  <to>
                    <xdr:col>1</xdr:col>
                    <xdr:colOff>838200</xdr:colOff>
                    <xdr:row>73</xdr:row>
                    <xdr:rowOff>25400</xdr:rowOff>
                  </to>
                </anchor>
              </controlPr>
            </control>
          </mc:Choice>
        </mc:AlternateContent>
        <mc:AlternateContent xmlns:mc="http://schemas.openxmlformats.org/markup-compatibility/2006">
          <mc:Choice Requires="x14">
            <control shapeId="8294" r:id="rId13" name="Button 102">
              <controlPr defaultSize="0" autoFill="0" autoPict="0" macro="[0]!Inputsulfurreset_Click">
                <anchor moveWithCells="1" sizeWithCells="1">
                  <from>
                    <xdr:col>0</xdr:col>
                    <xdr:colOff>1435100</xdr:colOff>
                    <xdr:row>162</xdr:row>
                    <xdr:rowOff>44450</xdr:rowOff>
                  </from>
                  <to>
                    <xdr:col>1</xdr:col>
                    <xdr:colOff>374650</xdr:colOff>
                    <xdr:row>164</xdr:row>
                    <xdr:rowOff>25400</xdr:rowOff>
                  </to>
                </anchor>
              </controlPr>
            </control>
          </mc:Choice>
        </mc:AlternateContent>
        <mc:AlternateContent xmlns:mc="http://schemas.openxmlformats.org/markup-compatibility/2006">
          <mc:Choice Requires="x14">
            <control shapeId="8295" r:id="rId14" name="Button 103">
              <controlPr defaultSize="0" autoFill="0" autoPict="0" macro="[0]!Button103_Click">
                <anchor moveWithCells="1" sizeWithCells="1">
                  <from>
                    <xdr:col>1</xdr:col>
                    <xdr:colOff>692150</xdr:colOff>
                    <xdr:row>161</xdr:row>
                    <xdr:rowOff>63500</xdr:rowOff>
                  </from>
                  <to>
                    <xdr:col>2</xdr:col>
                    <xdr:colOff>749300</xdr:colOff>
                    <xdr:row>162</xdr:row>
                    <xdr:rowOff>25400</xdr:rowOff>
                  </to>
                </anchor>
              </controlPr>
            </control>
          </mc:Choice>
        </mc:AlternateContent>
        <mc:AlternateContent xmlns:mc="http://schemas.openxmlformats.org/markup-compatibility/2006">
          <mc:Choice Requires="x14">
            <control shapeId="8296" r:id="rId15" name="Button 104">
              <controlPr defaultSize="0" autoFill="0" autoPict="0" macro="[0]!Button104_Click">
                <anchor moveWithCells="1" sizeWithCells="1">
                  <from>
                    <xdr:col>1</xdr:col>
                    <xdr:colOff>685800</xdr:colOff>
                    <xdr:row>162</xdr:row>
                    <xdr:rowOff>114300</xdr:rowOff>
                  </from>
                  <to>
                    <xdr:col>2</xdr:col>
                    <xdr:colOff>749300</xdr:colOff>
                    <xdr:row>163</xdr:row>
                    <xdr:rowOff>82550</xdr:rowOff>
                  </to>
                </anchor>
              </controlPr>
            </control>
          </mc:Choice>
        </mc:AlternateContent>
        <mc:AlternateContent xmlns:mc="http://schemas.openxmlformats.org/markup-compatibility/2006">
          <mc:Choice Requires="x14">
            <control shapeId="8297" r:id="rId16" name="Button 105">
              <controlPr defaultSize="0" autoFill="0" autoPict="0" macro="[0]!Button105_Click">
                <anchor moveWithCells="1" sizeWithCells="1">
                  <from>
                    <xdr:col>1</xdr:col>
                    <xdr:colOff>685800</xdr:colOff>
                    <xdr:row>163</xdr:row>
                    <xdr:rowOff>184150</xdr:rowOff>
                  </from>
                  <to>
                    <xdr:col>2</xdr:col>
                    <xdr:colOff>749300</xdr:colOff>
                    <xdr:row>164</xdr:row>
                    <xdr:rowOff>152400</xdr:rowOff>
                  </to>
                </anchor>
              </controlPr>
            </control>
          </mc:Choice>
        </mc:AlternateContent>
        <mc:AlternateContent xmlns:mc="http://schemas.openxmlformats.org/markup-compatibility/2006">
          <mc:Choice Requires="x14">
            <control shapeId="8298" r:id="rId17" name="Button 106">
              <controlPr defaultSize="0" autoFill="0" autoPict="0" macro="[0]!Button95_Click">
                <anchor moveWithCells="1" sizeWithCells="1">
                  <from>
                    <xdr:col>0</xdr:col>
                    <xdr:colOff>1860550</xdr:colOff>
                    <xdr:row>61</xdr:row>
                    <xdr:rowOff>114300</xdr:rowOff>
                  </from>
                  <to>
                    <xdr:col>1</xdr:col>
                    <xdr:colOff>800100</xdr:colOff>
                    <xdr:row>63</xdr:row>
                    <xdr:rowOff>82550</xdr:rowOff>
                  </to>
                </anchor>
              </controlPr>
            </control>
          </mc:Choice>
        </mc:AlternateContent>
        <mc:AlternateContent xmlns:mc="http://schemas.openxmlformats.org/markup-compatibility/2006">
          <mc:Choice Requires="x14">
            <control shapeId="8299" r:id="rId18" name="chpeffdefault1">
              <controlPr defaultSize="0" autoFill="0" autoPict="0" macro="[0]!Button96_Click">
                <anchor moveWithCells="1" sizeWithCells="1">
                  <from>
                    <xdr:col>1</xdr:col>
                    <xdr:colOff>908050</xdr:colOff>
                    <xdr:row>61</xdr:row>
                    <xdr:rowOff>114300</xdr:rowOff>
                  </from>
                  <to>
                    <xdr:col>2</xdr:col>
                    <xdr:colOff>901700</xdr:colOff>
                    <xdr:row>63</xdr:row>
                    <xdr:rowOff>82550</xdr:rowOff>
                  </to>
                </anchor>
              </controlPr>
            </control>
          </mc:Choice>
        </mc:AlternateContent>
        <mc:AlternateContent xmlns:mc="http://schemas.openxmlformats.org/markup-compatibility/2006">
          <mc:Choice Requires="x14">
            <control shapeId="8300" r:id="rId19" name="Button 108">
              <controlPr defaultSize="0" autoFill="0" autoPict="0" macro="[0]!Button97_Click">
                <anchor moveWithCells="1" sizeWithCells="1">
                  <from>
                    <xdr:col>0</xdr:col>
                    <xdr:colOff>1854200</xdr:colOff>
                    <xdr:row>173</xdr:row>
                    <xdr:rowOff>25400</xdr:rowOff>
                  </from>
                  <to>
                    <xdr:col>1</xdr:col>
                    <xdr:colOff>787400</xdr:colOff>
                    <xdr:row>176</xdr:row>
                    <xdr:rowOff>82550</xdr:rowOff>
                  </to>
                </anchor>
              </controlPr>
            </control>
          </mc:Choice>
        </mc:AlternateContent>
        <mc:AlternateContent xmlns:mc="http://schemas.openxmlformats.org/markup-compatibility/2006">
          <mc:Choice Requires="x14">
            <control shapeId="8301" r:id="rId20" name="Button 109">
              <controlPr defaultSize="0" autoFill="0" autoPict="0" macro="[0]!Button98_Click">
                <anchor moveWithCells="1" sizeWithCells="1">
                  <from>
                    <xdr:col>1</xdr:col>
                    <xdr:colOff>863600</xdr:colOff>
                    <xdr:row>173</xdr:row>
                    <xdr:rowOff>25400</xdr:rowOff>
                  </from>
                  <to>
                    <xdr:col>2</xdr:col>
                    <xdr:colOff>2851150</xdr:colOff>
                    <xdr:row>176</xdr:row>
                    <xdr:rowOff>82550</xdr:rowOff>
                  </to>
                </anchor>
              </controlPr>
            </control>
          </mc:Choice>
        </mc:AlternateContent>
        <mc:AlternateContent xmlns:mc="http://schemas.openxmlformats.org/markup-compatibility/2006">
          <mc:Choice Requires="x14">
            <control shapeId="8302" r:id="rId21" name="Button 110">
              <controlPr defaultSize="0" autoFill="0" autoPict="0" macro="[0]!Button99_Click">
                <anchor moveWithCells="1" sizeWithCells="1">
                  <from>
                    <xdr:col>0</xdr:col>
                    <xdr:colOff>1701800</xdr:colOff>
                    <xdr:row>203</xdr:row>
                    <xdr:rowOff>190500</xdr:rowOff>
                  </from>
                  <to>
                    <xdr:col>1</xdr:col>
                    <xdr:colOff>1054100</xdr:colOff>
                    <xdr:row>204</xdr:row>
                    <xdr:rowOff>190500</xdr:rowOff>
                  </to>
                </anchor>
              </controlPr>
            </control>
          </mc:Choice>
        </mc:AlternateContent>
        <mc:AlternateContent xmlns:mc="http://schemas.openxmlformats.org/markup-compatibility/2006">
          <mc:Choice Requires="x14">
            <control shapeId="8303" r:id="rId22" name="Button 111">
              <controlPr defaultSize="0" autoFill="0" autoPict="0" macro="[0]!Button100_Click">
                <anchor moveWithCells="1" sizeWithCells="1">
                  <from>
                    <xdr:col>1</xdr:col>
                    <xdr:colOff>1136650</xdr:colOff>
                    <xdr:row>203</xdr:row>
                    <xdr:rowOff>190500</xdr:rowOff>
                  </from>
                  <to>
                    <xdr:col>2</xdr:col>
                    <xdr:colOff>996950</xdr:colOff>
                    <xdr:row>204</xdr:row>
                    <xdr:rowOff>190500</xdr:rowOff>
                  </to>
                </anchor>
              </controlPr>
            </control>
          </mc:Choice>
        </mc:AlternateContent>
        <mc:AlternateContent xmlns:mc="http://schemas.openxmlformats.org/markup-compatibility/2006">
          <mc:Choice Requires="x14">
            <control shapeId="8306" r:id="rId23" name="Button 114">
              <controlPr defaultSize="0" autoFill="0" autoPict="0" macro="[0]!Button89_Click">
                <anchor moveWithCells="1" sizeWithCells="1">
                  <from>
                    <xdr:col>0</xdr:col>
                    <xdr:colOff>1631950</xdr:colOff>
                    <xdr:row>196</xdr:row>
                    <xdr:rowOff>25400</xdr:rowOff>
                  </from>
                  <to>
                    <xdr:col>1</xdr:col>
                    <xdr:colOff>330200</xdr:colOff>
                    <xdr:row>197</xdr:row>
                    <xdr:rowOff>63500</xdr:rowOff>
                  </to>
                </anchor>
              </controlPr>
            </control>
          </mc:Choice>
        </mc:AlternateContent>
        <mc:AlternateContent xmlns:mc="http://schemas.openxmlformats.org/markup-compatibility/2006">
          <mc:Choice Requires="x14">
            <control shapeId="8307" r:id="rId24" name="Button 115">
              <controlPr defaultSize="0" autoFill="0" autoPict="0" macro="[0]!Button90_Click">
                <anchor moveWithCells="1" sizeWithCells="1">
                  <from>
                    <xdr:col>1</xdr:col>
                    <xdr:colOff>635000</xdr:colOff>
                    <xdr:row>195</xdr:row>
                    <xdr:rowOff>31750</xdr:rowOff>
                  </from>
                  <to>
                    <xdr:col>2</xdr:col>
                    <xdr:colOff>831850</xdr:colOff>
                    <xdr:row>196</xdr:row>
                    <xdr:rowOff>0</xdr:rowOff>
                  </to>
                </anchor>
              </controlPr>
            </control>
          </mc:Choice>
        </mc:AlternateContent>
        <mc:AlternateContent xmlns:mc="http://schemas.openxmlformats.org/markup-compatibility/2006">
          <mc:Choice Requires="x14">
            <control shapeId="8308" r:id="rId25" name="Button 116">
              <controlPr defaultSize="0" autoFill="0" autoPict="0" macro="[0]!Button91_Click">
                <anchor moveWithCells="1" sizeWithCells="1">
                  <from>
                    <xdr:col>1</xdr:col>
                    <xdr:colOff>635000</xdr:colOff>
                    <xdr:row>196</xdr:row>
                    <xdr:rowOff>69850</xdr:rowOff>
                  </from>
                  <to>
                    <xdr:col>2</xdr:col>
                    <xdr:colOff>831850</xdr:colOff>
                    <xdr:row>197</xdr:row>
                    <xdr:rowOff>38100</xdr:rowOff>
                  </to>
                </anchor>
              </controlPr>
            </control>
          </mc:Choice>
        </mc:AlternateContent>
        <mc:AlternateContent xmlns:mc="http://schemas.openxmlformats.org/markup-compatibility/2006">
          <mc:Choice Requires="x14">
            <control shapeId="8309" r:id="rId26" name="Button 117">
              <controlPr defaultSize="0" autoFill="0" autoPict="0" macro="[0]!Button92_Click">
                <anchor moveWithCells="1" sizeWithCells="1">
                  <from>
                    <xdr:col>1</xdr:col>
                    <xdr:colOff>635000</xdr:colOff>
                    <xdr:row>197</xdr:row>
                    <xdr:rowOff>107950</xdr:rowOff>
                  </from>
                  <to>
                    <xdr:col>2</xdr:col>
                    <xdr:colOff>831850</xdr:colOff>
                    <xdr:row>198</xdr:row>
                    <xdr:rowOff>76200</xdr:rowOff>
                  </to>
                </anchor>
              </controlPr>
            </control>
          </mc:Choice>
        </mc:AlternateContent>
        <mc:AlternateContent xmlns:mc="http://schemas.openxmlformats.org/markup-compatibility/2006">
          <mc:Choice Requires="x14">
            <control shapeId="8312" r:id="rId27" name="Drop Down 120">
              <controlPr locked="0" defaultSize="0" autoLine="0" autoPict="0">
                <anchor moveWithCells="1">
                  <from>
                    <xdr:col>1</xdr:col>
                    <xdr:colOff>273050</xdr:colOff>
                    <xdr:row>148</xdr:row>
                    <xdr:rowOff>44450</xdr:rowOff>
                  </from>
                  <to>
                    <xdr:col>2</xdr:col>
                    <xdr:colOff>25400</xdr:colOff>
                    <xdr:row>149</xdr:row>
                    <xdr:rowOff>12700</xdr:rowOff>
                  </to>
                </anchor>
              </controlPr>
            </control>
          </mc:Choice>
        </mc:AlternateContent>
        <mc:AlternateContent xmlns:mc="http://schemas.openxmlformats.org/markup-compatibility/2006">
          <mc:Choice Requires="x14">
            <control shapeId="8321" r:id="rId28" name="Button 129">
              <controlPr defaultSize="0" print="0" autoFill="0" autoPict="0" macro="[0]!Buttonreset_Click">
                <anchor>
                  <from>
                    <xdr:col>3</xdr:col>
                    <xdr:colOff>38100</xdr:colOff>
                    <xdr:row>1</xdr:row>
                    <xdr:rowOff>146050</xdr:rowOff>
                  </from>
                  <to>
                    <xdr:col>4</xdr:col>
                    <xdr:colOff>1358900</xdr:colOff>
                    <xdr:row>2</xdr:row>
                    <xdr:rowOff>120650</xdr:rowOff>
                  </to>
                </anchor>
              </controlPr>
            </control>
          </mc:Choice>
        </mc:AlternateContent>
        <mc:AlternateContent xmlns:mc="http://schemas.openxmlformats.org/markup-compatibility/2006">
          <mc:Choice Requires="x14">
            <control shapeId="8324" r:id="rId29" name="Button 132">
              <controlPr defaultSize="0" autoFill="0" autoPict="0" macro="[0]!ButtonThermCalcdo_Click">
                <anchor>
                  <from>
                    <xdr:col>45</xdr:col>
                    <xdr:colOff>330200</xdr:colOff>
                    <xdr:row>417</xdr:row>
                    <xdr:rowOff>76200</xdr:rowOff>
                  </from>
                  <to>
                    <xdr:col>60</xdr:col>
                    <xdr:colOff>215900</xdr:colOff>
                    <xdr:row>433</xdr:row>
                    <xdr:rowOff>25400</xdr:rowOff>
                  </to>
                </anchor>
              </controlPr>
            </control>
          </mc:Choice>
        </mc:AlternateContent>
        <mc:AlternateContent xmlns:mc="http://schemas.openxmlformats.org/markup-compatibility/2006">
          <mc:Choice Requires="x14">
            <control shapeId="8356" r:id="rId30" name="Button 164">
              <controlPr defaultSize="0" autoFill="0" autoPict="0" macro="[0]!Stmeffreset">
                <anchor moveWithCells="1" sizeWithCells="1">
                  <from>
                    <xdr:col>0</xdr:col>
                    <xdr:colOff>1854200</xdr:colOff>
                    <xdr:row>127</xdr:row>
                    <xdr:rowOff>184150</xdr:rowOff>
                  </from>
                  <to>
                    <xdr:col>1</xdr:col>
                    <xdr:colOff>793750</xdr:colOff>
                    <xdr:row>128</xdr:row>
                    <xdr:rowOff>190500</xdr:rowOff>
                  </to>
                </anchor>
              </controlPr>
            </control>
          </mc:Choice>
        </mc:AlternateContent>
        <mc:AlternateContent xmlns:mc="http://schemas.openxmlformats.org/markup-compatibility/2006">
          <mc:Choice Requires="x14">
            <control shapeId="8357" r:id="rId31" name="Button 165">
              <controlPr defaultSize="0" autoFill="0" autoPict="0" macro="[0]!Stmeffdefault">
                <anchor moveWithCells="1" sizeWithCells="1">
                  <from>
                    <xdr:col>1</xdr:col>
                    <xdr:colOff>939800</xdr:colOff>
                    <xdr:row>127</xdr:row>
                    <xdr:rowOff>184150</xdr:rowOff>
                  </from>
                  <to>
                    <xdr:col>2</xdr:col>
                    <xdr:colOff>1416050</xdr:colOff>
                    <xdr:row>128</xdr:row>
                    <xdr:rowOff>190500</xdr:rowOff>
                  </to>
                </anchor>
              </controlPr>
            </control>
          </mc:Choice>
        </mc:AlternateContent>
        <mc:AlternateContent xmlns:mc="http://schemas.openxmlformats.org/markup-compatibility/2006">
          <mc:Choice Requires="x14">
            <control shapeId="8371" r:id="rId32" name="Drop Down 179">
              <controlPr locked="0" defaultSize="0" autoLine="0" autoPict="0" macro="[0]!InputCool3">
                <anchor moveWithCells="1">
                  <from>
                    <xdr:col>0</xdr:col>
                    <xdr:colOff>2279650</xdr:colOff>
                    <xdr:row>97</xdr:row>
                    <xdr:rowOff>31750</xdr:rowOff>
                  </from>
                  <to>
                    <xdr:col>2</xdr:col>
                    <xdr:colOff>6350</xdr:colOff>
                    <xdr:row>97</xdr:row>
                    <xdr:rowOff>260350</xdr:rowOff>
                  </to>
                </anchor>
              </controlPr>
            </control>
          </mc:Choice>
        </mc:AlternateContent>
        <mc:AlternateContent xmlns:mc="http://schemas.openxmlformats.org/markup-compatibility/2006">
          <mc:Choice Requires="x14">
            <control shapeId="8383" r:id="rId33" name="Drop Down 191">
              <controlPr locked="0" defaultSize="0" autoLine="0" autoPict="0" macro="[0]!InputDuct1">
                <anchor moveWithCells="1">
                  <from>
                    <xdr:col>1</xdr:col>
                    <xdr:colOff>146050</xdr:colOff>
                    <xdr:row>79</xdr:row>
                    <xdr:rowOff>25400</xdr:rowOff>
                  </from>
                  <to>
                    <xdr:col>2</xdr:col>
                    <xdr:colOff>0</xdr:colOff>
                    <xdr:row>79</xdr:row>
                    <xdr:rowOff>254000</xdr:rowOff>
                  </to>
                </anchor>
              </controlPr>
            </control>
          </mc:Choice>
        </mc:AlternateContent>
        <mc:AlternateContent xmlns:mc="http://schemas.openxmlformats.org/markup-compatibility/2006">
          <mc:Choice Requires="x14">
            <control shapeId="8387" r:id="rId34" name="Button 195">
              <controlPr defaultSize="0" autoFill="0" autoPict="0" macro="[0]!Button102_Click">
                <anchor moveWithCells="1" sizeWithCells="1">
                  <from>
                    <xdr:col>0</xdr:col>
                    <xdr:colOff>2362200</xdr:colOff>
                    <xdr:row>183</xdr:row>
                    <xdr:rowOff>196850</xdr:rowOff>
                  </from>
                  <to>
                    <xdr:col>1</xdr:col>
                    <xdr:colOff>1301750</xdr:colOff>
                    <xdr:row>185</xdr:row>
                    <xdr:rowOff>82550</xdr:rowOff>
                  </to>
                </anchor>
              </controlPr>
            </control>
          </mc:Choice>
        </mc:AlternateContent>
        <mc:AlternateContent xmlns:mc="http://schemas.openxmlformats.org/markup-compatibility/2006">
          <mc:Choice Requires="x14">
            <control shapeId="8388" r:id="rId35" name="Button 196">
              <controlPr defaultSize="0" autoFill="0" autoPict="0" macro="[0]!Button101_Click">
                <anchor moveWithCells="1" sizeWithCells="1">
                  <from>
                    <xdr:col>1</xdr:col>
                    <xdr:colOff>1397000</xdr:colOff>
                    <xdr:row>183</xdr:row>
                    <xdr:rowOff>196850</xdr:rowOff>
                  </from>
                  <to>
                    <xdr:col>2</xdr:col>
                    <xdr:colOff>1282700</xdr:colOff>
                    <xdr:row>185</xdr:row>
                    <xdr:rowOff>82550</xdr:rowOff>
                  </to>
                </anchor>
              </controlPr>
            </control>
          </mc:Choice>
        </mc:AlternateContent>
        <mc:AlternateContent xmlns:mc="http://schemas.openxmlformats.org/markup-compatibility/2006">
          <mc:Choice Requires="x14">
            <control shapeId="8392" r:id="rId36" name="Drop Down 200">
              <controlPr locked="0" defaultSize="0" autoLine="0" autoPict="0" macro="[0]!InputHeatCoolBoth">
                <anchor moveWithCells="1">
                  <from>
                    <xdr:col>0</xdr:col>
                    <xdr:colOff>2806700</xdr:colOff>
                    <xdr:row>27</xdr:row>
                    <xdr:rowOff>25400</xdr:rowOff>
                  </from>
                  <to>
                    <xdr:col>2</xdr:col>
                    <xdr:colOff>0</xdr:colOff>
                    <xdr:row>27</xdr:row>
                    <xdr:rowOff>254000</xdr:rowOff>
                  </to>
                </anchor>
              </controlPr>
            </control>
          </mc:Choice>
        </mc:AlternateContent>
        <mc:AlternateContent xmlns:mc="http://schemas.openxmlformats.org/markup-compatibility/2006">
          <mc:Choice Requires="x14">
            <control shapeId="8405" r:id="rId37" name="Drop Down 213">
              <controlPr locked="0" defaultSize="0" autoLine="0" autoPict="0">
                <anchor moveWithCells="1">
                  <from>
                    <xdr:col>0</xdr:col>
                    <xdr:colOff>2832100</xdr:colOff>
                    <xdr:row>35</xdr:row>
                    <xdr:rowOff>12700</xdr:rowOff>
                  </from>
                  <to>
                    <xdr:col>2</xdr:col>
                    <xdr:colOff>12700</xdr:colOff>
                    <xdr:row>36</xdr:row>
                    <xdr:rowOff>31750</xdr:rowOff>
                  </to>
                </anchor>
              </controlPr>
            </control>
          </mc:Choice>
        </mc:AlternateContent>
        <mc:AlternateContent xmlns:mc="http://schemas.openxmlformats.org/markup-compatibility/2006">
          <mc:Choice Requires="x14">
            <control shapeId="8408" r:id="rId38" name="Drop Down 216">
              <controlPr locked="0" defaultSize="0" autoLine="0" autoPict="0" macro="[0]!DropDown216_Change">
                <anchor moveWithCells="1">
                  <from>
                    <xdr:col>0</xdr:col>
                    <xdr:colOff>63500</xdr:colOff>
                    <xdr:row>110</xdr:row>
                    <xdr:rowOff>25400</xdr:rowOff>
                  </from>
                  <to>
                    <xdr:col>2</xdr:col>
                    <xdr:colOff>0</xdr:colOff>
                    <xdr:row>110</xdr:row>
                    <xdr:rowOff>254000</xdr:rowOff>
                  </to>
                </anchor>
              </controlPr>
            </control>
          </mc:Choice>
        </mc:AlternateContent>
        <mc:AlternateContent xmlns:mc="http://schemas.openxmlformats.org/markup-compatibility/2006">
          <mc:Choice Requires="x14">
            <control shapeId="8423" r:id="rId39" name="Button 231">
              <controlPr defaultSize="0" autoFill="0" autoPict="0" macro="[0]!next_29">
                <anchor>
                  <from>
                    <xdr:col>55</xdr:col>
                    <xdr:colOff>571500</xdr:colOff>
                    <xdr:row>982</xdr:row>
                    <xdr:rowOff>25400</xdr:rowOff>
                  </from>
                  <to>
                    <xdr:col>60</xdr:col>
                    <xdr:colOff>533400</xdr:colOff>
                    <xdr:row>988</xdr:row>
                    <xdr:rowOff>177800</xdr:rowOff>
                  </to>
                </anchor>
              </controlPr>
            </control>
          </mc:Choice>
        </mc:AlternateContent>
        <mc:AlternateContent xmlns:mc="http://schemas.openxmlformats.org/markup-compatibility/2006">
          <mc:Choice Requires="x14">
            <control shapeId="8424" r:id="rId40" name="Button 232">
              <controlPr defaultSize="0" print="0" autoFill="0" autoPict="0" macro="[0]!Button231_Click">
                <anchor>
                  <from>
                    <xdr:col>3</xdr:col>
                    <xdr:colOff>38100</xdr:colOff>
                    <xdr:row>16</xdr:row>
                    <xdr:rowOff>120650</xdr:rowOff>
                  </from>
                  <to>
                    <xdr:col>4</xdr:col>
                    <xdr:colOff>1333500</xdr:colOff>
                    <xdr:row>19</xdr:row>
                    <xdr:rowOff>44450</xdr:rowOff>
                  </to>
                </anchor>
              </controlPr>
            </control>
          </mc:Choice>
        </mc:AlternateContent>
        <mc:AlternateContent xmlns:mc="http://schemas.openxmlformats.org/markup-compatibility/2006">
          <mc:Choice Requires="x14">
            <control shapeId="8425" r:id="rId41" name="Button 233">
              <controlPr defaultSize="0" print="0" autoFill="0" autoPict="0" macro="[0]!Button231_Click">
                <anchor>
                  <from>
                    <xdr:col>3</xdr:col>
                    <xdr:colOff>50800</xdr:colOff>
                    <xdr:row>35</xdr:row>
                    <xdr:rowOff>25400</xdr:rowOff>
                  </from>
                  <to>
                    <xdr:col>4</xdr:col>
                    <xdr:colOff>1384300</xdr:colOff>
                    <xdr:row>38</xdr:row>
                    <xdr:rowOff>107950</xdr:rowOff>
                  </to>
                </anchor>
              </controlPr>
            </control>
          </mc:Choice>
        </mc:AlternateContent>
        <mc:AlternateContent xmlns:mc="http://schemas.openxmlformats.org/markup-compatibility/2006">
          <mc:Choice Requires="x14">
            <control shapeId="8426" r:id="rId42" name="Button 234">
              <controlPr defaultSize="0" print="0" autoFill="0" autoPict="0" macro="[0]!Button231_Click">
                <anchor>
                  <from>
                    <xdr:col>3</xdr:col>
                    <xdr:colOff>139700</xdr:colOff>
                    <xdr:row>55</xdr:row>
                    <xdr:rowOff>0</xdr:rowOff>
                  </from>
                  <to>
                    <xdr:col>4</xdr:col>
                    <xdr:colOff>1422400</xdr:colOff>
                    <xdr:row>57</xdr:row>
                    <xdr:rowOff>63500</xdr:rowOff>
                  </to>
                </anchor>
              </controlPr>
            </control>
          </mc:Choice>
        </mc:AlternateContent>
        <mc:AlternateContent xmlns:mc="http://schemas.openxmlformats.org/markup-compatibility/2006">
          <mc:Choice Requires="x14">
            <control shapeId="8427" r:id="rId43" name="Button 235">
              <controlPr defaultSize="0" print="0" autoFill="0" autoPict="0" macro="[0]!Button231_Click">
                <anchor>
                  <from>
                    <xdr:col>3</xdr:col>
                    <xdr:colOff>101600</xdr:colOff>
                    <xdr:row>76</xdr:row>
                    <xdr:rowOff>266700</xdr:rowOff>
                  </from>
                  <to>
                    <xdr:col>4</xdr:col>
                    <xdr:colOff>1422400</xdr:colOff>
                    <xdr:row>79</xdr:row>
                    <xdr:rowOff>63500</xdr:rowOff>
                  </to>
                </anchor>
              </controlPr>
            </control>
          </mc:Choice>
        </mc:AlternateContent>
        <mc:AlternateContent xmlns:mc="http://schemas.openxmlformats.org/markup-compatibility/2006">
          <mc:Choice Requires="x14">
            <control shapeId="8428" r:id="rId44" name="Button 236">
              <controlPr defaultSize="0" print="0" autoFill="0" autoPict="0" macro="[0]!Button231_Click">
                <anchor>
                  <from>
                    <xdr:col>3</xdr:col>
                    <xdr:colOff>139700</xdr:colOff>
                    <xdr:row>101</xdr:row>
                    <xdr:rowOff>0</xdr:rowOff>
                  </from>
                  <to>
                    <xdr:col>4</xdr:col>
                    <xdr:colOff>1397000</xdr:colOff>
                    <xdr:row>103</xdr:row>
                    <xdr:rowOff>177800</xdr:rowOff>
                  </to>
                </anchor>
              </controlPr>
            </control>
          </mc:Choice>
        </mc:AlternateContent>
        <mc:AlternateContent xmlns:mc="http://schemas.openxmlformats.org/markup-compatibility/2006">
          <mc:Choice Requires="x14">
            <control shapeId="8429" r:id="rId45" name="Button 237">
              <controlPr defaultSize="0" print="0" autoFill="0" autoPict="0" macro="[0]!Button231_Click">
                <anchor>
                  <from>
                    <xdr:col>3</xdr:col>
                    <xdr:colOff>158750</xdr:colOff>
                    <xdr:row>123</xdr:row>
                    <xdr:rowOff>184150</xdr:rowOff>
                  </from>
                  <to>
                    <xdr:col>4</xdr:col>
                    <xdr:colOff>1371600</xdr:colOff>
                    <xdr:row>127</xdr:row>
                    <xdr:rowOff>101600</xdr:rowOff>
                  </to>
                </anchor>
              </controlPr>
            </control>
          </mc:Choice>
        </mc:AlternateContent>
        <mc:AlternateContent xmlns:mc="http://schemas.openxmlformats.org/markup-compatibility/2006">
          <mc:Choice Requires="x14">
            <control shapeId="8433" r:id="rId46" name="Button 241">
              <controlPr defaultSize="0" autoFill="0" autoPict="0" macro="[0]!next_1">
                <anchor>
                  <from>
                    <xdr:col>52</xdr:col>
                    <xdr:colOff>273050</xdr:colOff>
                    <xdr:row>27</xdr:row>
                    <xdr:rowOff>107950</xdr:rowOff>
                  </from>
                  <to>
                    <xdr:col>57</xdr:col>
                    <xdr:colOff>254000</xdr:colOff>
                    <xdr:row>34</xdr:row>
                    <xdr:rowOff>146050</xdr:rowOff>
                  </to>
                </anchor>
              </controlPr>
            </control>
          </mc:Choice>
        </mc:AlternateContent>
        <mc:AlternateContent xmlns:mc="http://schemas.openxmlformats.org/markup-compatibility/2006">
          <mc:Choice Requires="x14">
            <control shapeId="8445" r:id="rId47" name="Button 253">
              <controlPr defaultSize="0" autoFill="0" autoPict="0" macro="[0]!next_2">
                <anchor>
                  <from>
                    <xdr:col>52</xdr:col>
                    <xdr:colOff>457200</xdr:colOff>
                    <xdr:row>50</xdr:row>
                    <xdr:rowOff>25400</xdr:rowOff>
                  </from>
                  <to>
                    <xdr:col>57</xdr:col>
                    <xdr:colOff>419100</xdr:colOff>
                    <xdr:row>57</xdr:row>
                    <xdr:rowOff>184150</xdr:rowOff>
                  </to>
                </anchor>
              </controlPr>
            </control>
          </mc:Choice>
        </mc:AlternateContent>
        <mc:AlternateContent xmlns:mc="http://schemas.openxmlformats.org/markup-compatibility/2006">
          <mc:Choice Requires="x14">
            <control shapeId="8446" r:id="rId48" name="Button 254">
              <controlPr defaultSize="0" autoFill="0" autoPict="0" macro="[0]!next_3">
                <anchor moveWithCells="1">
                  <from>
                    <xdr:col>2</xdr:col>
                    <xdr:colOff>2159000</xdr:colOff>
                    <xdr:row>11</xdr:row>
                    <xdr:rowOff>120650</xdr:rowOff>
                  </from>
                  <to>
                    <xdr:col>2</xdr:col>
                    <xdr:colOff>2743200</xdr:colOff>
                    <xdr:row>12</xdr:row>
                    <xdr:rowOff>139700</xdr:rowOff>
                  </to>
                </anchor>
              </controlPr>
            </control>
          </mc:Choice>
        </mc:AlternateContent>
        <mc:AlternateContent xmlns:mc="http://schemas.openxmlformats.org/markup-compatibility/2006">
          <mc:Choice Requires="x14">
            <control shapeId="8447" r:id="rId49" name="Button 255">
              <controlPr defaultSize="0" autoFill="0" autoPict="0" macro="[0]!next_4">
                <anchor>
                  <from>
                    <xdr:col>53</xdr:col>
                    <xdr:colOff>120650</xdr:colOff>
                    <xdr:row>97</xdr:row>
                    <xdr:rowOff>107950</xdr:rowOff>
                  </from>
                  <to>
                    <xdr:col>58</xdr:col>
                    <xdr:colOff>101600</xdr:colOff>
                    <xdr:row>105</xdr:row>
                    <xdr:rowOff>31750</xdr:rowOff>
                  </to>
                </anchor>
              </controlPr>
            </control>
          </mc:Choice>
        </mc:AlternateContent>
        <mc:AlternateContent xmlns:mc="http://schemas.openxmlformats.org/markup-compatibility/2006">
          <mc:Choice Requires="x14">
            <control shapeId="8448" r:id="rId50" name="Button 256">
              <controlPr defaultSize="0" autoFill="0" autoPict="0" macro="[0]!next_5">
                <anchor>
                  <from>
                    <xdr:col>53</xdr:col>
                    <xdr:colOff>38100</xdr:colOff>
                    <xdr:row>146</xdr:row>
                    <xdr:rowOff>82550</xdr:rowOff>
                  </from>
                  <to>
                    <xdr:col>57</xdr:col>
                    <xdr:colOff>584200</xdr:colOff>
                    <xdr:row>153</xdr:row>
                    <xdr:rowOff>69850</xdr:rowOff>
                  </to>
                </anchor>
              </controlPr>
            </control>
          </mc:Choice>
        </mc:AlternateContent>
        <mc:AlternateContent xmlns:mc="http://schemas.openxmlformats.org/markup-compatibility/2006">
          <mc:Choice Requires="x14">
            <control shapeId="8449" r:id="rId51" name="Button 257">
              <controlPr defaultSize="0" autoFill="0" autoPict="0" macro="[0]!next_6">
                <anchor>
                  <from>
                    <xdr:col>53</xdr:col>
                    <xdr:colOff>469900</xdr:colOff>
                    <xdr:row>186</xdr:row>
                    <xdr:rowOff>177800</xdr:rowOff>
                  </from>
                  <to>
                    <xdr:col>58</xdr:col>
                    <xdr:colOff>419100</xdr:colOff>
                    <xdr:row>195</xdr:row>
                    <xdr:rowOff>146050</xdr:rowOff>
                  </to>
                </anchor>
              </controlPr>
            </control>
          </mc:Choice>
        </mc:AlternateContent>
        <mc:AlternateContent xmlns:mc="http://schemas.openxmlformats.org/markup-compatibility/2006">
          <mc:Choice Requires="x14">
            <control shapeId="8451" r:id="rId52" name="Button 259">
              <controlPr defaultSize="0" autoFill="0" autoPict="0" macro="[0]!next_7">
                <anchor>
                  <from>
                    <xdr:col>54</xdr:col>
                    <xdr:colOff>38100</xdr:colOff>
                    <xdr:row>235</xdr:row>
                    <xdr:rowOff>76200</xdr:rowOff>
                  </from>
                  <to>
                    <xdr:col>58</xdr:col>
                    <xdr:colOff>596900</xdr:colOff>
                    <xdr:row>241</xdr:row>
                    <xdr:rowOff>177800</xdr:rowOff>
                  </to>
                </anchor>
              </controlPr>
            </control>
          </mc:Choice>
        </mc:AlternateContent>
        <mc:AlternateContent xmlns:mc="http://schemas.openxmlformats.org/markup-compatibility/2006">
          <mc:Choice Requires="x14">
            <control shapeId="8453" r:id="rId53" name="Button 261">
              <controlPr defaultSize="0" autoFill="0" autoPict="0" macro="[0]!next_9">
                <anchor>
                  <from>
                    <xdr:col>54</xdr:col>
                    <xdr:colOff>266700</xdr:colOff>
                    <xdr:row>275</xdr:row>
                    <xdr:rowOff>177800</xdr:rowOff>
                  </from>
                  <to>
                    <xdr:col>59</xdr:col>
                    <xdr:colOff>228600</xdr:colOff>
                    <xdr:row>282</xdr:row>
                    <xdr:rowOff>177800</xdr:rowOff>
                  </to>
                </anchor>
              </controlPr>
            </control>
          </mc:Choice>
        </mc:AlternateContent>
        <mc:AlternateContent xmlns:mc="http://schemas.openxmlformats.org/markup-compatibility/2006">
          <mc:Choice Requires="x14">
            <control shapeId="8454" r:id="rId54" name="Button 262">
              <controlPr defaultSize="0" autoFill="0" autoPict="0" macro="[0]!next_10">
                <anchor>
                  <from>
                    <xdr:col>54</xdr:col>
                    <xdr:colOff>266700</xdr:colOff>
                    <xdr:row>389</xdr:row>
                    <xdr:rowOff>146050</xdr:rowOff>
                  </from>
                  <to>
                    <xdr:col>59</xdr:col>
                    <xdr:colOff>228600</xdr:colOff>
                    <xdr:row>396</xdr:row>
                    <xdr:rowOff>101600</xdr:rowOff>
                  </to>
                </anchor>
              </controlPr>
            </control>
          </mc:Choice>
        </mc:AlternateContent>
        <mc:AlternateContent xmlns:mc="http://schemas.openxmlformats.org/markup-compatibility/2006">
          <mc:Choice Requires="x14">
            <control shapeId="8455" r:id="rId55" name="Button 263">
              <controlPr defaultSize="0" autoFill="0" autoPict="0" macro="[0]!next_11">
                <anchor>
                  <from>
                    <xdr:col>54</xdr:col>
                    <xdr:colOff>266700</xdr:colOff>
                    <xdr:row>438</xdr:row>
                    <xdr:rowOff>101600</xdr:rowOff>
                  </from>
                  <to>
                    <xdr:col>59</xdr:col>
                    <xdr:colOff>228600</xdr:colOff>
                    <xdr:row>444</xdr:row>
                    <xdr:rowOff>177800</xdr:rowOff>
                  </to>
                </anchor>
              </controlPr>
            </control>
          </mc:Choice>
        </mc:AlternateContent>
        <mc:AlternateContent xmlns:mc="http://schemas.openxmlformats.org/markup-compatibility/2006">
          <mc:Choice Requires="x14">
            <control shapeId="8456" r:id="rId56" name="Button 264">
              <controlPr defaultSize="0" autoFill="0" autoPict="0" macro="[0]!next_12">
                <anchor>
                  <from>
                    <xdr:col>54</xdr:col>
                    <xdr:colOff>139700</xdr:colOff>
                    <xdr:row>490</xdr:row>
                    <xdr:rowOff>177800</xdr:rowOff>
                  </from>
                  <to>
                    <xdr:col>59</xdr:col>
                    <xdr:colOff>101600</xdr:colOff>
                    <xdr:row>497</xdr:row>
                    <xdr:rowOff>76200</xdr:rowOff>
                  </to>
                </anchor>
              </controlPr>
            </control>
          </mc:Choice>
        </mc:AlternateContent>
        <mc:AlternateContent xmlns:mc="http://schemas.openxmlformats.org/markup-compatibility/2006">
          <mc:Choice Requires="x14">
            <control shapeId="8458" r:id="rId57" name="Button 266">
              <controlPr defaultSize="0" autoFill="0" autoPict="0" macro="[0]!next_14">
                <anchor>
                  <from>
                    <xdr:col>54</xdr:col>
                    <xdr:colOff>266700</xdr:colOff>
                    <xdr:row>527</xdr:row>
                    <xdr:rowOff>177800</xdr:rowOff>
                  </from>
                  <to>
                    <xdr:col>59</xdr:col>
                    <xdr:colOff>228600</xdr:colOff>
                    <xdr:row>534</xdr:row>
                    <xdr:rowOff>146050</xdr:rowOff>
                  </to>
                </anchor>
              </controlPr>
            </control>
          </mc:Choice>
        </mc:AlternateContent>
        <mc:AlternateContent xmlns:mc="http://schemas.openxmlformats.org/markup-compatibility/2006">
          <mc:Choice Requires="x14">
            <control shapeId="8459" r:id="rId58" name="Button 267">
              <controlPr defaultSize="0" autoFill="0" autoPict="0" macro="[0]!next_15">
                <anchor>
                  <from>
                    <xdr:col>54</xdr:col>
                    <xdr:colOff>266700</xdr:colOff>
                    <xdr:row>546</xdr:row>
                    <xdr:rowOff>177800</xdr:rowOff>
                  </from>
                  <to>
                    <xdr:col>59</xdr:col>
                    <xdr:colOff>228600</xdr:colOff>
                    <xdr:row>553</xdr:row>
                    <xdr:rowOff>146050</xdr:rowOff>
                  </to>
                </anchor>
              </controlPr>
            </control>
          </mc:Choice>
        </mc:AlternateContent>
        <mc:AlternateContent xmlns:mc="http://schemas.openxmlformats.org/markup-compatibility/2006">
          <mc:Choice Requires="x14">
            <control shapeId="8460" r:id="rId59" name="Button 268">
              <controlPr defaultSize="0" autoFill="0" autoPict="0" macro="[0]!next_16">
                <anchor>
                  <from>
                    <xdr:col>54</xdr:col>
                    <xdr:colOff>330200</xdr:colOff>
                    <xdr:row>583</xdr:row>
                    <xdr:rowOff>76200</xdr:rowOff>
                  </from>
                  <to>
                    <xdr:col>59</xdr:col>
                    <xdr:colOff>273050</xdr:colOff>
                    <xdr:row>590</xdr:row>
                    <xdr:rowOff>76200</xdr:rowOff>
                  </to>
                </anchor>
              </controlPr>
            </control>
          </mc:Choice>
        </mc:AlternateContent>
        <mc:AlternateContent xmlns:mc="http://schemas.openxmlformats.org/markup-compatibility/2006">
          <mc:Choice Requires="x14">
            <control shapeId="8461" r:id="rId60" name="Button 269">
              <controlPr defaultSize="0" autoFill="0" autoPict="0" macro="[0]!next_17">
                <anchor>
                  <from>
                    <xdr:col>54</xdr:col>
                    <xdr:colOff>330200</xdr:colOff>
                    <xdr:row>603</xdr:row>
                    <xdr:rowOff>177800</xdr:rowOff>
                  </from>
                  <to>
                    <xdr:col>59</xdr:col>
                    <xdr:colOff>273050</xdr:colOff>
                    <xdr:row>610</xdr:row>
                    <xdr:rowOff>146050</xdr:rowOff>
                  </to>
                </anchor>
              </controlPr>
            </control>
          </mc:Choice>
        </mc:AlternateContent>
        <mc:AlternateContent xmlns:mc="http://schemas.openxmlformats.org/markup-compatibility/2006">
          <mc:Choice Requires="x14">
            <control shapeId="8462" r:id="rId61" name="Button 270">
              <controlPr defaultSize="0" autoFill="0" autoPict="0" macro="[0]!next_18">
                <anchor>
                  <from>
                    <xdr:col>54</xdr:col>
                    <xdr:colOff>431800</xdr:colOff>
                    <xdr:row>628</xdr:row>
                    <xdr:rowOff>76200</xdr:rowOff>
                  </from>
                  <to>
                    <xdr:col>59</xdr:col>
                    <xdr:colOff>419100</xdr:colOff>
                    <xdr:row>634</xdr:row>
                    <xdr:rowOff>146050</xdr:rowOff>
                  </to>
                </anchor>
              </controlPr>
            </control>
          </mc:Choice>
        </mc:AlternateContent>
        <mc:AlternateContent xmlns:mc="http://schemas.openxmlformats.org/markup-compatibility/2006">
          <mc:Choice Requires="x14">
            <control shapeId="8463" r:id="rId62" name="Button 271">
              <controlPr defaultSize="0" autoFill="0" autoPict="0" macro="[0]!next_19">
                <anchor>
                  <from>
                    <xdr:col>54</xdr:col>
                    <xdr:colOff>571500</xdr:colOff>
                    <xdr:row>666</xdr:row>
                    <xdr:rowOff>177800</xdr:rowOff>
                  </from>
                  <to>
                    <xdr:col>59</xdr:col>
                    <xdr:colOff>533400</xdr:colOff>
                    <xdr:row>673</xdr:row>
                    <xdr:rowOff>146050</xdr:rowOff>
                  </to>
                </anchor>
              </controlPr>
            </control>
          </mc:Choice>
        </mc:AlternateContent>
        <mc:AlternateContent xmlns:mc="http://schemas.openxmlformats.org/markup-compatibility/2006">
          <mc:Choice Requires="x14">
            <control shapeId="8464" r:id="rId63" name="Button 272">
              <controlPr defaultSize="0" autoFill="0" autoPict="0" macro="[0]!next_20">
                <anchor>
                  <from>
                    <xdr:col>54</xdr:col>
                    <xdr:colOff>431800</xdr:colOff>
                    <xdr:row>706</xdr:row>
                    <xdr:rowOff>76200</xdr:rowOff>
                  </from>
                  <to>
                    <xdr:col>59</xdr:col>
                    <xdr:colOff>419100</xdr:colOff>
                    <xdr:row>712</xdr:row>
                    <xdr:rowOff>177800</xdr:rowOff>
                  </to>
                </anchor>
              </controlPr>
            </control>
          </mc:Choice>
        </mc:AlternateContent>
        <mc:AlternateContent xmlns:mc="http://schemas.openxmlformats.org/markup-compatibility/2006">
          <mc:Choice Requires="x14">
            <control shapeId="8465" r:id="rId64" name="Button 273">
              <controlPr defaultSize="0" autoFill="0" autoPict="0" macro="[0]!next_21">
                <anchor>
                  <from>
                    <xdr:col>54</xdr:col>
                    <xdr:colOff>431800</xdr:colOff>
                    <xdr:row>724</xdr:row>
                    <xdr:rowOff>76200</xdr:rowOff>
                  </from>
                  <to>
                    <xdr:col>59</xdr:col>
                    <xdr:colOff>419100</xdr:colOff>
                    <xdr:row>730</xdr:row>
                    <xdr:rowOff>177800</xdr:rowOff>
                  </to>
                </anchor>
              </controlPr>
            </control>
          </mc:Choice>
        </mc:AlternateContent>
        <mc:AlternateContent xmlns:mc="http://schemas.openxmlformats.org/markup-compatibility/2006">
          <mc:Choice Requires="x14">
            <control shapeId="8467" r:id="rId65" name="Button 275">
              <controlPr defaultSize="0" autoFill="0" autoPict="0" macro="[0]!next_23">
                <anchor>
                  <from>
                    <xdr:col>55</xdr:col>
                    <xdr:colOff>0</xdr:colOff>
                    <xdr:row>794</xdr:row>
                    <xdr:rowOff>101600</xdr:rowOff>
                  </from>
                  <to>
                    <xdr:col>59</xdr:col>
                    <xdr:colOff>596900</xdr:colOff>
                    <xdr:row>801</xdr:row>
                    <xdr:rowOff>25400</xdr:rowOff>
                  </to>
                </anchor>
              </controlPr>
            </control>
          </mc:Choice>
        </mc:AlternateContent>
        <mc:AlternateContent xmlns:mc="http://schemas.openxmlformats.org/markup-compatibility/2006">
          <mc:Choice Requires="x14">
            <control shapeId="8468" r:id="rId66" name="Button 276">
              <controlPr defaultSize="0" autoFill="0" autoPict="0" macro="[0]!next_24">
                <anchor>
                  <from>
                    <xdr:col>54</xdr:col>
                    <xdr:colOff>571500</xdr:colOff>
                    <xdr:row>829</xdr:row>
                    <xdr:rowOff>146050</xdr:rowOff>
                  </from>
                  <to>
                    <xdr:col>59</xdr:col>
                    <xdr:colOff>533400</xdr:colOff>
                    <xdr:row>836</xdr:row>
                    <xdr:rowOff>101600</xdr:rowOff>
                  </to>
                </anchor>
              </controlPr>
            </control>
          </mc:Choice>
        </mc:AlternateContent>
        <mc:AlternateContent xmlns:mc="http://schemas.openxmlformats.org/markup-compatibility/2006">
          <mc:Choice Requires="x14">
            <control shapeId="8469" r:id="rId67" name="Button 277">
              <controlPr defaultSize="0" autoFill="0" autoPict="0" macro="[0]!next_25">
                <anchor>
                  <from>
                    <xdr:col>54</xdr:col>
                    <xdr:colOff>571500</xdr:colOff>
                    <xdr:row>859</xdr:row>
                    <xdr:rowOff>146050</xdr:rowOff>
                  </from>
                  <to>
                    <xdr:col>59</xdr:col>
                    <xdr:colOff>533400</xdr:colOff>
                    <xdr:row>866</xdr:row>
                    <xdr:rowOff>25400</xdr:rowOff>
                  </to>
                </anchor>
              </controlPr>
            </control>
          </mc:Choice>
        </mc:AlternateContent>
        <mc:AlternateContent xmlns:mc="http://schemas.openxmlformats.org/markup-compatibility/2006">
          <mc:Choice Requires="x14">
            <control shapeId="8470" r:id="rId68" name="Button 278">
              <controlPr defaultSize="0" autoFill="0" autoPict="0" macro="[0]!next_26">
                <anchor>
                  <from>
                    <xdr:col>55</xdr:col>
                    <xdr:colOff>0</xdr:colOff>
                    <xdr:row>892</xdr:row>
                    <xdr:rowOff>25400</xdr:rowOff>
                  </from>
                  <to>
                    <xdr:col>59</xdr:col>
                    <xdr:colOff>596900</xdr:colOff>
                    <xdr:row>898</xdr:row>
                    <xdr:rowOff>177800</xdr:rowOff>
                  </to>
                </anchor>
              </controlPr>
            </control>
          </mc:Choice>
        </mc:AlternateContent>
        <mc:AlternateContent xmlns:mc="http://schemas.openxmlformats.org/markup-compatibility/2006">
          <mc:Choice Requires="x14">
            <control shapeId="8471" r:id="rId69" name="Button 279">
              <controlPr defaultSize="0" autoFill="0" autoPict="0" macro="[0]!next_27">
                <anchor>
                  <from>
                    <xdr:col>55</xdr:col>
                    <xdr:colOff>311150</xdr:colOff>
                    <xdr:row>919</xdr:row>
                    <xdr:rowOff>76200</xdr:rowOff>
                  </from>
                  <to>
                    <xdr:col>60</xdr:col>
                    <xdr:colOff>273050</xdr:colOff>
                    <xdr:row>925</xdr:row>
                    <xdr:rowOff>146050</xdr:rowOff>
                  </to>
                </anchor>
              </controlPr>
            </control>
          </mc:Choice>
        </mc:AlternateContent>
        <mc:AlternateContent xmlns:mc="http://schemas.openxmlformats.org/markup-compatibility/2006">
          <mc:Choice Requires="x14">
            <control shapeId="8472" r:id="rId70" name="Button 280">
              <controlPr defaultSize="0" autoFill="0" autoPict="0" macro="[0]!next_28">
                <anchor>
                  <from>
                    <xdr:col>55</xdr:col>
                    <xdr:colOff>444500</xdr:colOff>
                    <xdr:row>948</xdr:row>
                    <xdr:rowOff>146050</xdr:rowOff>
                  </from>
                  <to>
                    <xdr:col>60</xdr:col>
                    <xdr:colOff>387350</xdr:colOff>
                    <xdr:row>955</xdr:row>
                    <xdr:rowOff>76200</xdr:rowOff>
                  </to>
                </anchor>
              </controlPr>
            </control>
          </mc:Choice>
        </mc:AlternateContent>
        <mc:AlternateContent xmlns:mc="http://schemas.openxmlformats.org/markup-compatibility/2006">
          <mc:Choice Requires="x14">
            <control shapeId="8474" r:id="rId71" name="Button 282">
              <controlPr defaultSize="0" print="0" autoFill="0" autoPict="0" macro="[0]!Button231_Click">
                <anchor>
                  <from>
                    <xdr:col>3</xdr:col>
                    <xdr:colOff>158750</xdr:colOff>
                    <xdr:row>155</xdr:row>
                    <xdr:rowOff>139700</xdr:rowOff>
                  </from>
                  <to>
                    <xdr:col>4</xdr:col>
                    <xdr:colOff>1377950</xdr:colOff>
                    <xdr:row>157</xdr:row>
                    <xdr:rowOff>342900</xdr:rowOff>
                  </to>
                </anchor>
              </controlPr>
            </control>
          </mc:Choice>
        </mc:AlternateContent>
        <mc:AlternateContent xmlns:mc="http://schemas.openxmlformats.org/markup-compatibility/2006">
          <mc:Choice Requires="x14">
            <control shapeId="8541" r:id="rId72" name="Button 349">
              <controlPr defaultSize="0" print="0" autoFill="0" autoPict="0" macro="[0]!next_8">
                <anchor moveWithCells="1">
                  <from>
                    <xdr:col>2</xdr:col>
                    <xdr:colOff>2159000</xdr:colOff>
                    <xdr:row>49</xdr:row>
                    <xdr:rowOff>101600</xdr:rowOff>
                  </from>
                  <to>
                    <xdr:col>2</xdr:col>
                    <xdr:colOff>2698750</xdr:colOff>
                    <xdr:row>50</xdr:row>
                    <xdr:rowOff>114300</xdr:rowOff>
                  </to>
                </anchor>
              </controlPr>
            </control>
          </mc:Choice>
        </mc:AlternateContent>
        <mc:AlternateContent xmlns:mc="http://schemas.openxmlformats.org/markup-compatibility/2006">
          <mc:Choice Requires="x14">
            <control shapeId="8542" r:id="rId73" name="Button 350">
              <controlPr defaultSize="0" print="0" autoFill="0" autoPict="0" macro="[0]!Button416_Click">
                <anchor moveWithCells="1" sizeWithCells="1">
                  <from>
                    <xdr:col>0</xdr:col>
                    <xdr:colOff>1549400</xdr:colOff>
                    <xdr:row>56</xdr:row>
                    <xdr:rowOff>63500</xdr:rowOff>
                  </from>
                  <to>
                    <xdr:col>1</xdr:col>
                    <xdr:colOff>825500</xdr:colOff>
                    <xdr:row>57</xdr:row>
                    <xdr:rowOff>82550</xdr:rowOff>
                  </to>
                </anchor>
              </controlPr>
            </control>
          </mc:Choice>
        </mc:AlternateContent>
        <mc:AlternateContent xmlns:mc="http://schemas.openxmlformats.org/markup-compatibility/2006">
          <mc:Choice Requires="x14">
            <control shapeId="8543" r:id="rId74" name="Button 351">
              <controlPr defaultSize="0" print="0" autoFill="0" autoPict="0" macro="[0]!next_9">
                <anchor moveWithCells="1">
                  <from>
                    <xdr:col>2</xdr:col>
                    <xdr:colOff>2165350</xdr:colOff>
                    <xdr:row>57</xdr:row>
                    <xdr:rowOff>0</xdr:rowOff>
                  </from>
                  <to>
                    <xdr:col>2</xdr:col>
                    <xdr:colOff>2711450</xdr:colOff>
                    <xdr:row>58</xdr:row>
                    <xdr:rowOff>25400</xdr:rowOff>
                  </to>
                </anchor>
              </controlPr>
            </control>
          </mc:Choice>
        </mc:AlternateContent>
        <mc:AlternateContent xmlns:mc="http://schemas.openxmlformats.org/markup-compatibility/2006">
          <mc:Choice Requires="x14">
            <control shapeId="8545" r:id="rId75" name="Button 353">
              <controlPr defaultSize="0" print="0" autoFill="0" autoPict="0" macro="[0]!Button421_Click">
                <anchor moveWithCells="1" sizeWithCells="1">
                  <from>
                    <xdr:col>1</xdr:col>
                    <xdr:colOff>939800</xdr:colOff>
                    <xdr:row>56</xdr:row>
                    <xdr:rowOff>63500</xdr:rowOff>
                  </from>
                  <to>
                    <xdr:col>2</xdr:col>
                    <xdr:colOff>1130300</xdr:colOff>
                    <xdr:row>57</xdr:row>
                    <xdr:rowOff>82550</xdr:rowOff>
                  </to>
                </anchor>
              </controlPr>
            </control>
          </mc:Choice>
        </mc:AlternateContent>
        <mc:AlternateContent xmlns:mc="http://schemas.openxmlformats.org/markup-compatibility/2006">
          <mc:Choice Requires="x14">
            <control shapeId="8557" r:id="rId76" name="Button 365">
              <controlPr defaultSize="0" print="0" autoFill="0" autoPict="0" macro="[0]!Button365_Click">
                <anchor moveWithCells="1" sizeWithCells="1">
                  <from>
                    <xdr:col>2</xdr:col>
                    <xdr:colOff>215900</xdr:colOff>
                    <xdr:row>38</xdr:row>
                    <xdr:rowOff>63500</xdr:rowOff>
                  </from>
                  <to>
                    <xdr:col>2</xdr:col>
                    <xdr:colOff>1682750</xdr:colOff>
                    <xdr:row>40</xdr:row>
                    <xdr:rowOff>139700</xdr:rowOff>
                  </to>
                </anchor>
              </controlPr>
            </control>
          </mc:Choice>
        </mc:AlternateContent>
        <mc:AlternateContent xmlns:mc="http://schemas.openxmlformats.org/markup-compatibility/2006">
          <mc:Choice Requires="x14">
            <control shapeId="8688" r:id="rId77" name="Drop Down 496">
              <controlPr locked="0" defaultSize="0" autoLine="0" autoPict="0" macro="[0]!DropDown496_Change">
                <anchor moveWithCells="1">
                  <from>
                    <xdr:col>1</xdr:col>
                    <xdr:colOff>6350</xdr:colOff>
                    <xdr:row>152</xdr:row>
                    <xdr:rowOff>184150</xdr:rowOff>
                  </from>
                  <to>
                    <xdr:col>1</xdr:col>
                    <xdr:colOff>2057400</xdr:colOff>
                    <xdr:row>154</xdr:row>
                    <xdr:rowOff>0</xdr:rowOff>
                  </to>
                </anchor>
              </controlPr>
            </control>
          </mc:Choice>
        </mc:AlternateContent>
        <mc:AlternateContent xmlns:mc="http://schemas.openxmlformats.org/markup-compatibility/2006">
          <mc:Choice Requires="x14">
            <control shapeId="8992" r:id="rId78" name="Button 800">
              <controlPr defaultSize="0" autoFill="0" autoPict="0" macro="[0]!next_2">
                <anchor moveWithCells="1">
                  <from>
                    <xdr:col>2</xdr:col>
                    <xdr:colOff>2159000</xdr:colOff>
                    <xdr:row>7</xdr:row>
                    <xdr:rowOff>25400</xdr:rowOff>
                  </from>
                  <to>
                    <xdr:col>2</xdr:col>
                    <xdr:colOff>2768600</xdr:colOff>
                    <xdr:row>8</xdr:row>
                    <xdr:rowOff>38100</xdr:rowOff>
                  </to>
                </anchor>
              </controlPr>
            </control>
          </mc:Choice>
        </mc:AlternateContent>
        <mc:AlternateContent xmlns:mc="http://schemas.openxmlformats.org/markup-compatibility/2006">
          <mc:Choice Requires="x14">
            <control shapeId="8993" r:id="rId79" name="Button 801">
              <controlPr defaultSize="0" autoFill="0" autoPict="0" macro="[0]!next_1">
                <anchor moveWithCells="1">
                  <from>
                    <xdr:col>2</xdr:col>
                    <xdr:colOff>2159000</xdr:colOff>
                    <xdr:row>3</xdr:row>
                    <xdr:rowOff>25400</xdr:rowOff>
                  </from>
                  <to>
                    <xdr:col>2</xdr:col>
                    <xdr:colOff>2768600</xdr:colOff>
                    <xdr:row>4</xdr:row>
                    <xdr:rowOff>0</xdr:rowOff>
                  </to>
                </anchor>
              </controlPr>
            </control>
          </mc:Choice>
        </mc:AlternateContent>
        <mc:AlternateContent xmlns:mc="http://schemas.openxmlformats.org/markup-compatibility/2006">
          <mc:Choice Requires="x14">
            <control shapeId="8994" r:id="rId80" name="Button 802">
              <controlPr defaultSize="0" autoFill="0" autoPict="0" macro="[0]!next_4">
                <anchor moveWithCells="1">
                  <from>
                    <xdr:col>2</xdr:col>
                    <xdr:colOff>2165350</xdr:colOff>
                    <xdr:row>15</xdr:row>
                    <xdr:rowOff>158750</xdr:rowOff>
                  </from>
                  <to>
                    <xdr:col>2</xdr:col>
                    <xdr:colOff>2730500</xdr:colOff>
                    <xdr:row>16</xdr:row>
                    <xdr:rowOff>177800</xdr:rowOff>
                  </to>
                </anchor>
              </controlPr>
            </control>
          </mc:Choice>
        </mc:AlternateContent>
        <mc:AlternateContent xmlns:mc="http://schemas.openxmlformats.org/markup-compatibility/2006">
          <mc:Choice Requires="x14">
            <control shapeId="8995" r:id="rId81" name="Button 803">
              <controlPr defaultSize="0" autoFill="0" autoPict="0" macro="[0]!next_5">
                <anchor moveWithCells="1">
                  <from>
                    <xdr:col>2</xdr:col>
                    <xdr:colOff>2165350</xdr:colOff>
                    <xdr:row>26</xdr:row>
                    <xdr:rowOff>139700</xdr:rowOff>
                  </from>
                  <to>
                    <xdr:col>2</xdr:col>
                    <xdr:colOff>2711450</xdr:colOff>
                    <xdr:row>27</xdr:row>
                    <xdr:rowOff>152400</xdr:rowOff>
                  </to>
                </anchor>
              </controlPr>
            </control>
          </mc:Choice>
        </mc:AlternateContent>
        <mc:AlternateContent xmlns:mc="http://schemas.openxmlformats.org/markup-compatibility/2006">
          <mc:Choice Requires="x14">
            <control shapeId="8996" r:id="rId82" name="Button 804">
              <controlPr defaultSize="0" autoFill="0" autoPict="0" macro="[0]!next_6">
                <anchor moveWithCells="1">
                  <from>
                    <xdr:col>2</xdr:col>
                    <xdr:colOff>2165350</xdr:colOff>
                    <xdr:row>39</xdr:row>
                    <xdr:rowOff>6350</xdr:rowOff>
                  </from>
                  <to>
                    <xdr:col>2</xdr:col>
                    <xdr:colOff>2711450</xdr:colOff>
                    <xdr:row>39</xdr:row>
                    <xdr:rowOff>234950</xdr:rowOff>
                  </to>
                </anchor>
              </controlPr>
            </control>
          </mc:Choice>
        </mc:AlternateContent>
        <mc:AlternateContent xmlns:mc="http://schemas.openxmlformats.org/markup-compatibility/2006">
          <mc:Choice Requires="x14">
            <control shapeId="9028" r:id="rId83" name="Button 836">
              <controlPr defaultSize="0" autoFill="0" autoPict="0" macro="[0]!next_23">
                <anchor moveWithCells="1">
                  <from>
                    <xdr:col>2</xdr:col>
                    <xdr:colOff>2159000</xdr:colOff>
                    <xdr:row>190</xdr:row>
                    <xdr:rowOff>177800</xdr:rowOff>
                  </from>
                  <to>
                    <xdr:col>2</xdr:col>
                    <xdr:colOff>2705100</xdr:colOff>
                    <xdr:row>192</xdr:row>
                    <xdr:rowOff>25400</xdr:rowOff>
                  </to>
                </anchor>
              </controlPr>
            </control>
          </mc:Choice>
        </mc:AlternateContent>
        <mc:AlternateContent xmlns:mc="http://schemas.openxmlformats.org/markup-compatibility/2006">
          <mc:Choice Requires="x14">
            <control shapeId="43208" r:id="rId84" name="Button 1224">
              <controlPr defaultSize="0" autoFill="0" autoPict="0" macro="[0]!next_7">
                <anchor moveWithCells="1">
                  <from>
                    <xdr:col>2</xdr:col>
                    <xdr:colOff>2165350</xdr:colOff>
                    <xdr:row>44</xdr:row>
                    <xdr:rowOff>0</xdr:rowOff>
                  </from>
                  <to>
                    <xdr:col>2</xdr:col>
                    <xdr:colOff>2711450</xdr:colOff>
                    <xdr:row>45</xdr:row>
                    <xdr:rowOff>25400</xdr:rowOff>
                  </to>
                </anchor>
              </controlPr>
            </control>
          </mc:Choice>
        </mc:AlternateContent>
        <mc:AlternateContent xmlns:mc="http://schemas.openxmlformats.org/markup-compatibility/2006">
          <mc:Choice Requires="x14">
            <control shapeId="43210" r:id="rId85" name="Button 1226">
              <controlPr defaultSize="0" autoFill="0" autoPict="0" macro="[0]!next_10">
                <anchor moveWithCells="1">
                  <from>
                    <xdr:col>2</xdr:col>
                    <xdr:colOff>2159000</xdr:colOff>
                    <xdr:row>62</xdr:row>
                    <xdr:rowOff>25400</xdr:rowOff>
                  </from>
                  <to>
                    <xdr:col>2</xdr:col>
                    <xdr:colOff>2698750</xdr:colOff>
                    <xdr:row>63</xdr:row>
                    <xdr:rowOff>38100</xdr:rowOff>
                  </to>
                </anchor>
              </controlPr>
            </control>
          </mc:Choice>
        </mc:AlternateContent>
        <mc:AlternateContent xmlns:mc="http://schemas.openxmlformats.org/markup-compatibility/2006">
          <mc:Choice Requires="x14">
            <control shapeId="43213" r:id="rId86" name="Button 1229">
              <controlPr defaultSize="0" autoFill="0" autoPict="0" macro="[0]!next_12">
                <anchor moveWithCells="1">
                  <from>
                    <xdr:col>2</xdr:col>
                    <xdr:colOff>2159000</xdr:colOff>
                    <xdr:row>79</xdr:row>
                    <xdr:rowOff>44450</xdr:rowOff>
                  </from>
                  <to>
                    <xdr:col>2</xdr:col>
                    <xdr:colOff>2705100</xdr:colOff>
                    <xdr:row>80</xdr:row>
                    <xdr:rowOff>6350</xdr:rowOff>
                  </to>
                </anchor>
              </controlPr>
            </control>
          </mc:Choice>
        </mc:AlternateContent>
        <mc:AlternateContent xmlns:mc="http://schemas.openxmlformats.org/markup-compatibility/2006">
          <mc:Choice Requires="x14">
            <control shapeId="43214" r:id="rId87" name="Button 1230">
              <controlPr defaultSize="0" autoFill="0" autoPict="0" macro="[0]!next_14">
                <anchor moveWithCells="1">
                  <from>
                    <xdr:col>2</xdr:col>
                    <xdr:colOff>2159000</xdr:colOff>
                    <xdr:row>83</xdr:row>
                    <xdr:rowOff>25400</xdr:rowOff>
                  </from>
                  <to>
                    <xdr:col>2</xdr:col>
                    <xdr:colOff>2698750</xdr:colOff>
                    <xdr:row>84</xdr:row>
                    <xdr:rowOff>38100</xdr:rowOff>
                  </to>
                </anchor>
              </controlPr>
            </control>
          </mc:Choice>
        </mc:AlternateContent>
        <mc:AlternateContent xmlns:mc="http://schemas.openxmlformats.org/markup-compatibility/2006">
          <mc:Choice Requires="x14">
            <control shapeId="43215" r:id="rId88" name="Button 1231">
              <controlPr defaultSize="0" autoFill="0" autoPict="0" macro="[0]!ButtonQ11_Click">
                <anchor moveWithCells="1">
                  <from>
                    <xdr:col>2</xdr:col>
                    <xdr:colOff>2159000</xdr:colOff>
                    <xdr:row>72</xdr:row>
                    <xdr:rowOff>107950</xdr:rowOff>
                  </from>
                  <to>
                    <xdr:col>2</xdr:col>
                    <xdr:colOff>2705100</xdr:colOff>
                    <xdr:row>73</xdr:row>
                    <xdr:rowOff>120650</xdr:rowOff>
                  </to>
                </anchor>
              </controlPr>
            </control>
          </mc:Choice>
        </mc:AlternateContent>
        <mc:AlternateContent xmlns:mc="http://schemas.openxmlformats.org/markup-compatibility/2006">
          <mc:Choice Requires="x14">
            <control shapeId="43219" r:id="rId89" name="Button 1235">
              <controlPr defaultSize="0" autoFill="0" autoPict="0" macro="[0]!next_17">
                <anchor moveWithCells="1">
                  <from>
                    <xdr:col>2</xdr:col>
                    <xdr:colOff>2159000</xdr:colOff>
                    <xdr:row>93</xdr:row>
                    <xdr:rowOff>101600</xdr:rowOff>
                  </from>
                  <to>
                    <xdr:col>2</xdr:col>
                    <xdr:colOff>2705100</xdr:colOff>
                    <xdr:row>94</xdr:row>
                    <xdr:rowOff>114300</xdr:rowOff>
                  </to>
                </anchor>
              </controlPr>
            </control>
          </mc:Choice>
        </mc:AlternateContent>
        <mc:AlternateContent xmlns:mc="http://schemas.openxmlformats.org/markup-compatibility/2006">
          <mc:Choice Requires="x14">
            <control shapeId="43221" r:id="rId90" name="Button 1237">
              <controlPr defaultSize="0" autoFill="0" autoPict="0" macro="[0]!next_18">
                <anchor moveWithCells="1">
                  <from>
                    <xdr:col>2</xdr:col>
                    <xdr:colOff>2165350</xdr:colOff>
                    <xdr:row>97</xdr:row>
                    <xdr:rowOff>25400</xdr:rowOff>
                  </from>
                  <to>
                    <xdr:col>2</xdr:col>
                    <xdr:colOff>2711450</xdr:colOff>
                    <xdr:row>97</xdr:row>
                    <xdr:rowOff>254000</xdr:rowOff>
                  </to>
                </anchor>
              </controlPr>
            </control>
          </mc:Choice>
        </mc:AlternateContent>
        <mc:AlternateContent xmlns:mc="http://schemas.openxmlformats.org/markup-compatibility/2006">
          <mc:Choice Requires="x14">
            <control shapeId="43223" r:id="rId91" name="Button 1239">
              <controlPr defaultSize="0" autoFill="0" autoPict="0" macro="[0]!next_19">
                <anchor moveWithCells="1">
                  <from>
                    <xdr:col>2</xdr:col>
                    <xdr:colOff>2159000</xdr:colOff>
                    <xdr:row>102</xdr:row>
                    <xdr:rowOff>190500</xdr:rowOff>
                  </from>
                  <to>
                    <xdr:col>2</xdr:col>
                    <xdr:colOff>2705100</xdr:colOff>
                    <xdr:row>104</xdr:row>
                    <xdr:rowOff>0</xdr:rowOff>
                  </to>
                </anchor>
              </controlPr>
            </control>
          </mc:Choice>
        </mc:AlternateContent>
        <mc:AlternateContent xmlns:mc="http://schemas.openxmlformats.org/markup-compatibility/2006">
          <mc:Choice Requires="x14">
            <control shapeId="43224" r:id="rId92" name="Button 1240">
              <controlPr defaultSize="0" autoFill="0" autoPict="0" macro="[0]!next_20">
                <anchor moveWithCells="1">
                  <from>
                    <xdr:col>2</xdr:col>
                    <xdr:colOff>2165350</xdr:colOff>
                    <xdr:row>110</xdr:row>
                    <xdr:rowOff>0</xdr:rowOff>
                  </from>
                  <to>
                    <xdr:col>2</xdr:col>
                    <xdr:colOff>2711450</xdr:colOff>
                    <xdr:row>110</xdr:row>
                    <xdr:rowOff>228600</xdr:rowOff>
                  </to>
                </anchor>
              </controlPr>
            </control>
          </mc:Choice>
        </mc:AlternateContent>
        <mc:AlternateContent xmlns:mc="http://schemas.openxmlformats.org/markup-compatibility/2006">
          <mc:Choice Requires="x14">
            <control shapeId="43231" r:id="rId93" name="Button 1247">
              <controlPr defaultSize="0" autoFill="0" autoPict="0" macro="[0]!next_28">
                <anchor moveWithCells="1">
                  <from>
                    <xdr:col>2</xdr:col>
                    <xdr:colOff>2165350</xdr:colOff>
                    <xdr:row>147</xdr:row>
                    <xdr:rowOff>190500</xdr:rowOff>
                  </from>
                  <to>
                    <xdr:col>2</xdr:col>
                    <xdr:colOff>2711450</xdr:colOff>
                    <xdr:row>148</xdr:row>
                    <xdr:rowOff>215900</xdr:rowOff>
                  </to>
                </anchor>
              </controlPr>
            </control>
          </mc:Choice>
        </mc:AlternateContent>
        <mc:AlternateContent xmlns:mc="http://schemas.openxmlformats.org/markup-compatibility/2006">
          <mc:Choice Requires="x14">
            <control shapeId="43232" r:id="rId94" name="Button 1248">
              <controlPr defaultSize="0" autoFill="0" autoPict="0" macro="[0]!GenDo_Click">
                <anchor moveWithCells="1">
                  <from>
                    <xdr:col>2</xdr:col>
                    <xdr:colOff>120650</xdr:colOff>
                    <xdr:row>142</xdr:row>
                    <xdr:rowOff>114300</xdr:rowOff>
                  </from>
                  <to>
                    <xdr:col>2</xdr:col>
                    <xdr:colOff>1746250</xdr:colOff>
                    <xdr:row>144</xdr:row>
                    <xdr:rowOff>177800</xdr:rowOff>
                  </to>
                </anchor>
              </controlPr>
            </control>
          </mc:Choice>
        </mc:AlternateContent>
        <mc:AlternateContent xmlns:mc="http://schemas.openxmlformats.org/markup-compatibility/2006">
          <mc:Choice Requires="x14">
            <control shapeId="43236" r:id="rId95" name="Button 1252">
              <controlPr defaultSize="0" autoFill="0" autoPict="0" macro="[0]!next_15">
                <anchor moveWithCells="1">
                  <from>
                    <xdr:col>2</xdr:col>
                    <xdr:colOff>2159000</xdr:colOff>
                    <xdr:row>88</xdr:row>
                    <xdr:rowOff>0</xdr:rowOff>
                  </from>
                  <to>
                    <xdr:col>2</xdr:col>
                    <xdr:colOff>2705100</xdr:colOff>
                    <xdr:row>89</xdr:row>
                    <xdr:rowOff>25400</xdr:rowOff>
                  </to>
                </anchor>
              </controlPr>
            </control>
          </mc:Choice>
        </mc:AlternateContent>
        <mc:AlternateContent xmlns:mc="http://schemas.openxmlformats.org/markup-compatibility/2006">
          <mc:Choice Requires="x14">
            <control shapeId="43237" r:id="rId96" name="Button 1253">
              <controlPr defaultSize="0" autoFill="0" autoPict="0" macro="[0]!next_21">
                <anchor moveWithCells="1">
                  <from>
                    <xdr:col>2</xdr:col>
                    <xdr:colOff>2139950</xdr:colOff>
                    <xdr:row>118</xdr:row>
                    <xdr:rowOff>190500</xdr:rowOff>
                  </from>
                  <to>
                    <xdr:col>2</xdr:col>
                    <xdr:colOff>2692400</xdr:colOff>
                    <xdr:row>118</xdr:row>
                    <xdr:rowOff>419100</xdr:rowOff>
                  </to>
                </anchor>
              </controlPr>
            </control>
          </mc:Choice>
        </mc:AlternateContent>
        <mc:AlternateContent xmlns:mc="http://schemas.openxmlformats.org/markup-compatibility/2006">
          <mc:Choice Requires="x14">
            <control shapeId="43242" r:id="rId97" name="Button 1258">
              <controlPr defaultSize="0" autoFill="0" autoPict="0" macro="[0]!next_24">
                <anchor moveWithCells="1">
                  <from>
                    <xdr:col>2</xdr:col>
                    <xdr:colOff>2159000</xdr:colOff>
                    <xdr:row>123</xdr:row>
                    <xdr:rowOff>25400</xdr:rowOff>
                  </from>
                  <to>
                    <xdr:col>2</xdr:col>
                    <xdr:colOff>2698750</xdr:colOff>
                    <xdr:row>124</xdr:row>
                    <xdr:rowOff>38100</xdr:rowOff>
                  </to>
                </anchor>
              </controlPr>
            </control>
          </mc:Choice>
        </mc:AlternateContent>
        <mc:AlternateContent xmlns:mc="http://schemas.openxmlformats.org/markup-compatibility/2006">
          <mc:Choice Requires="x14">
            <control shapeId="43243" r:id="rId98" name="Button 1259">
              <controlPr defaultSize="0" autoFill="0" autoPict="0" macro="[0]!next_25">
                <anchor moveWithCells="1">
                  <from>
                    <xdr:col>2</xdr:col>
                    <xdr:colOff>2159000</xdr:colOff>
                    <xdr:row>127</xdr:row>
                    <xdr:rowOff>190500</xdr:rowOff>
                  </from>
                  <to>
                    <xdr:col>2</xdr:col>
                    <xdr:colOff>2705100</xdr:colOff>
                    <xdr:row>129</xdr:row>
                    <xdr:rowOff>0</xdr:rowOff>
                  </to>
                </anchor>
              </controlPr>
            </control>
          </mc:Choice>
        </mc:AlternateContent>
        <mc:AlternateContent xmlns:mc="http://schemas.openxmlformats.org/markup-compatibility/2006">
          <mc:Choice Requires="x14">
            <control shapeId="43244" r:id="rId99" name="Button 1260">
              <controlPr defaultSize="0" autoFill="0" autoPict="0" macro="[0]!next_29">
                <anchor moveWithCells="1">
                  <from>
                    <xdr:col>2</xdr:col>
                    <xdr:colOff>2165350</xdr:colOff>
                    <xdr:row>153</xdr:row>
                    <xdr:rowOff>139700</xdr:rowOff>
                  </from>
                  <to>
                    <xdr:col>2</xdr:col>
                    <xdr:colOff>2711450</xdr:colOff>
                    <xdr:row>154</xdr:row>
                    <xdr:rowOff>152400</xdr:rowOff>
                  </to>
                </anchor>
              </controlPr>
            </control>
          </mc:Choice>
        </mc:AlternateContent>
        <mc:AlternateContent xmlns:mc="http://schemas.openxmlformats.org/markup-compatibility/2006">
          <mc:Choice Requires="x14">
            <control shapeId="43247" r:id="rId100" name="Button 1263">
              <controlPr defaultSize="0" autoFill="0" autoPict="0" macro="[0]!next_27">
                <anchor moveWithCells="1">
                  <from>
                    <xdr:col>2</xdr:col>
                    <xdr:colOff>2165350</xdr:colOff>
                    <xdr:row>169</xdr:row>
                    <xdr:rowOff>101600</xdr:rowOff>
                  </from>
                  <to>
                    <xdr:col>2</xdr:col>
                    <xdr:colOff>2711450</xdr:colOff>
                    <xdr:row>170</xdr:row>
                    <xdr:rowOff>114300</xdr:rowOff>
                  </to>
                </anchor>
              </controlPr>
            </control>
          </mc:Choice>
        </mc:AlternateContent>
        <mc:AlternateContent xmlns:mc="http://schemas.openxmlformats.org/markup-compatibility/2006">
          <mc:Choice Requires="x14">
            <control shapeId="43248" r:id="rId101" name="Button 1264">
              <controlPr defaultSize="0" autoFill="0" autoPict="0" macro="[0]!next_13">
                <anchor moveWithCells="1">
                  <from>
                    <xdr:col>2</xdr:col>
                    <xdr:colOff>2159000</xdr:colOff>
                    <xdr:row>177</xdr:row>
                    <xdr:rowOff>184150</xdr:rowOff>
                  </from>
                  <to>
                    <xdr:col>2</xdr:col>
                    <xdr:colOff>2705100</xdr:colOff>
                    <xdr:row>178</xdr:row>
                    <xdr:rowOff>196850</xdr:rowOff>
                  </to>
                </anchor>
              </controlPr>
            </control>
          </mc:Choice>
        </mc:AlternateContent>
        <mc:AlternateContent xmlns:mc="http://schemas.openxmlformats.org/markup-compatibility/2006">
          <mc:Choice Requires="x14">
            <control shapeId="43249" r:id="rId102" name="Button 1265">
              <controlPr defaultSize="0" autoFill="0" autoPict="0" macro="[0]!next_30">
                <anchor moveWithCells="1">
                  <from>
                    <xdr:col>2</xdr:col>
                    <xdr:colOff>2159000</xdr:colOff>
                    <xdr:row>162</xdr:row>
                    <xdr:rowOff>114300</xdr:rowOff>
                  </from>
                  <to>
                    <xdr:col>2</xdr:col>
                    <xdr:colOff>2705100</xdr:colOff>
                    <xdr:row>163</xdr:row>
                    <xdr:rowOff>139700</xdr:rowOff>
                  </to>
                </anchor>
              </controlPr>
            </control>
          </mc:Choice>
        </mc:AlternateContent>
        <mc:AlternateContent xmlns:mc="http://schemas.openxmlformats.org/markup-compatibility/2006">
          <mc:Choice Requires="x14">
            <control shapeId="43250" r:id="rId103" name="Button 1266">
              <controlPr defaultSize="0" autoFill="0" autoPict="0" macro="[0]!next_16">
                <anchor moveWithCells="1">
                  <from>
                    <xdr:col>2</xdr:col>
                    <xdr:colOff>2159000</xdr:colOff>
                    <xdr:row>183</xdr:row>
                    <xdr:rowOff>292100</xdr:rowOff>
                  </from>
                  <to>
                    <xdr:col>2</xdr:col>
                    <xdr:colOff>2698750</xdr:colOff>
                    <xdr:row>184</xdr:row>
                    <xdr:rowOff>190500</xdr:rowOff>
                  </to>
                </anchor>
              </controlPr>
            </control>
          </mc:Choice>
        </mc:AlternateContent>
        <mc:AlternateContent xmlns:mc="http://schemas.openxmlformats.org/markup-compatibility/2006">
          <mc:Choice Requires="x14">
            <control shapeId="43252" r:id="rId104" name="Button 1268">
              <controlPr defaultSize="0" autoFill="0" autoPict="0" macro="[0]!next_22">
                <anchor moveWithCells="1">
                  <from>
                    <xdr:col>2</xdr:col>
                    <xdr:colOff>2159000</xdr:colOff>
                    <xdr:row>196</xdr:row>
                    <xdr:rowOff>25400</xdr:rowOff>
                  </from>
                  <to>
                    <xdr:col>2</xdr:col>
                    <xdr:colOff>2705100</xdr:colOff>
                    <xdr:row>197</xdr:row>
                    <xdr:rowOff>38100</xdr:rowOff>
                  </to>
                </anchor>
              </controlPr>
            </control>
          </mc:Choice>
        </mc:AlternateContent>
        <mc:AlternateContent xmlns:mc="http://schemas.openxmlformats.org/markup-compatibility/2006">
          <mc:Choice Requires="x14">
            <control shapeId="43253" r:id="rId105" name="Button 1269">
              <controlPr defaultSize="0" autoFill="0" autoPict="0" macro="[0]!next_26">
                <anchor moveWithCells="1">
                  <from>
                    <xdr:col>2</xdr:col>
                    <xdr:colOff>2159000</xdr:colOff>
                    <xdr:row>204</xdr:row>
                    <xdr:rowOff>0</xdr:rowOff>
                  </from>
                  <to>
                    <xdr:col>2</xdr:col>
                    <xdr:colOff>2698750</xdr:colOff>
                    <xdr:row>205</xdr:row>
                    <xdr:rowOff>25400</xdr:rowOff>
                  </to>
                </anchor>
              </controlPr>
            </control>
          </mc:Choice>
        </mc:AlternateContent>
        <mc:AlternateContent xmlns:mc="http://schemas.openxmlformats.org/markup-compatibility/2006">
          <mc:Choice Requires="x14">
            <control shapeId="43254" r:id="rId106" name="Button 1270">
              <controlPr defaultSize="0" autoFill="0" autoPict="0" macro="[0]!ButtonQ23_Click">
                <anchor moveWithCells="1">
                  <from>
                    <xdr:col>2</xdr:col>
                    <xdr:colOff>2165350</xdr:colOff>
                    <xdr:row>143</xdr:row>
                    <xdr:rowOff>101600</xdr:rowOff>
                  </from>
                  <to>
                    <xdr:col>2</xdr:col>
                    <xdr:colOff>2711450</xdr:colOff>
                    <xdr:row>144</xdr:row>
                    <xdr:rowOff>63500</xdr:rowOff>
                  </to>
                </anchor>
              </controlPr>
            </control>
          </mc:Choice>
        </mc:AlternateContent>
        <mc:AlternateContent xmlns:mc="http://schemas.openxmlformats.org/markup-compatibility/2006">
          <mc:Choice Requires="x14">
            <control shapeId="43255" r:id="rId107" name="Button 1271">
              <controlPr defaultSize="0" autoFill="0" autoPict="0" macro="[0]!next_31">
                <anchor moveWithCells="1">
                  <from>
                    <xdr:col>2</xdr:col>
                    <xdr:colOff>2165350</xdr:colOff>
                    <xdr:row>134</xdr:row>
                    <xdr:rowOff>139700</xdr:rowOff>
                  </from>
                  <to>
                    <xdr:col>2</xdr:col>
                    <xdr:colOff>2711450</xdr:colOff>
                    <xdr:row>134</xdr:row>
                    <xdr:rowOff>368300</xdr:rowOff>
                  </to>
                </anchor>
              </controlPr>
            </control>
          </mc:Choice>
        </mc:AlternateContent>
        <mc:AlternateContent xmlns:mc="http://schemas.openxmlformats.org/markup-compatibility/2006">
          <mc:Choice Requires="x14">
            <control shapeId="43266" r:id="rId108" name="Button 1282">
              <controlPr defaultSize="0" autoFill="0" autoPict="0" macro="[0]!ThermUtilreset">
                <anchor moveWithCells="1" sizeWithCells="1">
                  <from>
                    <xdr:col>0</xdr:col>
                    <xdr:colOff>1600200</xdr:colOff>
                    <xdr:row>134</xdr:row>
                    <xdr:rowOff>139700</xdr:rowOff>
                  </from>
                  <to>
                    <xdr:col>1</xdr:col>
                    <xdr:colOff>793750</xdr:colOff>
                    <xdr:row>134</xdr:row>
                    <xdr:rowOff>349250</xdr:rowOff>
                  </to>
                </anchor>
              </controlPr>
            </control>
          </mc:Choice>
        </mc:AlternateContent>
        <mc:AlternateContent xmlns:mc="http://schemas.openxmlformats.org/markup-compatibility/2006">
          <mc:Choice Requires="x14">
            <control shapeId="43267" r:id="rId109" name="Button 1283">
              <controlPr defaultSize="0" autoFill="0" autoPict="0" macro="[0]!ThermUtildefault">
                <anchor moveWithCells="1" sizeWithCells="1">
                  <from>
                    <xdr:col>1</xdr:col>
                    <xdr:colOff>958850</xdr:colOff>
                    <xdr:row>134</xdr:row>
                    <xdr:rowOff>139700</xdr:rowOff>
                  </from>
                  <to>
                    <xdr:col>2</xdr:col>
                    <xdr:colOff>1441450</xdr:colOff>
                    <xdr:row>134</xdr:row>
                    <xdr:rowOff>349250</xdr:rowOff>
                  </to>
                </anchor>
              </controlPr>
            </control>
          </mc:Choice>
        </mc:AlternateContent>
        <mc:AlternateContent xmlns:mc="http://schemas.openxmlformats.org/markup-compatibility/2006">
          <mc:Choice Requires="x14">
            <control shapeId="43268" r:id="rId110" name="Button 1284">
              <controlPr defaultSize="0" print="0" autoFill="0" autoPict="0" macro="[0]!Button231_Click">
                <anchor>
                  <from>
                    <xdr:col>3</xdr:col>
                    <xdr:colOff>101600</xdr:colOff>
                    <xdr:row>184</xdr:row>
                    <xdr:rowOff>82550</xdr:rowOff>
                  </from>
                  <to>
                    <xdr:col>4</xdr:col>
                    <xdr:colOff>1320800</xdr:colOff>
                    <xdr:row>186</xdr:row>
                    <xdr:rowOff>69850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decimal" allowBlank="1" showInputMessage="1" showErrorMessage="1" error="You have entered a displaced boiler fuel value that either too high or too low._x000a__x000a_Enter a value between 0 and tha maximum amount of displaced fuel based on the CHP generation capacity (MWh)._x000a__x000a_Please try again." xr:uid="{00000000-0002-0000-0100-00002C000000}">
          <x14:formula1>
            <xm:f>0</xm:f>
          </x14:formula1>
          <x14:formula2>
            <xm:f>Calc1!B177</xm:f>
          </x14:formula2>
          <xm:sqref>B139</xm:sqref>
        </x14:dataValidation>
        <x14:dataValidation type="decimal" allowBlank="1" showInputMessage="1" showErrorMessage="1" error="You have entered a value outside the acceptable range. _x000a__x000a_Please enter a value that is between 0 and the system capacity (MW) x 8,760 hours (total number of hours in a year)." xr:uid="{00000000-0002-0000-0100-00002D000000}">
          <x14:formula1>
            <xm:f>0</xm:f>
          </x14:formula1>
          <x14:formula2>
            <xm:f>Calc1!B58</xm:f>
          </x14:formula2>
          <xm:sqref>B24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K169"/>
  <sheetViews>
    <sheetView showGridLines="0" zoomScaleNormal="100" workbookViewId="0">
      <selection activeCell="G6" sqref="G6"/>
    </sheetView>
  </sheetViews>
  <sheetFormatPr defaultColWidth="9.1796875" defaultRowHeight="12.5" x14ac:dyDescent="0.25"/>
  <cols>
    <col min="1" max="1" width="38.81640625" bestFit="1" customWidth="1"/>
    <col min="2" max="6" width="15.54296875" customWidth="1"/>
    <col min="7" max="7" width="10.54296875" customWidth="1"/>
  </cols>
  <sheetData>
    <row r="1" spans="1:6" ht="16.399999999999999" customHeight="1" x14ac:dyDescent="0.25">
      <c r="A1" s="382"/>
      <c r="B1" s="382"/>
      <c r="C1" s="382"/>
      <c r="D1" s="382"/>
      <c r="E1" s="382"/>
      <c r="F1" s="383"/>
    </row>
    <row r="2" spans="1:6" ht="16.399999999999999" customHeight="1" x14ac:dyDescent="0.25">
      <c r="A2" s="382"/>
      <c r="B2" s="382"/>
      <c r="C2" s="382"/>
      <c r="D2" s="382"/>
      <c r="E2" s="382"/>
      <c r="F2" s="383"/>
    </row>
    <row r="3" spans="1:6" ht="16.399999999999999" customHeight="1" x14ac:dyDescent="0.25">
      <c r="A3" s="382"/>
      <c r="B3" s="382"/>
      <c r="C3" s="382"/>
      <c r="D3" s="382"/>
      <c r="E3" s="382"/>
      <c r="F3" s="383"/>
    </row>
    <row r="4" spans="1:6" ht="16.399999999999999" customHeight="1" x14ac:dyDescent="0.25">
      <c r="A4" s="384"/>
      <c r="B4" s="384"/>
      <c r="C4" s="384"/>
      <c r="D4" s="384"/>
      <c r="E4" s="384"/>
      <c r="F4" s="385"/>
    </row>
    <row r="5" spans="1:6" ht="25.4" customHeight="1" x14ac:dyDescent="0.4">
      <c r="A5" s="39" t="s">
        <v>109</v>
      </c>
    </row>
    <row r="6" spans="1:6" ht="13" x14ac:dyDescent="0.3">
      <c r="A6" s="911" t="s">
        <v>110</v>
      </c>
      <c r="B6" s="911"/>
      <c r="C6" s="911"/>
      <c r="D6" s="911"/>
      <c r="E6" s="911"/>
      <c r="F6" s="911"/>
    </row>
    <row r="7" spans="1:6" ht="13" x14ac:dyDescent="0.3">
      <c r="A7" s="911" t="s">
        <v>111</v>
      </c>
      <c r="B7" s="911"/>
      <c r="C7" s="911"/>
      <c r="D7" s="911"/>
      <c r="E7" s="911"/>
      <c r="F7" s="51"/>
    </row>
    <row r="8" spans="1:6" ht="24" customHeight="1" x14ac:dyDescent="0.35">
      <c r="A8" s="912" t="s">
        <v>112</v>
      </c>
      <c r="B8" s="912"/>
      <c r="C8" s="912"/>
      <c r="D8" s="912"/>
      <c r="E8" s="912"/>
      <c r="F8" s="913"/>
    </row>
    <row r="9" spans="1:6" ht="5.15" customHeight="1" x14ac:dyDescent="0.35">
      <c r="A9" s="126"/>
      <c r="B9" s="126"/>
      <c r="C9" s="126"/>
      <c r="D9" s="126"/>
      <c r="E9" s="126"/>
      <c r="F9" s="127"/>
    </row>
    <row r="10" spans="1:6" s="336" customFormat="1" ht="18" customHeight="1" thickBot="1" x14ac:dyDescent="0.3">
      <c r="A10" s="352" t="s">
        <v>113</v>
      </c>
    </row>
    <row r="11" spans="1:6" ht="37.5" x14ac:dyDescent="0.25">
      <c r="A11" s="42"/>
      <c r="B11" s="43" t="s">
        <v>114</v>
      </c>
      <c r="C11" s="43" t="s">
        <v>115</v>
      </c>
      <c r="D11" s="343" t="s">
        <v>116</v>
      </c>
      <c r="E11" s="344" t="s">
        <v>117</v>
      </c>
      <c r="F11" s="44" t="s">
        <v>118</v>
      </c>
    </row>
    <row r="12" spans="1:6" ht="15" customHeight="1" thickBot="1" x14ac:dyDescent="0.3">
      <c r="A12" s="616" t="s">
        <v>119</v>
      </c>
      <c r="B12" s="617">
        <f>IFERROR(D99,"-")</f>
        <v>0</v>
      </c>
      <c r="C12" s="617">
        <f>IFERROR(F121,"-")</f>
        <v>0</v>
      </c>
      <c r="D12" s="618">
        <f>IFERROR(B110,"-")</f>
        <v>0</v>
      </c>
      <c r="E12" s="459">
        <f>IFERROR(C12+D12-B12,"-")</f>
        <v>0</v>
      </c>
      <c r="F12" s="460" t="str">
        <f>IF(OR(chptechinput=9,chptechinput=10),IFERROR(E12/(C12+D12),"-"),IF(B12&lt;=0,"-",IFERROR(E12/(C12+D12),"-")))</f>
        <v>-</v>
      </c>
    </row>
    <row r="13" spans="1:6" ht="15" customHeight="1" thickTop="1" x14ac:dyDescent="0.25">
      <c r="A13" s="921" t="s">
        <v>120</v>
      </c>
      <c r="B13" s="922"/>
      <c r="C13" s="922"/>
      <c r="D13" s="923"/>
      <c r="E13" s="461" t="str">
        <f>IF((E12/mmbtugalgas)/galvehicle=0,"-",IFERROR((E12/mmbtugalgas)/galvehicle,"-"))</f>
        <v>-</v>
      </c>
      <c r="F13" s="462"/>
    </row>
    <row r="14" spans="1:6" ht="15" customHeight="1" thickBot="1" x14ac:dyDescent="0.3">
      <c r="A14" s="914" t="s">
        <v>121</v>
      </c>
      <c r="B14" s="915"/>
      <c r="C14" s="915"/>
      <c r="D14" s="916"/>
      <c r="E14" s="463" t="str">
        <f>IFERROR(IF($E$12*(3412/VLOOKUP(deinput,SubGenSources!$B$6:$F$19,5,FALSE))/(homes2*kWhtoMMBtu)=0,"-",IFERROR($E$12*(3412/VLOOKUP(deinput,SubGenSources!$B$6:$F$19,5,FALSE))/(homes2*kWhtoMMBtu),"-")),"-")</f>
        <v>-</v>
      </c>
      <c r="F14" s="464"/>
    </row>
    <row r="15" spans="1:6" x14ac:dyDescent="0.25">
      <c r="A15" s="194"/>
      <c r="E15" s="137"/>
      <c r="F15" s="138"/>
    </row>
    <row r="16" spans="1:6" ht="13.4" hidden="1" customHeight="1" x14ac:dyDescent="0.25">
      <c r="A16" s="194"/>
      <c r="E16" s="137"/>
      <c r="F16" s="138"/>
    </row>
    <row r="17" spans="1:6" ht="13.4" hidden="1" customHeight="1" x14ac:dyDescent="0.25">
      <c r="A17" s="194"/>
      <c r="E17" s="137"/>
      <c r="F17" s="138"/>
    </row>
    <row r="18" spans="1:6" ht="24" hidden="1" customHeight="1" x14ac:dyDescent="0.35">
      <c r="A18" s="126"/>
      <c r="B18" s="126"/>
      <c r="C18" s="126"/>
      <c r="D18" s="126"/>
      <c r="E18" s="126"/>
      <c r="F18" s="127"/>
    </row>
    <row r="19" spans="1:6" ht="24" hidden="1" customHeight="1" x14ac:dyDescent="0.35">
      <c r="A19" s="126"/>
      <c r="B19" s="126"/>
      <c r="C19" s="126"/>
      <c r="D19" s="126"/>
      <c r="E19" s="126"/>
      <c r="F19" s="127"/>
    </row>
    <row r="20" spans="1:6" ht="24" hidden="1" customHeight="1" x14ac:dyDescent="0.35">
      <c r="A20" s="126"/>
      <c r="B20" s="126"/>
      <c r="C20" s="126"/>
      <c r="D20" s="126"/>
      <c r="E20" s="126"/>
      <c r="F20" s="127"/>
    </row>
    <row r="21" spans="1:6" s="336" customFormat="1" ht="18" customHeight="1" thickBot="1" x14ac:dyDescent="0.3">
      <c r="A21" s="352" t="s">
        <v>122</v>
      </c>
      <c r="B21" s="353" t="str">
        <f>IFERROR(IF(AND(SUM(B23:F29,E30:F31)=0,SUM(B12:F12,E13:F14)=0)," ",IF(SUM(B23:F29,E30:F31)=0,"To calculate emissions savings results, please complete inputs 26-32 on the Inputs page"," ")),"")</f>
        <v xml:space="preserve"> </v>
      </c>
    </row>
    <row r="22" spans="1:6" ht="37.5" x14ac:dyDescent="0.25">
      <c r="A22" s="42"/>
      <c r="B22" s="43" t="s">
        <v>114</v>
      </c>
      <c r="C22" s="43" t="s">
        <v>115</v>
      </c>
      <c r="D22" s="343" t="s">
        <v>116</v>
      </c>
      <c r="E22" s="344" t="s">
        <v>123</v>
      </c>
      <c r="F22" s="44" t="s">
        <v>118</v>
      </c>
    </row>
    <row r="23" spans="1:6" ht="15" customHeight="1" x14ac:dyDescent="0.25">
      <c r="A23" s="738" t="s">
        <v>124</v>
      </c>
      <c r="B23" s="619" t="str">
        <f>IF(AND(OR(chpsulfurinput2="0",ISBLANK(chpsulfurinput2)),OR(chpnoxinput1="0",ISBLANK(chpnoxinput1)),OR(chpnoxinput2="0",ISBLANK(chpnoxinput2)),OR(chpnoxinput3="0",ISBLANK(chpnoxinput3)),OR(chpnoxinput4="0",ISBLANK(chpnoxinput4)),OR(stmsulfurinput2="0",ISBLANK(stmsulfurinput2)),OR(stmnoxinput="0",ISBLANK(stmnoxinput))),"-",D92)</f>
        <v>-</v>
      </c>
      <c r="C23" s="620" t="str">
        <f>IF(chptechinput=9,F114,IF(AND(OR(chpsulfurinput2=0,ISBLANK(chpsulfurinput)),OR(chpnoxinput1=0,ISBLANK(chpnoxinput1)),OR(chpnoxinput2=0,ISBLANK(chpnoxinput2)),OR(chpnoxinput3=0,ISBLANK(chpnoxinput3)),OR(chpnoxinput4=0,ISBLANK(chpnoxinput4)),OR(stmsulfurinput2=0,ISBLANK(stmsulfurinput2)),OR(stmnoxinput=0,ISBLANK(stmnoxinput))),"-",F114))</f>
        <v>-</v>
      </c>
      <c r="D23" s="621" t="str">
        <f>IF(AND(OR(chpsulfurinput2=0,ISBLANK(chpsulfurinput)),OR(chpnoxinput1=0,ISBLANK(chpnoxinput1)),OR(chpnoxinput2=0,ISBLANK(chpnoxinput2)),OR(chpnoxinput3=0,ISBLANK(chpnoxinput3)),OR(chpnoxinput4=0,ISBLANK(chpnoxinput4)),OR(stmsulfurinput2=0,ISBLANK(stmsulfurinput2)),OR(stmnoxinput=0,ISBLANK(stmnoxinput))),"-",B103)</f>
        <v>-</v>
      </c>
      <c r="E23" s="466" t="str">
        <f t="shared" ref="E23:E29" si="0">IF(chptechinput=9,C23,IFERROR(IF(B23="-",C23+D23,IFERROR(C23+D23-B23,"-")),"-"))</f>
        <v>-</v>
      </c>
      <c r="F23" s="460" t="str">
        <f t="shared" ref="F23:F29" si="1">IF(chptechinput=9,E23/C23,IF(chptechinput=10,IFERROR(E23/(C23+D23),"-"),IF(B23&lt;=0,"-",IFERROR(E23/(C23+D23),"-"))))</f>
        <v>-</v>
      </c>
    </row>
    <row r="24" spans="1:6" ht="15" customHeight="1" x14ac:dyDescent="0.25">
      <c r="A24" s="738" t="s">
        <v>125</v>
      </c>
      <c r="B24" s="619" t="str">
        <f>IF(AND(OR(chpsulfurinput2=0,ISBLANK(chpsulfurinput)),OR(chpnoxinput1=0,ISBLANK(chpnoxinput1)),OR(chpnoxinput2=0,ISBLANK(chpnoxinput2)),OR(chpnoxinput3=0,ISBLANK(chpnoxinput3)),OR(chpnoxinput4=0,ISBLANK(chpnoxinput4)),OR(stmsulfurinput2=0,ISBLANK(stmsulfurinput2)),OR(stmnoxinput=0,ISBLANK(stmnoxinput))),"-",D93)</f>
        <v>-</v>
      </c>
      <c r="C24" s="620" t="str">
        <f>IF(chptechinput=9,F115,IF(AND(OR(chpsulfurinput2=0,ISBLANK(chpsulfurinput)),OR(chpnoxinput1=0,ISBLANK(chpnoxinput1)),OR(chpnoxinput2=0,ISBLANK(chpnoxinput2)),OR(chpnoxinput3=0,ISBLANK(chpnoxinput3)),OR(chpnoxinput4=0,ISBLANK(chpnoxinput4)),OR(stmsulfurinput2=0,ISBLANK(stmsulfurinput2)),OR(stmnoxinput=0,ISBLANK(stmnoxinput))),"-",F115))</f>
        <v>-</v>
      </c>
      <c r="D24" s="621" t="str">
        <f>IF(AND(OR(chpsulfurinput2=0,ISBLANK(chpsulfurinput)),OR(chpnoxinput1=0,ISBLANK(chpnoxinput1)),OR(chpnoxinput2=0,ISBLANK(chpnoxinput2)),OR(chpnoxinput3=0,ISBLANK(chpnoxinput3)),OR(chpnoxinput4=0,ISBLANK(chpnoxinput4)),OR(stmsulfurinput2=0,ISBLANK(stmsulfurinput2)),OR(stmnoxinput=0,ISBLANK(stmnoxinput))),"-",B104)</f>
        <v>-</v>
      </c>
      <c r="E24" s="466" t="str">
        <f t="shared" si="0"/>
        <v>-</v>
      </c>
      <c r="F24" s="460" t="str">
        <f t="shared" si="1"/>
        <v>-</v>
      </c>
    </row>
    <row r="25" spans="1:6" ht="15" customHeight="1" x14ac:dyDescent="0.25">
      <c r="A25" s="738" t="s">
        <v>126</v>
      </c>
      <c r="B25" s="617" t="str">
        <f>IF(AND(OR(chpsulfurinput2=0,ISBLANK(chpsulfurinput)),OR(chpnoxinput1=0,ISBLANK(chpnoxinput1)),OR(chpnoxinput2=0,ISBLANK(chpnoxinput2)),OR(chpnoxinput3=0,ISBLANK(chpnoxinput3)),OR(chpnoxinput4=0,ISBLANK(chpnoxinput4)),OR(stmsulfurinput2=0,ISBLANK(stmsulfurinput2)),OR(stmnoxinput=0,ISBLANK(stmnoxinput))),"-",D94)</f>
        <v>-</v>
      </c>
      <c r="C25" s="620" t="str">
        <f>IF(chptechinput=9,F116,IF(AND(OR(chpsulfurinput2=0,ISBLANK(chpsulfurinput)),OR(chpnoxinput1=0,ISBLANK(chpnoxinput1)),OR(chpnoxinput2=0,ISBLANK(chpnoxinput2)),OR(chpnoxinput3=0,ISBLANK(chpnoxinput3)),OR(chpnoxinput4=0,ISBLANK(chpnoxinput4)),OR(stmsulfurinput2=0,ISBLANK(stmsulfurinput2)),OR(stmnoxinput=0,ISBLANK(stmnoxinput))),"-",F116))</f>
        <v>-</v>
      </c>
      <c r="D25" s="618" t="str">
        <f>IF(AND(OR(chpsulfurinput2=0,ISBLANK(chpsulfurinput)),OR(chpnoxinput1=0,ISBLANK(chpnoxinput1)),OR(chpnoxinput2=0,ISBLANK(chpnoxinput2)),OR(chpnoxinput3=0,ISBLANK(chpnoxinput3)),OR(chpnoxinput4=0,ISBLANK(chpnoxinput4)),OR(stmsulfurinput2=0,ISBLANK(stmsulfurinput2)),OR(stmnoxinput=0,ISBLANK(stmnoxinput))),"-",B105)</f>
        <v>-</v>
      </c>
      <c r="E25" s="466" t="str">
        <f t="shared" si="0"/>
        <v>-</v>
      </c>
      <c r="F25" s="460" t="str">
        <f t="shared" si="1"/>
        <v>-</v>
      </c>
    </row>
    <row r="26" spans="1:6" ht="15" customHeight="1" x14ac:dyDescent="0.25">
      <c r="A26" s="738" t="s">
        <v>127</v>
      </c>
      <c r="B26" s="620" t="str">
        <f>IF(AND(OR(chpsulfurinput2=0,ISBLANK(chpsulfurinput)),OR(chpnoxinput1=0,ISBLANK(chpnoxinput1)),OR(chpnoxinput2=0,ISBLANK(chpnoxinput2)),OR(chpnoxinput3=0,ISBLANK(chpnoxinput3)),OR(chpnoxinput4=0,ISBLANK(chpnoxinput4)),OR(stmsulfurinput2=0,ISBLANK(stmsulfurinput2)),OR(stmnoxinput=0,ISBLANK(stmnoxinput))),"-",D95)</f>
        <v>-</v>
      </c>
      <c r="C26" s="620" t="str">
        <f>IF(chptechinput=9,F117,IF(AND(OR(chpsulfurinput2=0,ISBLANK(chpsulfurinput)),OR(chpnoxinput1=0,ISBLANK(chpnoxinput1)),OR(chpnoxinput2=0,ISBLANK(chpnoxinput2)),OR(chpnoxinput3=0,ISBLANK(chpnoxinput3)),OR(chpnoxinput4=0,ISBLANK(chpnoxinput4)),OR(stmsulfurinput2=0,ISBLANK(stmsulfurinput2)),OR(stmnoxinput=0,ISBLANK(stmnoxinput))),"-",F117))</f>
        <v>-</v>
      </c>
      <c r="D26" s="621" t="str">
        <f>IF(AND(OR(chpsulfurinput2=0,ISBLANK(chpsulfurinput)),OR(chpnoxinput1=0,ISBLANK(chpnoxinput1)),OR(chpnoxinput2=0,ISBLANK(chpnoxinput2)),OR(chpnoxinput3=0,ISBLANK(chpnoxinput3)),OR(chpnoxinput4=0,ISBLANK(chpnoxinput4)),OR(stmsulfurinput2=0,ISBLANK(stmsulfurinput2)),OR(stmnoxinput=0,ISBLANK(stmnoxinput))),"-",B106)</f>
        <v>-</v>
      </c>
      <c r="E26" s="466" t="str">
        <f t="shared" si="0"/>
        <v>-</v>
      </c>
      <c r="F26" s="460" t="str">
        <f t="shared" si="1"/>
        <v>-</v>
      </c>
    </row>
    <row r="27" spans="1:6" ht="15" customHeight="1" x14ac:dyDescent="0.25">
      <c r="A27" s="738" t="s">
        <v>128</v>
      </c>
      <c r="B27" s="620" t="str">
        <f>IF(AND(OR(chpsulfurinput2=0,ISBLANK(chpsulfurinput)),OR(chpnoxinput1=0,ISBLANK(chpnoxinput1)),OR(chpnoxinput2=0,ISBLANK(chpnoxinput2)),OR(chpnoxinput3=0,ISBLANK(chpnoxinput3)),OR(chpnoxinput4=0,ISBLANK(chpnoxinput4)),OR(stmsulfurinput2=0,ISBLANK(stmsulfurinput2)),OR(stmnoxinput=0,ISBLANK(stmnoxinput))),"-",D96)</f>
        <v>-</v>
      </c>
      <c r="C27" s="620" t="str">
        <f>IF(chptechinput=9,F118,IF(AND(OR(chpsulfurinput2=0,ISBLANK(chpsulfurinput)),OR(chpnoxinput1=0,ISBLANK(chpnoxinput1)),OR(chpnoxinput2=0,ISBLANK(chpnoxinput2)),OR(chpnoxinput3=0,ISBLANK(chpnoxinput3)),OR(chpnoxinput4=0,ISBLANK(chpnoxinput4)),OR(stmsulfurinput2=0,ISBLANK(stmsulfurinput2)),OR(stmnoxinput=0,ISBLANK(stmnoxinput))),"-",F118))</f>
        <v>-</v>
      </c>
      <c r="D27" s="621" t="str">
        <f>IF(AND(OR(chpsulfurinput2=0,ISBLANK(chpsulfurinput)),OR(chpnoxinput1=0,ISBLANK(chpnoxinput1)),OR(chpnoxinput2=0,ISBLANK(chpnoxinput2)),OR(chpnoxinput3=0,ISBLANK(chpnoxinput3)),OR(chpnoxinput4=0,ISBLANK(chpnoxinput4)),OR(stmsulfurinput2=0,ISBLANK(stmsulfurinput2)),OR(stmnoxinput=0,ISBLANK(stmnoxinput))),"-",B107)</f>
        <v>-</v>
      </c>
      <c r="E27" s="466" t="str">
        <f t="shared" si="0"/>
        <v>-</v>
      </c>
      <c r="F27" s="460" t="str">
        <f t="shared" si="1"/>
        <v>-</v>
      </c>
    </row>
    <row r="28" spans="1:6" ht="15" customHeight="1" thickBot="1" x14ac:dyDescent="0.3">
      <c r="A28" s="738" t="s">
        <v>129</v>
      </c>
      <c r="B28" s="617" t="str">
        <f>IF(AND(OR(chpsulfurinput2=0,ISBLANK(chpsulfurinput)),OR(chpnoxinput1=0,ISBLANK(chpnoxinput1)),OR(chpnoxinput2=0,ISBLANK(chpnoxinput2)),OR(chpnoxinput3=0,ISBLANK(chpnoxinput3)),OR(chpnoxinput4=0,ISBLANK(chpnoxinput4)),OR(stmsulfurinput2=0,ISBLANK(stmsulfurinput2)),OR(stmnoxinput=0,ISBLANK(stmnoxinput))),"-",D97)</f>
        <v>-</v>
      </c>
      <c r="C28" s="620" t="str">
        <f>IF(chptechinput=9,F119,IF(AND(OR(chpsulfurinput2=0,ISBLANK(chpsulfurinput)),OR(chpnoxinput1=0,ISBLANK(chpnoxinput1)),OR(chpnoxinput2=0,ISBLANK(chpnoxinput2)),OR(chpnoxinput3=0,ISBLANK(chpnoxinput3)),OR(chpnoxinput4=0,ISBLANK(chpnoxinput4)),OR(stmsulfurinput2=0,ISBLANK(stmsulfurinput2)),OR(stmnoxinput=0,ISBLANK(stmnoxinput))),"-",F119))</f>
        <v>-</v>
      </c>
      <c r="D28" s="618" t="str">
        <f>IF(AND(OR(chpsulfurinput2=0,ISBLANK(chpsulfurinput)),OR(chpnoxinput1=0,ISBLANK(chpnoxinput1)),OR(chpnoxinput2=0,ISBLANK(chpnoxinput2)),OR(chpnoxinput3=0,ISBLANK(chpnoxinput3)),OR(chpnoxinput4=0,ISBLANK(chpnoxinput4)),OR(stmsulfurinput2=0,ISBLANK(stmsulfurinput2)),OR(stmnoxinput=0,ISBLANK(stmnoxinput))),"-",B108)</f>
        <v>-</v>
      </c>
      <c r="E28" s="466" t="str">
        <f t="shared" si="0"/>
        <v>-</v>
      </c>
      <c r="F28" s="460" t="str">
        <f t="shared" si="1"/>
        <v>-</v>
      </c>
    </row>
    <row r="29" spans="1:6" ht="15" hidden="1" customHeight="1" thickBot="1" x14ac:dyDescent="0.3">
      <c r="A29" s="616" t="s">
        <v>130</v>
      </c>
      <c r="B29" s="622" t="str">
        <f>IF(AND(OR(chpsulfurinput2=0,ISBLANK(chpsulfurinput)),OR(chpnoxinput1=0,ISBLANK(chpnoxinput1)),OR(chpnoxinput2=0,ISBLANK(chpnoxinput2)),OR(chpnoxinput3=0,ISBLANK(chpnoxinput3)),OR(chpnoxinput4=0,ISBLANK(chpnoxinput4)),OR(stmsulfurinput2=0,ISBLANK(stmsulfurinput2)),OR(stmnoxinput=0,ISBLANK(stmnoxinput))),"-",D98)</f>
        <v>-</v>
      </c>
      <c r="C29" s="623" t="str">
        <f>IF(chptechinput=9,F120,IF(AND(OR(chpsulfurinput2=0,ISBLANK(chpsulfurinput)),OR(chpnoxinput1=0,ISBLANK(chpnoxinput1)),OR(chpnoxinput2=0,ISBLANK(chpnoxinput2)),OR(chpnoxinput3=0,ISBLANK(chpnoxinput3)),OR(chpnoxinput4=0,ISBLANK(chpnoxinput4)),OR(stmsulfurinput2=0,ISBLANK(stmsulfurinput2)),OR(stmnoxinput=0,ISBLANK(stmnoxinput))),"-",F120))</f>
        <v>-</v>
      </c>
      <c r="D29" s="624" t="str">
        <f>IF(AND(OR(chpsulfurinput2=0,ISBLANK(chpsulfurinput)),OR(chpnoxinput1=0,ISBLANK(chpnoxinput1)),OR(chpnoxinput2=0,ISBLANK(chpnoxinput2)),OR(chpnoxinput3=0,ISBLANK(chpnoxinput3)),OR(chpnoxinput4=0,ISBLANK(chpnoxinput4)),OR(stmsulfurinput2=0,ISBLANK(stmsulfurinput2)),OR(stmnoxinput=0,ISBLANK(stmnoxinput))),"-",B109)</f>
        <v>-</v>
      </c>
      <c r="E29" s="227" t="str">
        <f t="shared" si="0"/>
        <v>-</v>
      </c>
      <c r="F29" s="226" t="str">
        <f t="shared" si="1"/>
        <v>-</v>
      </c>
    </row>
    <row r="30" spans="1:6" ht="15" customHeight="1" thickTop="1" x14ac:dyDescent="0.25">
      <c r="A30" s="921" t="s">
        <v>131</v>
      </c>
      <c r="B30" s="922"/>
      <c r="C30" s="922"/>
      <c r="D30" s="923"/>
      <c r="E30" s="461" t="str">
        <f>IFERROR($E$28*0.907185/cars,"-")</f>
        <v>-</v>
      </c>
      <c r="F30" s="462"/>
    </row>
    <row r="31" spans="1:6" ht="15" customHeight="1" thickBot="1" x14ac:dyDescent="0.3">
      <c r="A31" s="914" t="s">
        <v>132</v>
      </c>
      <c r="B31" s="915"/>
      <c r="C31" s="915"/>
      <c r="D31" s="916"/>
      <c r="E31" s="463" t="str">
        <f>IFERROR($E$28*0.907185/homes,"-")</f>
        <v>-</v>
      </c>
      <c r="F31" s="464"/>
    </row>
    <row r="32" spans="1:6" hidden="1" x14ac:dyDescent="0.25">
      <c r="A32" s="194"/>
      <c r="E32" s="137"/>
      <c r="F32" s="138"/>
    </row>
    <row r="33" spans="1:7" ht="13.4" hidden="1" customHeight="1" x14ac:dyDescent="0.25">
      <c r="A33" s="194"/>
      <c r="E33" s="137"/>
      <c r="F33" s="138"/>
    </row>
    <row r="34" spans="1:7" ht="13.4" hidden="1" customHeight="1" x14ac:dyDescent="0.25">
      <c r="A34" s="194"/>
      <c r="E34" s="137"/>
      <c r="F34" s="138"/>
    </row>
    <row r="35" spans="1:7" ht="13.4" hidden="1" customHeight="1" x14ac:dyDescent="0.25">
      <c r="A35" s="194"/>
      <c r="E35" s="137"/>
      <c r="F35" s="138"/>
    </row>
    <row r="36" spans="1:7" ht="13.4" hidden="1" customHeight="1" x14ac:dyDescent="0.25">
      <c r="A36" s="194"/>
      <c r="E36" s="137"/>
      <c r="F36" s="138"/>
    </row>
    <row r="37" spans="1:7" ht="13.4" hidden="1" customHeight="1" x14ac:dyDescent="0.25">
      <c r="A37" s="194"/>
      <c r="E37" s="137"/>
      <c r="F37" s="138"/>
    </row>
    <row r="38" spans="1:7" ht="16.5" hidden="1" customHeight="1" x14ac:dyDescent="0.3">
      <c r="A38" s="194"/>
      <c r="B38" s="194"/>
      <c r="C38" s="46" t="str">
        <f>IFERROR(CONCATENATE("This CHP project will avoid yearly emissions of greenhouse gases by ",TEXT(ROUND(E28,0),"#,###")," tons of carbon dioxide equivalent."),"")</f>
        <v/>
      </c>
      <c r="D38" s="194"/>
      <c r="E38" s="194"/>
      <c r="F38" s="194"/>
      <c r="G38" s="194"/>
    </row>
    <row r="39" spans="1:7" ht="13.4" customHeight="1" x14ac:dyDescent="0.25">
      <c r="A39" s="194"/>
      <c r="B39" s="194"/>
      <c r="C39" s="194"/>
      <c r="D39" s="194"/>
      <c r="E39" s="194"/>
    </row>
    <row r="40" spans="1:7" s="336" customFormat="1" ht="13.4" hidden="1" customHeight="1" x14ac:dyDescent="0.25">
      <c r="A40" s="739"/>
      <c r="B40" s="467" t="str">
        <f>IF(B31&gt;=0,"Equal to the annual greenhouse","Equal to the annual greenhouse")</f>
        <v>Equal to the annual greenhouse</v>
      </c>
      <c r="C40" s="468"/>
      <c r="D40" s="468"/>
      <c r="E40" s="467" t="str">
        <f>IF(E31&gt;=0,"Equal to the annual greenhouse","Equal to the annual greenhouse")</f>
        <v>Equal to the annual greenhouse</v>
      </c>
      <c r="F40" s="468"/>
    </row>
    <row r="41" spans="1:7" s="336" customFormat="1" ht="13.4" hidden="1" customHeight="1" x14ac:dyDescent="0.25">
      <c r="A41" s="739"/>
      <c r="B41" s="467" t="str">
        <f>IF(B31&gt;=0,"gas emissions from        ","gas emissions from        ")</f>
        <v xml:space="preserve">gas emissions from        </v>
      </c>
      <c r="C41" s="924" t="str">
        <f>IF(E31&gt;=0,"gas emissions from the generation of        ","        gas emissions from the generation of        ")</f>
        <v xml:space="preserve">gas emissions from the generation of        </v>
      </c>
      <c r="D41" s="925"/>
      <c r="E41" s="925"/>
      <c r="F41" s="925"/>
    </row>
    <row r="42" spans="1:7" s="336" customFormat="1" ht="13.4" hidden="1" customHeight="1" x14ac:dyDescent="0.25">
      <c r="A42" s="739"/>
      <c r="B42" s="469" t="str">
        <f>IFERROR(CONCATENATE(TEXT(ROUND(ABS(E30),0),"#,###")," passenger vehicles.                            "),"")</f>
        <v/>
      </c>
      <c r="C42" s="739"/>
      <c r="D42" s="468"/>
      <c r="E42" s="469" t="str">
        <f>IFERROR(CONCATENATE("  electricity used by ",TEXT(ROUND(ABS(E31),0),"#,###")," homes.                            "),"")</f>
        <v/>
      </c>
      <c r="F42" s="468"/>
    </row>
    <row r="43" spans="1:7" ht="13.4" hidden="1" customHeight="1" x14ac:dyDescent="0.25"/>
    <row r="44" spans="1:7" ht="13.4" hidden="1" customHeight="1" x14ac:dyDescent="0.25"/>
    <row r="45" spans="1:7" ht="17.5" hidden="1" customHeight="1" x14ac:dyDescent="0.35">
      <c r="C45" s="123"/>
    </row>
    <row r="46" spans="1:7" ht="13.4" hidden="1" customHeight="1" x14ac:dyDescent="0.25"/>
    <row r="47" spans="1:7" ht="15.65" hidden="1" customHeight="1" x14ac:dyDescent="0.35">
      <c r="C47" s="45"/>
    </row>
    <row r="48" spans="1:7" ht="13.4" hidden="1" customHeight="1" x14ac:dyDescent="0.25"/>
    <row r="49" spans="1:7" ht="13.4" hidden="1" customHeight="1" x14ac:dyDescent="0.25"/>
    <row r="50" spans="1:7" ht="13.4" hidden="1" customHeight="1" x14ac:dyDescent="0.25"/>
    <row r="51" spans="1:7" ht="13.4" hidden="1" customHeight="1" x14ac:dyDescent="0.25"/>
    <row r="52" spans="1:7" ht="13.4" hidden="1" customHeight="1" x14ac:dyDescent="0.25"/>
    <row r="53" spans="1:7" ht="13.4" hidden="1" customHeight="1" x14ac:dyDescent="0.25"/>
    <row r="54" spans="1:7" ht="26.25" hidden="1" customHeight="1" x14ac:dyDescent="0.25">
      <c r="A54" s="917" t="s">
        <v>112</v>
      </c>
      <c r="B54" s="917"/>
      <c r="C54" s="917"/>
      <c r="D54" s="917"/>
      <c r="E54" s="917"/>
      <c r="F54" s="918"/>
    </row>
    <row r="55" spans="1:7" s="336" customFormat="1" ht="18" customHeight="1" thickBot="1" x14ac:dyDescent="0.3">
      <c r="A55" s="345" t="s">
        <v>133</v>
      </c>
      <c r="B55" s="349"/>
      <c r="C55" s="349"/>
      <c r="D55" s="349"/>
      <c r="E55" s="349"/>
      <c r="F55" s="350"/>
    </row>
    <row r="56" spans="1:7" x14ac:dyDescent="0.25">
      <c r="A56" s="75" t="s">
        <v>134</v>
      </c>
      <c r="B56" s="470" t="str">
        <f>IFERROR(CHPname,"")</f>
        <v/>
      </c>
      <c r="C56" s="471"/>
      <c r="D56" s="76"/>
      <c r="E56" s="76"/>
      <c r="F56" s="76"/>
      <c r="G56" s="77"/>
    </row>
    <row r="57" spans="1:7" x14ac:dyDescent="0.25">
      <c r="A57" s="78" t="s">
        <v>135</v>
      </c>
      <c r="B57" s="472" t="str">
        <f>IFERROR(cfuel,"")</f>
        <v/>
      </c>
      <c r="C57" s="473"/>
      <c r="D57" s="79"/>
      <c r="E57" s="79"/>
      <c r="F57" s="79"/>
      <c r="G57" s="80"/>
    </row>
    <row r="58" spans="1:7" x14ac:dyDescent="0.25">
      <c r="A58" s="78" t="s">
        <v>136</v>
      </c>
      <c r="B58" s="474">
        <f>IFERROR(Calc1!B28,"-")</f>
        <v>0</v>
      </c>
      <c r="C58" s="473" t="s">
        <v>5</v>
      </c>
      <c r="D58" s="79"/>
      <c r="E58" s="79"/>
      <c r="F58" s="79"/>
      <c r="G58" s="80"/>
    </row>
    <row r="59" spans="1:7" x14ac:dyDescent="0.25">
      <c r="A59" s="78" t="s">
        <v>137</v>
      </c>
      <c r="B59" s="474">
        <f>IFERROR(Calc1!B4,"-")</f>
        <v>1</v>
      </c>
      <c r="C59" s="473"/>
      <c r="D59" s="79"/>
      <c r="E59" s="79"/>
      <c r="F59" s="79"/>
      <c r="G59" s="80"/>
    </row>
    <row r="60" spans="1:7" x14ac:dyDescent="0.25">
      <c r="A60" s="78" t="s">
        <v>138</v>
      </c>
      <c r="B60" s="474">
        <f>IFERROR(Calc1!B5,"-")</f>
        <v>0</v>
      </c>
      <c r="C60" s="473" t="s">
        <v>5</v>
      </c>
      <c r="D60" s="79"/>
      <c r="E60" s="79"/>
      <c r="F60" s="79"/>
      <c r="G60" s="80"/>
    </row>
    <row r="61" spans="1:7" x14ac:dyDescent="0.25">
      <c r="A61" s="78" t="s">
        <v>139</v>
      </c>
      <c r="B61" s="474">
        <f>IFERROR(chours,"-")</f>
        <v>0</v>
      </c>
      <c r="C61" s="473" t="s">
        <v>140</v>
      </c>
      <c r="D61" s="79"/>
      <c r="E61" s="79"/>
      <c r="F61" s="79"/>
      <c r="G61" s="80"/>
    </row>
    <row r="62" spans="1:7" x14ac:dyDescent="0.25">
      <c r="A62" s="81" t="s">
        <v>141</v>
      </c>
      <c r="B62" s="475">
        <f>IFERROR(IF(chr=FALSE,0,chr),"-")</f>
        <v>0</v>
      </c>
      <c r="C62" s="476" t="s">
        <v>142</v>
      </c>
      <c r="D62" s="82"/>
      <c r="E62" s="82"/>
      <c r="F62" s="82"/>
      <c r="G62" s="83"/>
    </row>
    <row r="63" spans="1:7" x14ac:dyDescent="0.25">
      <c r="A63" s="740" t="s">
        <v>143</v>
      </c>
      <c r="B63" s="741">
        <f>IFERROR(Calc1!B7,"-")</f>
        <v>0</v>
      </c>
      <c r="C63" s="742" t="s">
        <v>144</v>
      </c>
      <c r="D63" s="79"/>
      <c r="E63" s="79"/>
      <c r="F63" s="79"/>
      <c r="G63" s="80"/>
    </row>
    <row r="64" spans="1:7" x14ac:dyDescent="0.25">
      <c r="A64" s="740" t="s">
        <v>145</v>
      </c>
      <c r="B64" s="741">
        <f>IFERROR(Calc1!B8,"-")</f>
        <v>0</v>
      </c>
      <c r="C64" s="742" t="s">
        <v>144</v>
      </c>
      <c r="D64" s="79"/>
      <c r="E64" s="79"/>
      <c r="F64" s="79"/>
      <c r="G64" s="80"/>
    </row>
    <row r="65" spans="1:11" ht="13" x14ac:dyDescent="0.3">
      <c r="A65" s="81" t="s">
        <v>146</v>
      </c>
      <c r="B65" s="477">
        <f>IFERROR(B63+B64,"-")</f>
        <v>0</v>
      </c>
      <c r="C65" s="478" t="s">
        <v>144</v>
      </c>
      <c r="D65" s="82"/>
      <c r="E65" s="82"/>
      <c r="F65" s="82"/>
      <c r="G65" s="83"/>
    </row>
    <row r="66" spans="1:11" ht="13" x14ac:dyDescent="0.3">
      <c r="A66" s="81" t="s">
        <v>147</v>
      </c>
      <c r="B66" s="477">
        <f>IFERROR(Calc1!B6,"-")</f>
        <v>0</v>
      </c>
      <c r="C66" s="478" t="s">
        <v>148</v>
      </c>
      <c r="D66" s="82"/>
      <c r="E66" s="82"/>
      <c r="F66" s="82"/>
      <c r="G66" s="83"/>
    </row>
    <row r="67" spans="1:11" x14ac:dyDescent="0.25">
      <c r="A67" s="78" t="s">
        <v>149</v>
      </c>
      <c r="B67" s="479">
        <f>IFERROR(Calc1!D170,"-")</f>
        <v>0</v>
      </c>
      <c r="C67" s="473" t="s">
        <v>150</v>
      </c>
      <c r="D67" s="79"/>
      <c r="E67" s="79"/>
      <c r="F67" s="79"/>
      <c r="G67" s="80"/>
    </row>
    <row r="68" spans="1:11" x14ac:dyDescent="0.25">
      <c r="A68" s="78"/>
      <c r="B68" s="474">
        <f>IFERROR(Calc1!B167,"-")</f>
        <v>0</v>
      </c>
      <c r="C68" s="473" t="s">
        <v>151</v>
      </c>
      <c r="D68" s="79"/>
      <c r="E68" s="79"/>
      <c r="F68" s="79"/>
      <c r="G68" s="80"/>
    </row>
    <row r="69" spans="1:11" ht="13.5" thickBot="1" x14ac:dyDescent="0.35">
      <c r="A69" s="134"/>
      <c r="B69" s="480">
        <f>IFERROR(B67+B68,"-")</f>
        <v>0</v>
      </c>
      <c r="C69" s="481" t="s">
        <v>152</v>
      </c>
      <c r="D69" s="135"/>
      <c r="E69" s="135"/>
      <c r="F69" s="135"/>
      <c r="G69" s="136"/>
    </row>
    <row r="70" spans="1:11" s="336" customFormat="1" ht="18" customHeight="1" thickBot="1" x14ac:dyDescent="0.3">
      <c r="A70" s="345" t="s">
        <v>153</v>
      </c>
      <c r="B70" s="354"/>
      <c r="C70" s="352"/>
    </row>
    <row r="71" spans="1:11" x14ac:dyDescent="0.25">
      <c r="A71" s="84" t="s">
        <v>154</v>
      </c>
      <c r="B71" s="482"/>
      <c r="C71" s="483" t="str">
        <f>IF(stminput1&lt;&gt;0,LOOKUP(stminput1,listd2a,listd2)," ")</f>
        <v xml:space="preserve"> </v>
      </c>
      <c r="D71" s="85"/>
      <c r="E71" s="86"/>
      <c r="F71" s="86"/>
      <c r="G71" s="8"/>
    </row>
    <row r="72" spans="1:11" x14ac:dyDescent="0.25">
      <c r="A72" s="87" t="s">
        <v>155</v>
      </c>
      <c r="B72" s="484" t="str">
        <f>IFERROR(IF(stminput1&lt;&gt;0,Calc1!B182," "),"-")</f>
        <v xml:space="preserve"> </v>
      </c>
      <c r="C72" s="485" t="str">
        <f>IF(stminput1&lt;&gt;0,"lb/MMBtu NOx","There is no displaced thermal production")</f>
        <v>There is no displaced thermal production</v>
      </c>
      <c r="D72" s="88"/>
      <c r="E72" s="89"/>
      <c r="F72" s="89"/>
      <c r="G72" s="9"/>
    </row>
    <row r="73" spans="1:11" ht="13" thickBot="1" x14ac:dyDescent="0.3">
      <c r="A73" s="90"/>
      <c r="B73" s="486" t="str">
        <f>IFERROR(IF(stminput1&lt;&gt;0,Calc1!B174," "),"-")</f>
        <v xml:space="preserve"> </v>
      </c>
      <c r="C73" s="487" t="str">
        <f>IF(stminput1&lt;&gt;0,"sulfur content"," ")</f>
        <v xml:space="preserve"> </v>
      </c>
      <c r="D73" s="92"/>
      <c r="E73" s="92"/>
      <c r="F73" s="92"/>
      <c r="G73" s="10"/>
    </row>
    <row r="74" spans="1:11" ht="25" x14ac:dyDescent="0.25">
      <c r="A74" s="84" t="s">
        <v>156</v>
      </c>
      <c r="B74" s="488" t="str">
        <f>IF(coolinput1=1,Calc1!B127*1000000/12000," ")</f>
        <v xml:space="preserve"> </v>
      </c>
      <c r="C74" s="483" t="str">
        <f>IF(coolinput1=1,"tons of cooling capacity from CHP system","")</f>
        <v/>
      </c>
      <c r="D74" s="85"/>
      <c r="E74" s="86"/>
      <c r="F74" s="86"/>
      <c r="G74" s="8"/>
    </row>
    <row r="75" spans="1:11" x14ac:dyDescent="0.25">
      <c r="A75" s="93" t="str">
        <f>IF(coolinput1=1,"CHP:"," ")</f>
        <v xml:space="preserve"> </v>
      </c>
      <c r="B75" s="489" t="str">
        <f>IF(coolinput1=1,Calc1!C118,"There is no displaced cooling service")</f>
        <v>There is no displaced cooling service</v>
      </c>
      <c r="C75" s="485"/>
      <c r="D75" s="88"/>
      <c r="E75" s="89"/>
      <c r="F75" s="89"/>
      <c r="G75" s="9"/>
    </row>
    <row r="76" spans="1:11" x14ac:dyDescent="0.25">
      <c r="A76" s="93" t="str">
        <f>IF(coolinput1=1,"Replaces:"," ")</f>
        <v xml:space="preserve"> </v>
      </c>
      <c r="B76" s="489" t="str">
        <f>IF(coolinput1=1,IF(cooldisp1&lt;10,Calc1!C134,"User Defined ")," ")</f>
        <v xml:space="preserve"> </v>
      </c>
      <c r="C76" s="485"/>
      <c r="D76" s="88"/>
      <c r="E76" s="89"/>
      <c r="F76" s="89"/>
      <c r="G76" s="9"/>
      <c r="I76" s="140"/>
      <c r="J76" s="140"/>
      <c r="K76" s="140"/>
    </row>
    <row r="77" spans="1:11" ht="13" thickBot="1" x14ac:dyDescent="0.3">
      <c r="A77" s="133"/>
      <c r="B77" s="490" t="str">
        <f>IF(coolinput1=1,Calc1!B135," ")</f>
        <v xml:space="preserve"> </v>
      </c>
      <c r="C77" s="491" t="str">
        <f>IF(coolinput1=1,"COP"," ")</f>
        <v xml:space="preserve"> </v>
      </c>
      <c r="D77" s="92"/>
      <c r="E77" s="91"/>
      <c r="F77" s="91"/>
      <c r="G77" s="10"/>
    </row>
    <row r="78" spans="1:11" s="336" customFormat="1" ht="18" customHeight="1" thickBot="1" x14ac:dyDescent="0.3">
      <c r="A78" s="345" t="s">
        <v>157</v>
      </c>
      <c r="B78" s="355"/>
      <c r="C78" s="356"/>
      <c r="E78" s="357"/>
      <c r="F78" s="357"/>
    </row>
    <row r="79" spans="1:11" x14ac:dyDescent="0.25">
      <c r="A79" s="55" t="s">
        <v>158</v>
      </c>
      <c r="B79" s="492" t="str">
        <f>LOOKUP(deinput,listb5a,listb5)</f>
        <v>AVERT Uniform EE Factors (2022 Data)</v>
      </c>
      <c r="C79" s="492"/>
      <c r="D79" s="15"/>
      <c r="E79" s="15"/>
      <c r="F79" s="15"/>
      <c r="G79" s="61"/>
    </row>
    <row r="80" spans="1:11" x14ac:dyDescent="0.25">
      <c r="A80" s="56"/>
      <c r="B80" s="493"/>
      <c r="C80" s="494"/>
      <c r="D80" s="16"/>
      <c r="E80" s="16"/>
      <c r="F80" s="16"/>
      <c r="G80" s="62"/>
    </row>
    <row r="81" spans="1:9" x14ac:dyDescent="0.25">
      <c r="A81" s="451" t="str">
        <f>IF(deinput=14,"AVERT Region:","eGRID/NERC Region:")</f>
        <v>eGRID/NERC Region:</v>
      </c>
      <c r="B81" s="495" t="str">
        <f ca="1">IFERROR(IF(deinput&lt;8,LOOKUP(deinput2,list6a,listb6),"N/A"),"-")</f>
        <v>AVERT - National Average</v>
      </c>
      <c r="C81" s="494"/>
      <c r="D81" s="16"/>
      <c r="E81" s="16"/>
      <c r="F81" s="16"/>
      <c r="G81" s="62"/>
    </row>
    <row r="82" spans="1:9" x14ac:dyDescent="0.25">
      <c r="A82" s="57" t="s">
        <v>159</v>
      </c>
      <c r="B82" s="496">
        <f>IFERROR(lossinput,"-")</f>
        <v>0</v>
      </c>
      <c r="C82" s="497" t="str">
        <f>IF(deinput=14,"Grid losses already built in to AVERT emission factors and heat rate","")</f>
        <v/>
      </c>
      <c r="D82" s="58"/>
      <c r="E82" s="58"/>
      <c r="F82" s="58"/>
      <c r="G82" s="63"/>
      <c r="I82" s="194" t="s">
        <v>160</v>
      </c>
    </row>
    <row r="83" spans="1:9" x14ac:dyDescent="0.25">
      <c r="A83" s="56" t="s">
        <v>161</v>
      </c>
      <c r="B83" s="498">
        <f>IFERROR(Calc1!B6,"-")</f>
        <v>0</v>
      </c>
      <c r="C83" s="494" t="s">
        <v>162</v>
      </c>
      <c r="D83" s="16"/>
      <c r="E83" s="16"/>
      <c r="F83" s="16"/>
      <c r="G83" s="62"/>
    </row>
    <row r="84" spans="1:9" x14ac:dyDescent="0.25">
      <c r="A84" s="56"/>
      <c r="B84" s="499">
        <f>IFERROR(Calc1!B150*chpnumunits,"-")</f>
        <v>0</v>
      </c>
      <c r="C84" s="494" t="s">
        <v>163</v>
      </c>
      <c r="D84" s="16"/>
      <c r="E84" s="16"/>
      <c r="F84" s="16"/>
      <c r="G84" s="62"/>
    </row>
    <row r="85" spans="1:9" x14ac:dyDescent="0.25">
      <c r="A85" s="56"/>
      <c r="B85" s="499">
        <f>IFERROR(IF(stminput1=9,Calc1!B151*chpnumunits,0),"-")</f>
        <v>0</v>
      </c>
      <c r="C85" s="494" t="s">
        <v>164</v>
      </c>
      <c r="D85" s="16"/>
      <c r="E85" s="16"/>
      <c r="F85" s="16"/>
      <c r="G85" s="62"/>
    </row>
    <row r="86" spans="1:9" x14ac:dyDescent="0.25">
      <c r="A86" s="56"/>
      <c r="B86" s="500">
        <f>IFERROR((B83+B84+B85)/(1-lossinput)-(B83+B84+B85),"-")</f>
        <v>0</v>
      </c>
      <c r="C86" s="494" t="s">
        <v>165</v>
      </c>
      <c r="D86" s="16"/>
      <c r="E86" s="16"/>
      <c r="F86" s="16"/>
      <c r="G86" s="62"/>
    </row>
    <row r="87" spans="1:9" s="40" customFormat="1" ht="13.5" thickBot="1" x14ac:dyDescent="0.3">
      <c r="A87" s="59"/>
      <c r="B87" s="501">
        <f>IFERROR(B83+B84+B85+B86,"-")</f>
        <v>0</v>
      </c>
      <c r="C87" s="502" t="s">
        <v>166</v>
      </c>
      <c r="D87" s="60"/>
      <c r="E87" s="60"/>
      <c r="F87" s="60"/>
      <c r="G87" s="64"/>
    </row>
    <row r="88" spans="1:9" ht="15.5" x14ac:dyDescent="0.35">
      <c r="A88" s="919"/>
      <c r="B88" s="919"/>
      <c r="C88" s="919"/>
      <c r="D88" s="919"/>
      <c r="E88" s="919"/>
      <c r="F88" s="920"/>
    </row>
    <row r="89" spans="1:9" ht="26.25" customHeight="1" x14ac:dyDescent="0.25">
      <c r="A89" s="917" t="s">
        <v>112</v>
      </c>
      <c r="B89" s="917"/>
      <c r="C89" s="917"/>
      <c r="D89" s="917"/>
      <c r="E89" s="917"/>
      <c r="F89" s="918"/>
    </row>
    <row r="90" spans="1:9" s="336" customFormat="1" ht="18" hidden="1" customHeight="1" thickBot="1" x14ac:dyDescent="0.3">
      <c r="A90" s="345" t="s">
        <v>167</v>
      </c>
      <c r="B90" s="349"/>
      <c r="C90" s="349"/>
      <c r="D90" s="349"/>
      <c r="E90" s="349"/>
      <c r="F90" s="350"/>
    </row>
    <row r="91" spans="1:9" ht="42" hidden="1" customHeight="1" x14ac:dyDescent="0.25">
      <c r="A91" s="94"/>
      <c r="B91" s="228" t="str">
        <f>IFERROR(CONCATENATE("CHP System: ",CHPname),"")</f>
        <v/>
      </c>
      <c r="C91" s="228" t="str">
        <f>"Duct Burners (if applicable)"</f>
        <v>Duct Burners (if applicable)</v>
      </c>
      <c r="D91" s="229" t="s">
        <v>168</v>
      </c>
    </row>
    <row r="92" spans="1:9" ht="15" hidden="1" customHeight="1" x14ac:dyDescent="0.4">
      <c r="A92" s="743" t="s">
        <v>124</v>
      </c>
      <c r="B92" s="503">
        <f>IFERROR(Calc1!B17,"-")</f>
        <v>0</v>
      </c>
      <c r="C92" s="503" t="str">
        <f>IF(Calc1!B22=0,"-",IFERROR(Calc1!B22,"-"))</f>
        <v>-</v>
      </c>
      <c r="D92" s="504" t="str">
        <f>IF(SUM(B92,C92)=0,"-",IFERROR(SUM(B92,C92),"-"))</f>
        <v>-</v>
      </c>
    </row>
    <row r="93" spans="1:9" ht="15" hidden="1" customHeight="1" x14ac:dyDescent="0.4">
      <c r="A93" s="743" t="s">
        <v>125</v>
      </c>
      <c r="B93" s="503">
        <f>IFERROR(Calc1!B18,"-")</f>
        <v>0</v>
      </c>
      <c r="C93" s="503" t="str">
        <f>IFERROR(Calc1!B23,"-")</f>
        <v>-</v>
      </c>
      <c r="D93" s="504" t="str">
        <f t="shared" ref="D93:D99" si="2">IFERROR(B93+C93,"-")</f>
        <v>-</v>
      </c>
    </row>
    <row r="94" spans="1:9" ht="15" hidden="1" customHeight="1" x14ac:dyDescent="0.4">
      <c r="A94" s="743" t="s">
        <v>126</v>
      </c>
      <c r="B94" s="505">
        <f>IFERROR(Calc1!B19,"-")</f>
        <v>0</v>
      </c>
      <c r="C94" s="505" t="str">
        <f>IFERROR(Calc1!B24,"-")</f>
        <v>-</v>
      </c>
      <c r="D94" s="506" t="str">
        <f t="shared" si="2"/>
        <v>-</v>
      </c>
    </row>
    <row r="95" spans="1:9" ht="15" hidden="1" customHeight="1" x14ac:dyDescent="0.4">
      <c r="A95" s="743" t="s">
        <v>127</v>
      </c>
      <c r="B95" s="503" t="str">
        <f>IFERROR(Calc1!F17,"-")</f>
        <v>-</v>
      </c>
      <c r="C95" s="503">
        <f>IFERROR(Calc1!F22,"-")</f>
        <v>0</v>
      </c>
      <c r="D95" s="504" t="str">
        <f t="shared" si="2"/>
        <v>-</v>
      </c>
    </row>
    <row r="96" spans="1:9" ht="15" hidden="1" customHeight="1" x14ac:dyDescent="0.4">
      <c r="A96" s="743" t="s">
        <v>128</v>
      </c>
      <c r="B96" s="503" t="str">
        <f>IFERROR(Calc1!F18,"-")</f>
        <v>-</v>
      </c>
      <c r="C96" s="503">
        <f>IFERROR(Calc1!F23,"-")</f>
        <v>0</v>
      </c>
      <c r="D96" s="504" t="str">
        <f t="shared" si="2"/>
        <v>-</v>
      </c>
    </row>
    <row r="97" spans="1:5" ht="15" hidden="1" customHeight="1" x14ac:dyDescent="0.4">
      <c r="A97" s="743" t="s">
        <v>129</v>
      </c>
      <c r="B97" s="505" t="str">
        <f>IFERROR(B94+(B95*ch4GWP)+(B96*n2oGWP),"-")</f>
        <v>-</v>
      </c>
      <c r="C97" s="505" t="str">
        <f>IFERROR(C94+(C95*ch4GWP)+(C96*n2oGWP),"-")</f>
        <v>-</v>
      </c>
      <c r="D97" s="506" t="str">
        <f t="shared" si="2"/>
        <v>-</v>
      </c>
    </row>
    <row r="98" spans="1:5" ht="15" hidden="1" customHeight="1" x14ac:dyDescent="0.25">
      <c r="A98" s="95" t="s">
        <v>130</v>
      </c>
      <c r="B98" s="505">
        <f>B94*CO2tocarbon*tonnes</f>
        <v>0</v>
      </c>
      <c r="C98" s="505" t="str">
        <f>IFERROR(C94*CO2tocarbon*tonnes,"-")</f>
        <v>-</v>
      </c>
      <c r="D98" s="506" t="str">
        <f t="shared" si="2"/>
        <v>-</v>
      </c>
    </row>
    <row r="99" spans="1:5" ht="15" hidden="1" customHeight="1" thickBot="1" x14ac:dyDescent="0.3">
      <c r="A99" s="96" t="s">
        <v>119</v>
      </c>
      <c r="B99" s="507">
        <f>IFERROR(B63,"-")</f>
        <v>0</v>
      </c>
      <c r="C99" s="507">
        <f>IFERROR(B64,"-")</f>
        <v>0</v>
      </c>
      <c r="D99" s="508">
        <f t="shared" si="2"/>
        <v>0</v>
      </c>
    </row>
    <row r="100" spans="1:5" ht="15" hidden="1" customHeight="1" x14ac:dyDescent="0.25">
      <c r="B100" s="33"/>
      <c r="C100" s="33"/>
      <c r="E100" s="33"/>
    </row>
    <row r="101" spans="1:5" s="336" customFormat="1" ht="18" hidden="1" customHeight="1" thickBot="1" x14ac:dyDescent="0.3">
      <c r="A101" s="352" t="s">
        <v>169</v>
      </c>
    </row>
    <row r="102" spans="1:5" ht="56.15" hidden="1" customHeight="1" x14ac:dyDescent="0.25">
      <c r="A102" s="346"/>
      <c r="B102" s="230" t="s">
        <v>170</v>
      </c>
    </row>
    <row r="103" spans="1:5" ht="15" hidden="1" customHeight="1" x14ac:dyDescent="0.4">
      <c r="A103" s="744" t="s">
        <v>124</v>
      </c>
      <c r="B103" s="509">
        <f>IFERROR(Calc1!D12,"-")</f>
        <v>0</v>
      </c>
    </row>
    <row r="104" spans="1:5" ht="15" hidden="1" customHeight="1" x14ac:dyDescent="0.4">
      <c r="A104" s="744" t="s">
        <v>125</v>
      </c>
      <c r="B104" s="509">
        <f>IFERROR(Calc1!D13,"-")</f>
        <v>0</v>
      </c>
    </row>
    <row r="105" spans="1:5" ht="15" hidden="1" customHeight="1" x14ac:dyDescent="0.4">
      <c r="A105" s="744" t="s">
        <v>126</v>
      </c>
      <c r="B105" s="510">
        <f>IFERROR(Calc1!D14,"-")</f>
        <v>0</v>
      </c>
    </row>
    <row r="106" spans="1:5" ht="15" hidden="1" customHeight="1" x14ac:dyDescent="0.4">
      <c r="A106" s="744" t="s">
        <v>127</v>
      </c>
      <c r="B106" s="509">
        <f>IFERROR(Calc1!E183,"-")</f>
        <v>0</v>
      </c>
    </row>
    <row r="107" spans="1:5" ht="15" hidden="1" customHeight="1" x14ac:dyDescent="0.4">
      <c r="A107" s="744" t="s">
        <v>128</v>
      </c>
      <c r="B107" s="509">
        <f>IFERROR(Calc1!E185,"-")</f>
        <v>0</v>
      </c>
    </row>
    <row r="108" spans="1:5" ht="15" hidden="1" customHeight="1" x14ac:dyDescent="0.4">
      <c r="A108" s="744" t="s">
        <v>129</v>
      </c>
      <c r="B108" s="510">
        <f>IFERROR(B105+(B106*ch4GWP)+(B107*n2oGWP),"-")</f>
        <v>0</v>
      </c>
    </row>
    <row r="109" spans="1:5" ht="15" hidden="1" customHeight="1" x14ac:dyDescent="0.25">
      <c r="A109" s="97" t="s">
        <v>130</v>
      </c>
      <c r="B109" s="510">
        <f>IFERROR(B105*CO2tocarbon*tonnes,"-")</f>
        <v>0</v>
      </c>
    </row>
    <row r="110" spans="1:5" ht="15" hidden="1" customHeight="1" thickBot="1" x14ac:dyDescent="0.3">
      <c r="A110" s="98" t="s">
        <v>119</v>
      </c>
      <c r="B110" s="511">
        <f>IFERROR(IF(stminput1=9,0,dsbtu),"-")</f>
        <v>0</v>
      </c>
    </row>
    <row r="111" spans="1:5" ht="16.5" hidden="1" customHeight="1" x14ac:dyDescent="0.25">
      <c r="E111" s="33"/>
    </row>
    <row r="112" spans="1:5" s="336" customFormat="1" ht="18" hidden="1" customHeight="1" thickBot="1" x14ac:dyDescent="0.3">
      <c r="A112" s="352" t="s">
        <v>171</v>
      </c>
    </row>
    <row r="113" spans="1:6" s="336" customFormat="1" ht="55.4" hidden="1" customHeight="1" x14ac:dyDescent="0.25">
      <c r="A113" s="347"/>
      <c r="B113" s="231" t="s">
        <v>172</v>
      </c>
      <c r="C113" s="231" t="s">
        <v>173</v>
      </c>
      <c r="D113" s="232" t="s">
        <v>174</v>
      </c>
      <c r="E113" s="232" t="s">
        <v>175</v>
      </c>
      <c r="F113" s="233" t="s">
        <v>176</v>
      </c>
    </row>
    <row r="114" spans="1:6" ht="15" hidden="1" customHeight="1" x14ac:dyDescent="0.4">
      <c r="A114" s="745" t="s">
        <v>124</v>
      </c>
      <c r="B114" s="746">
        <f>IFERROR((denoxrate/2000)*B83,"-")</f>
        <v>0</v>
      </c>
      <c r="C114" s="512">
        <f>IFERROR((denoxrate/2000)*B84,"-")</f>
        <v>0</v>
      </c>
      <c r="D114" s="512">
        <f>IFERROR((denoxrate/2000)*B85,"-")</f>
        <v>0</v>
      </c>
      <c r="E114" s="513">
        <f>IFERROR((denoxrate/2000)*B86,"-")</f>
        <v>0</v>
      </c>
      <c r="F114" s="514">
        <f>IFERROR(SUM(B114:E114),"-")</f>
        <v>0</v>
      </c>
    </row>
    <row r="115" spans="1:6" ht="15" hidden="1" customHeight="1" x14ac:dyDescent="0.4">
      <c r="A115" s="745" t="s">
        <v>125</v>
      </c>
      <c r="B115" s="512">
        <f>IFERROR((deso2rate/2000)*B83,"-")</f>
        <v>0</v>
      </c>
      <c r="C115" s="512">
        <f>IFERROR((deso2rate/2000)*B84,"-")</f>
        <v>0</v>
      </c>
      <c r="D115" s="512">
        <f>IFERROR((deso2rate/2000)*B85,"-")</f>
        <v>0</v>
      </c>
      <c r="E115" s="513">
        <f>IFERROR((deso2rate/2000)*B86,"-")</f>
        <v>0</v>
      </c>
      <c r="F115" s="514">
        <f t="shared" ref="F115:F121" si="3">IFERROR(SUM(B115:E115),"-")</f>
        <v>0</v>
      </c>
    </row>
    <row r="116" spans="1:6" ht="15" hidden="1" customHeight="1" x14ac:dyDescent="0.4">
      <c r="A116" s="745" t="s">
        <v>126</v>
      </c>
      <c r="B116" s="515">
        <f>IFERROR((deco2rate/2000)*B83,"-")</f>
        <v>0</v>
      </c>
      <c r="C116" s="512">
        <f>IFERROR((deco2rate/2000)*B84,"-")</f>
        <v>0</v>
      </c>
      <c r="D116" s="512">
        <f>IFERROR((deco2rate/2000)*B85,"-")</f>
        <v>0</v>
      </c>
      <c r="E116" s="513">
        <f>IFERROR((deco2rate/2000)*B86,"-")</f>
        <v>0</v>
      </c>
      <c r="F116" s="516">
        <f t="shared" si="3"/>
        <v>0</v>
      </c>
    </row>
    <row r="117" spans="1:6" ht="15" hidden="1" customHeight="1" x14ac:dyDescent="0.4">
      <c r="A117" s="745" t="s">
        <v>127</v>
      </c>
      <c r="B117" s="517">
        <f>IFERROR((dech4rate/2000)*B83,"-")</f>
        <v>0</v>
      </c>
      <c r="C117" s="512">
        <f>IFERROR((dech4rate/2000)*B84,"-")</f>
        <v>0</v>
      </c>
      <c r="D117" s="512">
        <f>IFERROR((dech4rate/2000)*B85,"-")</f>
        <v>0</v>
      </c>
      <c r="E117" s="517">
        <f>IFERROR((dech4rate/2000)*B86,"-")</f>
        <v>0</v>
      </c>
      <c r="F117" s="518">
        <f>IFERROR(SUM(B117:E117),"-")</f>
        <v>0</v>
      </c>
    </row>
    <row r="118" spans="1:6" ht="15" hidden="1" customHeight="1" x14ac:dyDescent="0.4">
      <c r="A118" s="745" t="s">
        <v>128</v>
      </c>
      <c r="B118" s="517">
        <f>IFERROR((den2orate/2000)*B83,"-")</f>
        <v>0</v>
      </c>
      <c r="C118" s="512">
        <f>IFERROR((den2orate/2000)*B84,"-")</f>
        <v>0</v>
      </c>
      <c r="D118" s="512">
        <f>IFERROR((den2orate/2000)*B85,"-")</f>
        <v>0</v>
      </c>
      <c r="E118" s="517">
        <f>IFERROR((den2orate/2000)*B86,"-")</f>
        <v>0</v>
      </c>
      <c r="F118" s="518">
        <f t="shared" si="3"/>
        <v>0</v>
      </c>
    </row>
    <row r="119" spans="1:6" ht="15" hidden="1" customHeight="1" x14ac:dyDescent="0.4">
      <c r="A119" s="745" t="s">
        <v>129</v>
      </c>
      <c r="B119" s="515">
        <f>IFERROR(B116+(B117*ch4GWP)+(B118*n2oGWP),"-")</f>
        <v>0</v>
      </c>
      <c r="C119" s="515">
        <f>IFERROR(C116+(C117*ch4GWP)+(C118*n2oGWP),"-")</f>
        <v>0</v>
      </c>
      <c r="D119" s="515">
        <f>IFERROR(D116+(D117*ch4GWP)+(D118*n2oGWP),"-")</f>
        <v>0</v>
      </c>
      <c r="E119" s="515">
        <f>IFERROR(E116+(E117*ch4GWP)+(E118*n2oGWP),"-")</f>
        <v>0</v>
      </c>
      <c r="F119" s="519">
        <f t="shared" si="3"/>
        <v>0</v>
      </c>
    </row>
    <row r="120" spans="1:6" ht="15" hidden="1" customHeight="1" x14ac:dyDescent="0.25">
      <c r="A120" s="65" t="s">
        <v>130</v>
      </c>
      <c r="B120" s="515">
        <f>IFERROR(B116*CO2tocarbon*tonnes,"-")</f>
        <v>0</v>
      </c>
      <c r="C120" s="515">
        <f>IFERROR(C116*CO2tocarbon*tonnes,"-")</f>
        <v>0</v>
      </c>
      <c r="D120" s="515">
        <f>IFERROR(D116*CO2tocarbon*tonnes,"-")</f>
        <v>0</v>
      </c>
      <c r="E120" s="520">
        <f>IFERROR(E116*CO2tocarbon*tonnes,"-")</f>
        <v>0</v>
      </c>
      <c r="F120" s="516">
        <f t="shared" si="3"/>
        <v>0</v>
      </c>
    </row>
    <row r="121" spans="1:6" ht="15" hidden="1" customHeight="1" thickBot="1" x14ac:dyDescent="0.3">
      <c r="A121" s="66" t="s">
        <v>119</v>
      </c>
      <c r="B121" s="521">
        <f>IFERROR((deheatrate/1000)*B83,"-")</f>
        <v>0</v>
      </c>
      <c r="C121" s="521">
        <f>IFERROR((deheatrate/1000)*B84,"-")</f>
        <v>0</v>
      </c>
      <c r="D121" s="521">
        <f>IFERROR((deheatrate/1000)*B85,"-")</f>
        <v>0</v>
      </c>
      <c r="E121" s="522">
        <f>IFERROR((deheatrate/1000)*B86,"-")</f>
        <v>0</v>
      </c>
      <c r="F121" s="523">
        <f t="shared" si="3"/>
        <v>0</v>
      </c>
    </row>
    <row r="122" spans="1:6" hidden="1" x14ac:dyDescent="0.25"/>
    <row r="123" spans="1:6" s="338" customFormat="1" ht="18" hidden="1" customHeight="1" thickBot="1" x14ac:dyDescent="0.3">
      <c r="A123" s="345" t="s">
        <v>177</v>
      </c>
      <c r="B123" s="345"/>
      <c r="C123" s="345"/>
      <c r="D123" s="345"/>
      <c r="E123" s="345"/>
      <c r="F123" s="345"/>
    </row>
    <row r="124" spans="1:6" ht="42" hidden="1" customHeight="1" x14ac:dyDescent="0.25">
      <c r="A124" s="42"/>
      <c r="B124" s="43" t="s">
        <v>178</v>
      </c>
      <c r="C124" s="43" t="str">
        <f>IFERROR(CONCATENATE(CHPname," Alone"),"")</f>
        <v/>
      </c>
      <c r="D124" s="348" t="s">
        <v>115</v>
      </c>
    </row>
    <row r="125" spans="1:6" hidden="1" x14ac:dyDescent="0.25">
      <c r="A125" s="23" t="s">
        <v>179</v>
      </c>
      <c r="B125" s="465" t="str">
        <f>IFERROR(D92*2000/B$66,"-")</f>
        <v>-</v>
      </c>
      <c r="C125" s="465" t="str">
        <f>IFERROR(B92*2000/B$66,"-")</f>
        <v>-</v>
      </c>
      <c r="D125" s="524">
        <f>IFERROR(denoxrate,"-")</f>
        <v>0.7</v>
      </c>
    </row>
    <row r="126" spans="1:6" hidden="1" x14ac:dyDescent="0.25">
      <c r="A126" s="23" t="s">
        <v>180</v>
      </c>
      <c r="B126" s="465" t="str">
        <f>IFERROR(D93*2000/B$66,"-")</f>
        <v>-</v>
      </c>
      <c r="C126" s="465" t="str">
        <f>IFERROR(B93*2000/B$66,"-")</f>
        <v>-</v>
      </c>
      <c r="D126" s="524">
        <f>IFERROR(deso2rate,"-")</f>
        <v>0.67</v>
      </c>
    </row>
    <row r="127" spans="1:6" ht="13" hidden="1" thickBot="1" x14ac:dyDescent="0.3">
      <c r="A127" s="41" t="s">
        <v>181</v>
      </c>
      <c r="B127" s="525" t="str">
        <f>IFERROR(D94*2000/B$66,"-")</f>
        <v>-</v>
      </c>
      <c r="C127" s="525" t="str">
        <f>IFERROR(B94*2000/B$66,"-")</f>
        <v>-</v>
      </c>
      <c r="D127" s="526">
        <f>IFERROR(deco2rate,"-")</f>
        <v>1438</v>
      </c>
    </row>
    <row r="128" spans="1:6" hidden="1" x14ac:dyDescent="0.25">
      <c r="B128" s="33"/>
      <c r="C128" s="33"/>
      <c r="D128" s="33"/>
    </row>
    <row r="129" spans="1:8" s="336" customFormat="1" ht="18" hidden="1" customHeight="1" thickBot="1" x14ac:dyDescent="0.3">
      <c r="A129" s="352" t="s">
        <v>182</v>
      </c>
    </row>
    <row r="130" spans="1:8" ht="42" hidden="1" customHeight="1" x14ac:dyDescent="0.25">
      <c r="A130" s="42"/>
      <c r="B130" s="44" t="s">
        <v>116</v>
      </c>
    </row>
    <row r="131" spans="1:8" hidden="1" x14ac:dyDescent="0.25">
      <c r="A131" s="23" t="s">
        <v>183</v>
      </c>
      <c r="B131" s="524">
        <f>IFERROR(IF(dsbtu&gt;0,dsnoxtons*2000/dsbtu,0),"-")</f>
        <v>0</v>
      </c>
    </row>
    <row r="132" spans="1:8" hidden="1" x14ac:dyDescent="0.25">
      <c r="A132" s="23" t="s">
        <v>184</v>
      </c>
      <c r="B132" s="527">
        <f>IFERROR(IF(dsbtu&gt;0,dsso2tons*2000/dsbtu,0),"-")</f>
        <v>0</v>
      </c>
    </row>
    <row r="133" spans="1:8" ht="13" hidden="1" thickBot="1" x14ac:dyDescent="0.3">
      <c r="A133" s="41" t="s">
        <v>185</v>
      </c>
      <c r="B133" s="528">
        <f>IFERROR(IF(dsbtu&gt;0,dsco2tons*2000/dsbtu,0),"-")</f>
        <v>0</v>
      </c>
    </row>
    <row r="134" spans="1:8" hidden="1" x14ac:dyDescent="0.25">
      <c r="B134" s="452"/>
    </row>
    <row r="135" spans="1:8" ht="24" hidden="1" customHeight="1" x14ac:dyDescent="0.25">
      <c r="A135" s="917" t="s">
        <v>112</v>
      </c>
      <c r="B135" s="917"/>
      <c r="C135" s="917"/>
      <c r="D135" s="917"/>
      <c r="E135" s="917"/>
      <c r="F135" s="918"/>
    </row>
    <row r="136" spans="1:8" ht="24" customHeight="1" x14ac:dyDescent="0.25">
      <c r="A136" s="529" t="s">
        <v>186</v>
      </c>
      <c r="B136" s="530"/>
      <c r="C136" s="530"/>
      <c r="D136" s="531" t="s">
        <v>187</v>
      </c>
      <c r="E136" s="530"/>
      <c r="F136" s="532"/>
      <c r="G136" s="533"/>
      <c r="H136" s="533"/>
    </row>
    <row r="137" spans="1:8" ht="18" hidden="1" customHeight="1" x14ac:dyDescent="0.3">
      <c r="A137" s="534" t="s">
        <v>188</v>
      </c>
      <c r="B137" s="533"/>
      <c r="C137" s="533"/>
      <c r="D137" s="533"/>
      <c r="E137" s="535" t="s">
        <v>189</v>
      </c>
      <c r="F137" s="533"/>
      <c r="G137" s="533"/>
      <c r="H137" s="533"/>
    </row>
    <row r="138" spans="1:8" ht="13.4" hidden="1" customHeight="1" x14ac:dyDescent="0.3">
      <c r="A138" s="536" t="str">
        <f>CONCATENATE("                                   ",TEXT(ROUND(B103+F114,2),"#,###.##")," tons of NOx")</f>
        <v xml:space="preserve">                                   . tons of NOx</v>
      </c>
      <c r="B138" s="533"/>
      <c r="C138" s="533"/>
      <c r="D138" s="533"/>
      <c r="E138" s="536" t="e">
        <f>CONCATENATE("     ",TEXT(ROUND(D92,2),"#,###.##")," tons of NOx")</f>
        <v>#VALUE!</v>
      </c>
      <c r="F138" s="533"/>
      <c r="G138" s="533"/>
      <c r="H138" s="533"/>
    </row>
    <row r="139" spans="1:8" ht="13.4" hidden="1" customHeight="1" x14ac:dyDescent="0.3">
      <c r="A139" s="536" t="str">
        <f>CONCATENATE("                                   ",TEXT(ROUND(B104+F115,2),"#,###.##")," tons of SO2")</f>
        <v xml:space="preserve">                                   . tons of SO2</v>
      </c>
      <c r="B139" s="533"/>
      <c r="C139" s="533"/>
      <c r="D139" s="533"/>
      <c r="E139" s="536" t="str">
        <f>IFERROR(CONCATENATE("    ",TEXT(ROUND(D93,2),"#,###.##")," tons of SO2"),"")</f>
        <v/>
      </c>
      <c r="F139" s="533"/>
      <c r="G139" s="533"/>
      <c r="H139" s="533"/>
    </row>
    <row r="140" spans="1:8" ht="13.4" hidden="1" customHeight="1" x14ac:dyDescent="0.3">
      <c r="A140" s="536" t="str">
        <f>CONCATENATE("                                 ",TEXT(ROUND(B108+F119,0),"#,###")," tons of CO2e")</f>
        <v xml:space="preserve">                                  tons of CO2e</v>
      </c>
      <c r="B140" s="533"/>
      <c r="C140" s="533"/>
      <c r="D140" s="533"/>
      <c r="E140" s="536" t="str">
        <f>IFERROR(CONCATENATE(TEXT(ROUND(D97,0),"    #,###")," tons of CO2e"),"")</f>
        <v/>
      </c>
      <c r="F140" s="533"/>
      <c r="G140" s="533"/>
      <c r="H140" s="533"/>
    </row>
    <row r="141" spans="1:8" ht="13.4" hidden="1" customHeight="1" x14ac:dyDescent="0.25">
      <c r="A141" s="533"/>
      <c r="B141" s="533"/>
      <c r="C141" s="533"/>
      <c r="D141" s="533"/>
      <c r="E141" s="533"/>
      <c r="F141" s="533"/>
      <c r="G141" s="533"/>
      <c r="H141" s="533"/>
    </row>
    <row r="142" spans="1:8" x14ac:dyDescent="0.25">
      <c r="A142" s="533"/>
      <c r="B142" s="533"/>
      <c r="C142" s="533"/>
      <c r="D142" s="533"/>
      <c r="E142" s="533"/>
      <c r="F142" s="533"/>
      <c r="G142" s="533"/>
      <c r="H142" s="533"/>
    </row>
    <row r="143" spans="1:8" x14ac:dyDescent="0.25">
      <c r="A143" s="533"/>
      <c r="B143" s="537" t="str">
        <f>IFERROR(CONCATENATE(TEXT(ROUND(B83,0),"        #,###")," MWh"),"")</f>
        <v xml:space="preserve">         MWh</v>
      </c>
      <c r="C143" s="533"/>
      <c r="D143" s="533"/>
      <c r="E143" s="533"/>
      <c r="F143" s="537"/>
      <c r="G143" s="533"/>
      <c r="H143" s="533"/>
    </row>
    <row r="144" spans="1:8" x14ac:dyDescent="0.25">
      <c r="A144" s="537" t="str">
        <f>CONCATENATE(TEXT(ROUND(F121,0),"    #,###")," MMBtu")</f>
        <v xml:space="preserve">     MMBtu</v>
      </c>
      <c r="B144" s="538" t="s">
        <v>190</v>
      </c>
      <c r="C144" s="533"/>
      <c r="D144" s="537" t="str">
        <f>IFERROR(CONCATENATE(TEXT(ROUND(D99,0),"#,###")," MMBtu"),"")</f>
        <v xml:space="preserve"> MMBtu</v>
      </c>
      <c r="E144" s="533"/>
      <c r="F144" s="533"/>
      <c r="G144" s="533"/>
      <c r="H144" s="533"/>
    </row>
    <row r="145" spans="1:8" x14ac:dyDescent="0.25">
      <c r="A145" s="538" t="s">
        <v>191</v>
      </c>
      <c r="B145" s="533"/>
      <c r="C145" s="533"/>
      <c r="D145" s="539" t="str">
        <f>CONCATENATE("Fuel Consumption")</f>
        <v>Fuel Consumption</v>
      </c>
      <c r="E145" s="540"/>
      <c r="F145" s="533"/>
      <c r="G145" s="541" t="str">
        <f>IFERROR(CONCATENATE(TEXT(ROUND(B66,0),"#,###")," MWh"),"")</f>
        <v xml:space="preserve"> MWh</v>
      </c>
      <c r="H145" s="533"/>
    </row>
    <row r="146" spans="1:8" x14ac:dyDescent="0.25">
      <c r="A146" s="542" t="s">
        <v>192</v>
      </c>
      <c r="B146" s="541" t="str">
        <f>IF(B84&gt;0,CONCATENATE(TEXT(ROUND(B84,0),"       #,###")," MWh"),"       No Cooling")</f>
        <v xml:space="preserve">       No Cooling</v>
      </c>
      <c r="C146" s="533"/>
      <c r="D146" s="533"/>
      <c r="E146" s="542" t="s">
        <v>193</v>
      </c>
      <c r="F146" s="533"/>
      <c r="G146" s="537" t="s">
        <v>194</v>
      </c>
      <c r="H146" s="533"/>
    </row>
    <row r="147" spans="1:8" x14ac:dyDescent="0.25">
      <c r="A147" s="542" t="s">
        <v>195</v>
      </c>
      <c r="B147" s="537" t="str">
        <f>IF(B84&gt;0,"       Electricity to Chiller"," ")</f>
        <v xml:space="preserve"> </v>
      </c>
      <c r="C147" s="533"/>
      <c r="D147" s="533"/>
      <c r="E147" s="542" t="s">
        <v>196</v>
      </c>
      <c r="F147" s="533"/>
      <c r="G147" s="533" t="s">
        <v>197</v>
      </c>
      <c r="H147" s="533"/>
    </row>
    <row r="148" spans="1:8" x14ac:dyDescent="0.25">
      <c r="A148" s="533"/>
      <c r="B148" s="533"/>
      <c r="C148" s="533"/>
      <c r="D148" s="533"/>
      <c r="E148" s="533"/>
      <c r="F148" s="533"/>
      <c r="G148" s="533"/>
      <c r="H148" s="533"/>
    </row>
    <row r="149" spans="1:8" x14ac:dyDescent="0.25">
      <c r="A149" s="533"/>
      <c r="B149" s="541" t="str">
        <f>IFERROR(CONCATENATE(TEXT(ROUND(B86,0),"      #,###")," MWh"),"")</f>
        <v xml:space="preserve">       MWh</v>
      </c>
      <c r="C149" s="533"/>
      <c r="D149" s="537"/>
      <c r="E149" s="533"/>
      <c r="F149" s="537"/>
      <c r="G149" s="533"/>
      <c r="H149" s="533"/>
    </row>
    <row r="150" spans="1:8" x14ac:dyDescent="0.25">
      <c r="A150" s="533"/>
      <c r="B150" s="538" t="s">
        <v>198</v>
      </c>
      <c r="C150" s="533"/>
      <c r="D150" s="543"/>
      <c r="E150" s="533"/>
      <c r="F150" s="537"/>
      <c r="G150" s="533"/>
      <c r="H150" s="533"/>
    </row>
    <row r="151" spans="1:8" x14ac:dyDescent="0.25">
      <c r="A151" s="544" t="str">
        <f>IF(AND(OR(chpsulfurinput2=0,ISBLANK(chpsulfurinput)),OR(chpnoxinput1=0,ISBLANK(chpnoxinput1)),OR(chpnoxinput2=0,ISBLANK(chpnoxinput2)),OR(chpnoxinput3=0,ISBLANK(chpnoxinput3)),OR(chpnoxinput4=0,ISBLANK(chpnoxinput4)),OR(stmsulfurinput2=0,ISBLANK(stmsulfurinput2)),OR(stmnoxinput=0,ISBLANK(stmnoxinput))),"                           Power Plant Emissions",CONCATENATE("                            ",TEXT(ROUND(F114,2),"      #,###.##")," tons of NOx"))</f>
        <v xml:space="preserve">                           Power Plant Emissions</v>
      </c>
      <c r="B151" s="533"/>
      <c r="C151" s="533"/>
      <c r="D151" s="910" t="str">
        <f>IF(AND(OR(chpsulfurinput2=0,ISBLANK(chpsulfurinput)),OR(chpnoxinput1=0,ISBLANK(chpnoxinput1)),OR(chpnoxinput2=0,ISBLANK(chpnoxinput2)),OR(chpnoxinput3=0,ISBLANK(chpnoxinput3)),OR(chpnoxinput4=0,ISBLANK(chpnoxinput4)),OR(stmsulfurinput2=0,ISBLANK(stmsulfurinput2)),OR(stmnoxinput=0,ISBLANK(stmnoxinput))),"                                  CHP Emissions",CONCATENATE("  ",TEXT(ROUND(D92,2),"                              #,###.##")," tons of NOx"))</f>
        <v xml:space="preserve">                                  CHP Emissions</v>
      </c>
      <c r="E151" s="910"/>
      <c r="F151" s="545" t="s">
        <v>199</v>
      </c>
      <c r="G151" s="533"/>
      <c r="H151" s="533"/>
    </row>
    <row r="152" spans="1:8" x14ac:dyDescent="0.25">
      <c r="A152" s="544" t="str">
        <f>IF(AND(OR(chpsulfurinput2=0,ISBLANK(chpsulfurinput)),OR(chpnoxinput1=0,ISBLANK(chpnoxinput1)),OR(chpnoxinput2=0,ISBLANK(chpnoxinput2)),OR(chpnoxinput3=0,ISBLANK(chpnoxinput3)),OR(chpnoxinput4=0,ISBLANK(chpnoxinput4)),OR(stmsulfurinput2=0,ISBLANK(stmsulfurinput2)),OR(stmnoxinput=0,ISBLANK(stmnoxinput)))," ",CONCATENATE("                            ",TEXT(ROUND(F115,2),"      #,###.##")," tons of SO2"))</f>
        <v xml:space="preserve"> </v>
      </c>
      <c r="B152" s="533"/>
      <c r="C152" s="533"/>
      <c r="D152" s="533"/>
      <c r="E152" s="546" t="str">
        <f>IF(AND(OR(chpsulfurinput2=0,ISBLANK(chpsulfurinput)),OR(chpnoxinput1=0,ISBLANK(chpnoxinput1)),OR(chpnoxinput2=0,ISBLANK(chpnoxinput2)),OR(chpnoxinput3=0,ISBLANK(chpnoxinput3)),OR(chpnoxinput4=0,ISBLANK(chpnoxinput4)),OR(stmsulfurinput2=0,ISBLANK(stmsulfurinput2)),OR(stmnoxinput=0,ISBLANK(stmnoxinput)))," ",IFERROR(CONCATENATE("   ",TEXT(ROUND(D93,2),"#,###.##")," tons of SO2"),""))</f>
        <v xml:space="preserve"> </v>
      </c>
      <c r="F152" s="533"/>
      <c r="G152" s="533"/>
      <c r="H152" s="533"/>
    </row>
    <row r="153" spans="1:8" x14ac:dyDescent="0.25">
      <c r="A153" s="544" t="str">
        <f>IF(AND(OR(chpsulfurinput2=0,ISBLANK(chpsulfurinput)),OR(chpnoxinput1=0,ISBLANK(chpnoxinput1)),OR(chpnoxinput2=0,ISBLANK(chpnoxinput2)),OR(chpnoxinput3=0,ISBLANK(chpnoxinput3)),OR(chpnoxinput4=0,ISBLANK(chpnoxinput4)),OR(stmsulfurinput2=0,ISBLANK(stmsulfurinput2)),OR(stmnoxinput=0,ISBLANK(stmnoxinput)))," ",CONCATENATE("                         ",TEXT(ROUND(F119,0),"       #,###")," tons of CO2e"))</f>
        <v xml:space="preserve"> </v>
      </c>
      <c r="B153" s="533"/>
      <c r="C153" s="533"/>
      <c r="D153" s="533"/>
      <c r="E153" s="546" t="str">
        <f>IF(AND(OR(chpsulfurinput2=0,ISBLANK(chpsulfurinput)),OR(chpnoxinput1=0,ISBLANK(chpnoxinput1)),OR(chpnoxinput2=0,ISBLANK(chpnoxinput2)),OR(chpnoxinput3=0,ISBLANK(chpnoxinput3)),OR(chpnoxinput4=0,ISBLANK(chpnoxinput4)),OR(stmsulfurinput2=0,ISBLANK(stmsulfurinput2)),OR(stmnoxinput=0,ISBLANK(stmnoxinput)))," ",IFERROR(CONCATENATE("   ",TEXT(ROUND(D97,0),"#,###")," tons of CO2e"),""))</f>
        <v xml:space="preserve"> </v>
      </c>
      <c r="F153" s="533"/>
      <c r="G153" s="533"/>
      <c r="H153" s="533"/>
    </row>
    <row r="154" spans="1:8" x14ac:dyDescent="0.25">
      <c r="A154" s="533"/>
      <c r="B154" s="533"/>
      <c r="C154" s="533"/>
      <c r="D154" s="533"/>
      <c r="E154" s="533"/>
      <c r="F154" s="533"/>
      <c r="G154" s="533"/>
      <c r="H154" s="533"/>
    </row>
    <row r="155" spans="1:8" x14ac:dyDescent="0.25">
      <c r="A155" s="533"/>
      <c r="B155" s="533"/>
      <c r="C155" s="533"/>
      <c r="D155" s="533"/>
      <c r="E155" s="533"/>
      <c r="F155" s="533"/>
      <c r="G155" s="547" t="str">
        <f>IFERROR(IF(B67&gt;0,CONCATENATE(TEXT(ROUND(B67,0),"#,###")," MMBtu "),"No              "),"")</f>
        <v xml:space="preserve">No              </v>
      </c>
      <c r="H155" s="533"/>
    </row>
    <row r="156" spans="1:8" x14ac:dyDescent="0.25">
      <c r="A156" s="537" t="str">
        <f>IFERROR(IF(B110&gt;0,CONCATENATE(TEXT(ROUND(B110,0),"   #,###")," MMBtu")," "),"")</f>
        <v xml:space="preserve"> </v>
      </c>
      <c r="B156" s="533"/>
      <c r="C156" s="533"/>
      <c r="D156" s="533"/>
      <c r="E156" s="537"/>
      <c r="F156" s="533"/>
      <c r="G156" s="541" t="str">
        <f>IF(B67&gt;0,"Thermal to","Thermal")</f>
        <v>Thermal</v>
      </c>
      <c r="H156" s="533"/>
    </row>
    <row r="157" spans="1:8" x14ac:dyDescent="0.25">
      <c r="A157" s="538" t="str">
        <f>IF(B110&gt;0,"  Fuel consumption"," ")</f>
        <v xml:space="preserve"> </v>
      </c>
      <c r="B157" s="533"/>
      <c r="C157" s="533"/>
      <c r="D157" s="533"/>
      <c r="E157" s="537"/>
      <c r="F157" s="533"/>
      <c r="G157" s="541" t="str">
        <f>IF(B67&gt;0,"Facility","Applications")</f>
        <v>Applications</v>
      </c>
      <c r="H157" s="533"/>
    </row>
    <row r="158" spans="1:8" x14ac:dyDescent="0.25">
      <c r="A158" s="542" t="s">
        <v>200</v>
      </c>
      <c r="B158" s="537" t="str">
        <f>IFERROR(IF(B67&gt;0,CONCATENATE(TEXT(ROUND(B67,0),"      #,###")," MMBtu"),"      No"),"")</f>
        <v xml:space="preserve">      No</v>
      </c>
      <c r="C158" s="533"/>
      <c r="D158" s="533"/>
      <c r="E158" s="533"/>
      <c r="F158" s="533"/>
      <c r="G158" s="533"/>
      <c r="H158" s="533"/>
    </row>
    <row r="159" spans="1:8" x14ac:dyDescent="0.25">
      <c r="A159" s="542" t="s">
        <v>201</v>
      </c>
      <c r="B159" s="533" t="str">
        <f>IF(B67&gt;0,"     Thermal to Facility","     Thermal Applications")</f>
        <v xml:space="preserve">     Thermal Applications</v>
      </c>
      <c r="C159" s="533"/>
      <c r="D159" s="533"/>
      <c r="E159" s="540" t="s">
        <v>202</v>
      </c>
      <c r="F159" s="533"/>
      <c r="G159" s="533"/>
      <c r="H159" s="533"/>
    </row>
    <row r="160" spans="1:8" x14ac:dyDescent="0.25">
      <c r="A160" s="533"/>
      <c r="B160" s="533"/>
      <c r="C160" s="533"/>
      <c r="D160" s="533"/>
      <c r="E160" s="540" t="s">
        <v>203</v>
      </c>
      <c r="F160" s="533"/>
      <c r="G160" s="548" t="str">
        <f>IF(B74&lt;&gt;" ",CONCATENATE(TEXT(ROUND(Calc1!B129,0),"#,###")," MMBtu "),"No Cooling")</f>
        <v>No Cooling</v>
      </c>
      <c r="H160" s="533"/>
    </row>
    <row r="161" spans="1:8" ht="20.149999999999999" customHeight="1" x14ac:dyDescent="0.25">
      <c r="A161" s="533"/>
      <c r="B161" s="533"/>
      <c r="C161" s="533"/>
      <c r="D161" s="533"/>
      <c r="E161" s="537"/>
      <c r="F161" s="533"/>
      <c r="G161" s="549" t="str">
        <f>IF(B74&lt;&gt;" ","of Cooling"," ")</f>
        <v xml:space="preserve"> </v>
      </c>
      <c r="H161" s="533"/>
    </row>
    <row r="162" spans="1:8" ht="13" x14ac:dyDescent="0.3">
      <c r="A162" s="533"/>
      <c r="B162" s="533"/>
      <c r="C162" s="533"/>
      <c r="D162" s="909" t="str">
        <f>IF(AND(SUM(B23:F29,E30:F31)=0,SUM(B12:F12,E13:F14)=0)," ",IF(AND(SUM(B23:F29,E30:F31)=0,SUM(B12:F12,E13:F14)&gt;0),"Annual Energy Savings from CHP",IF(AND(SUM(B23:F29,E30:F31)&gt;0,SUM(B12:F12,E13:F14)&gt;0),"Annual Energy and Emissions Savings from CHP"," ")))</f>
        <v xml:space="preserve"> </v>
      </c>
      <c r="E162" s="909"/>
      <c r="F162" s="909"/>
      <c r="G162" s="909"/>
      <c r="H162" s="533"/>
    </row>
    <row r="163" spans="1:8" ht="13" x14ac:dyDescent="0.3">
      <c r="A163" s="541" t="str">
        <f>IF(AND(OR(chpsulfurinput2=0,ISBLANK(chpsulfurinput)),OR(chpnoxinput1=0,ISBLANK(chpnoxinput1)),OR(chpnoxinput2=0,ISBLANK(chpnoxinput2)),OR(chpnoxinput3=0,ISBLANK(chpnoxinput3)),OR(chpnoxinput4=0,ISBLANK(chpnoxinput4)),OR(stmsulfurinput2=0,ISBLANK(stmsulfurinput2)),OR(stmnoxinput=0,ISBLANK(stmnoxinput))),"                           On-Site Thermal Emissions",CONCATENATE("                            ",TEXT(ROUND(B103,2),"     #,###.##")," tons of NOx"))</f>
        <v xml:space="preserve">                           On-Site Thermal Emissions</v>
      </c>
      <c r="B163" s="533"/>
      <c r="C163" s="533"/>
      <c r="D163" s="543"/>
      <c r="E163" s="534" t="str">
        <f>IF(AND(SUM(B12:F12,E13:F14)=0,SUM(B23:F29,E30:F31)=0)," ",CONCATENATE("  ",TEXT(ROUND(E12,2),"     #,###")," MMBtu of fuel"))</f>
        <v xml:space="preserve"> </v>
      </c>
      <c r="F163" s="533"/>
      <c r="G163" s="533"/>
      <c r="H163" s="533"/>
    </row>
    <row r="164" spans="1:8" ht="13" x14ac:dyDescent="0.3">
      <c r="A164" s="541" t="str">
        <f>IF(AND(OR(chpsulfurinput2=0,ISBLANK(chpsulfurinput)),OR(chpnoxinput1=0,ISBLANK(chpnoxinput1)),OR(chpnoxinput2=0,ISBLANK(chpnoxinput2)),OR(chpnoxinput3=0,ISBLANK(chpnoxinput3)),OR(chpnoxinput4=0,ISBLANK(chpnoxinput4)),OR(stmsulfurinput2=0,ISBLANK(stmsulfurinput2)),OR(stmnoxinput=0,ISBLANK(stmnoxinput)))," ",CONCATENATE("                            ",TEXT(ROUND(B104,2),"     #,###.##")," tons of SO2"))</f>
        <v xml:space="preserve"> </v>
      </c>
      <c r="B164" s="533"/>
      <c r="C164" s="533"/>
      <c r="D164" s="533"/>
      <c r="E164" s="534" t="str">
        <f>IF(AND(SUM(B12:F12,E13:F14)=0,SUM(B23:F29,E30:F31)=0)," ",IF(AND(SUM(B12:F12,E13:F14)&gt;0,SUM(B23:F29,E30:F31)=0)," ",CONCATENATE("       ",TEXT(ROUND(E23,2),"#,###.##")," tons of NOx")))</f>
        <v xml:space="preserve"> </v>
      </c>
      <c r="F164" s="533"/>
      <c r="G164" s="533"/>
      <c r="H164" s="533"/>
    </row>
    <row r="165" spans="1:8" ht="13" x14ac:dyDescent="0.3">
      <c r="A165" s="541" t="str">
        <f>IF(AND(OR(chpsulfurinput2=0,ISBLANK(chpsulfurinput)),OR(chpnoxinput1=0,ISBLANK(chpnoxinput1)),OR(chpnoxinput2=0,ISBLANK(chpnoxinput2)),OR(chpnoxinput3=0,ISBLANK(chpnoxinput3)),OR(chpnoxinput4=0,ISBLANK(chpnoxinput4)),OR(stmsulfurinput2=0,ISBLANK(stmsulfurinput2)),OR(stmnoxinput=0,ISBLANK(stmnoxinput)))," ",CONCATENATE("                         ",TEXT(ROUND(B108,0),"        #,###")," tons of CO2e"))</f>
        <v xml:space="preserve"> </v>
      </c>
      <c r="B165" s="533"/>
      <c r="C165" s="533"/>
      <c r="D165" s="533"/>
      <c r="E165" s="534" t="str">
        <f>IF(AND(SUM(B12:F12,E13:F14)=0,SUM(B23:F29,E30:F31)=0)," ",IF(AND(SUM(B12:F12,E13:F14)&gt;0,SUM(B23:F29,E30:F31)=0)," ",CONCATENATE("  ",TEXT(ROUND(E24,2),"     #,###.##")," tons of SO2")))</f>
        <v xml:space="preserve"> </v>
      </c>
      <c r="F165" s="533"/>
      <c r="G165" s="533"/>
      <c r="H165" s="533"/>
    </row>
    <row r="166" spans="1:8" ht="13" x14ac:dyDescent="0.3">
      <c r="A166" s="533"/>
      <c r="B166" s="533"/>
      <c r="C166" s="533"/>
      <c r="D166" s="533"/>
      <c r="E166" s="534" t="str">
        <f>IF(AND(SUM(B12:F12,E13:F14)=0,SUM(B23:F29,E30:F31)=0)," ",IF(AND(SUM(B12:F12,E13:F14)&gt;0,SUM(B23:F29,E30:F31)=0)," ",CONCATENATE("  ",TEXT(ROUND(E25,2),"     #,###")," tons of CO2e")))</f>
        <v xml:space="preserve"> </v>
      </c>
      <c r="F166" s="533"/>
      <c r="G166" s="533"/>
      <c r="H166" s="533"/>
    </row>
    <row r="167" spans="1:8" x14ac:dyDescent="0.25">
      <c r="A167" s="533"/>
      <c r="B167" s="533"/>
      <c r="C167" s="533"/>
      <c r="D167" s="533"/>
      <c r="E167" s="533"/>
      <c r="F167" s="533"/>
      <c r="G167" s="533"/>
      <c r="H167" s="533"/>
    </row>
    <row r="169" spans="1:8" ht="15.5" x14ac:dyDescent="0.25">
      <c r="A169" s="907" t="str">
        <f>IF(AND(SUM(B23:F29,E30:F31)=0,SUM(B12:F12,E13:F14)=0)," ",IF(SUM(B23:F29,E30:F31)=0,"To calculate emissions savings results, please complete inputs 26-32 on the Inputs page"," "))</f>
        <v xml:space="preserve"> </v>
      </c>
      <c r="B169" s="907"/>
      <c r="C169" s="907"/>
      <c r="D169" s="907"/>
      <c r="E169" s="908"/>
      <c r="F169" s="908"/>
    </row>
  </sheetData>
  <sheetProtection algorithmName="SHA-512" hashValue="+oFy7RNA/1h/DKGndENUH/fyC5xYGp/HM34VQpdj1L2nTD27SEyKSResh0y4e/TUClPbcniPJq5lHnXoaCBWLw==" saltValue="T8BT4qrhX7nCd+6XX+OzGQ==" spinCount="100000" sheet="1" objects="1" scenarios="1"/>
  <mergeCells count="15">
    <mergeCell ref="A169:F169"/>
    <mergeCell ref="D162:G162"/>
    <mergeCell ref="D151:E151"/>
    <mergeCell ref="A6:F6"/>
    <mergeCell ref="A7:E7"/>
    <mergeCell ref="A8:F8"/>
    <mergeCell ref="A14:D14"/>
    <mergeCell ref="A135:F135"/>
    <mergeCell ref="A88:F88"/>
    <mergeCell ref="A54:F54"/>
    <mergeCell ref="A89:F89"/>
    <mergeCell ref="A30:D30"/>
    <mergeCell ref="A31:D31"/>
    <mergeCell ref="C41:F41"/>
    <mergeCell ref="A13:D13"/>
  </mergeCells>
  <phoneticPr fontId="18" type="noConversion"/>
  <printOptions horizontalCentered="1"/>
  <pageMargins left="0.5" right="0.5" top="1" bottom="0.75" header="0.5" footer="0.5"/>
  <pageSetup scale="66" fitToHeight="0" orientation="landscape" r:id="rId1"/>
  <headerFooter alignWithMargins="0">
    <oddFooter>&amp;L&amp;F, &amp;A&amp;CPage &amp;P of &amp;N&amp;R&amp;D</oddFooter>
  </headerFooter>
  <rowBreaks count="3" manualBreakCount="3">
    <brk id="53" max="6" man="1"/>
    <brk id="88" max="6" man="1"/>
    <brk id="134" max="6" man="1"/>
  </rowBreaks>
  <ignoredErrors>
    <ignoredError sqref="B40:B42 E40 C41 A31:D31 A14:D14 E42 A56:F69 A154:F155 B151:C151 B152:D153 F152:F153 A167:F168 A143 C143:F144 B145:F145 C150:F150 A142:F142 C147:D147 A79:F80 B78:F78 A71:F77 B70:F70 A12:F12 G145:G159 A160:F161 B156:F157 A135:F135 A100:F100 B90:F90 A111:F111 B101:F101 B112:F112 B141:D141 F141 A148:F149 A162:C162 A163:D166 F163:F166 A170:F171 G163:G168 B146:D146 F146:F147 C158:F159 A150:A153 F91:F99 A102:A110 F102:F110 B137:D139 A138:A140 F137:F139 E139:E140 A92:C99 A91:D91 D92:D99 B103:B110 A24:F29 B13:D13 E13:F13 A83:F85 C81:F81 A113:F113 A30:D30 F30 F31 F14 B125:D127 B131:B133 E30:E31 A82:B82 D82:F82 A23:B23 D23:F23 A115:F116 A114:B114 D114 A87:F89 A86 C86:F86 A118:F122 A117 C117:E117 G161" unlockedFormula="1"/>
    <ignoredError sqref="E138 D151" evalError="1" unlockedFormula="1"/>
  </ignoredErrors>
  <drawing r:id="rId2"/>
  <legacyDrawing r:id="rId3"/>
  <oleObjects>
    <mc:AlternateContent xmlns:mc="http://schemas.openxmlformats.org/markup-compatibility/2006">
      <mc:Choice Requires="x14">
        <oleObject progId="Acrobat.Document.DC" dvAspect="DVASPECT_ICON" shapeId="20570" r:id="rId4">
          <objectPr locked="0" defaultSize="0" autoPict="0" r:id="rId5">
            <anchor moveWithCells="1">
              <from>
                <xdr:col>6</xdr:col>
                <xdr:colOff>438150</xdr:colOff>
                <xdr:row>0</xdr:row>
                <xdr:rowOff>0</xdr:rowOff>
              </from>
              <to>
                <xdr:col>10</xdr:col>
                <xdr:colOff>38100</xdr:colOff>
                <xdr:row>4</xdr:row>
                <xdr:rowOff>6350</xdr:rowOff>
              </to>
            </anchor>
          </objectPr>
        </oleObject>
      </mc:Choice>
      <mc:Fallback>
        <oleObject progId="Acrobat.Document.DC" dvAspect="DVASPECT_ICON" shapeId="20570" r:id="rId4"/>
      </mc:Fallback>
    </mc:AlternateContent>
  </oleObjects>
  <mc:AlternateContent xmlns:mc="http://schemas.openxmlformats.org/markup-compatibility/2006">
    <mc:Choice Requires="x14">
      <controls>
        <mc:AlternateContent xmlns:mc="http://schemas.openxmlformats.org/markup-compatibility/2006">
          <mc:Choice Requires="x14">
            <control shapeId="20545" r:id="rId6" name="Button 65">
              <controlPr defaultSize="0" print="0" autoFill="0" autoPict="0" macro="[0]!Button1_Click">
                <anchor moveWithCells="1">
                  <from>
                    <xdr:col>7</xdr:col>
                    <xdr:colOff>412750</xdr:colOff>
                    <xdr:row>54</xdr:row>
                    <xdr:rowOff>228600</xdr:rowOff>
                  </from>
                  <to>
                    <xdr:col>9</xdr:col>
                    <xdr:colOff>196850</xdr:colOff>
                    <xdr:row>58</xdr:row>
                    <xdr:rowOff>31750</xdr:rowOff>
                  </to>
                </anchor>
              </controlPr>
            </control>
          </mc:Choice>
        </mc:AlternateContent>
        <mc:AlternateContent xmlns:mc="http://schemas.openxmlformats.org/markup-compatibility/2006">
          <mc:Choice Requires="x14">
            <control shapeId="20549" r:id="rId7" name="Button 69">
              <controlPr defaultSize="0" print="0" autoFill="0" autoPict="0" macro="[0]!Button1_Click">
                <anchor moveWithCells="1">
                  <from>
                    <xdr:col>8</xdr:col>
                    <xdr:colOff>25400</xdr:colOff>
                    <xdr:row>136</xdr:row>
                    <xdr:rowOff>0</xdr:rowOff>
                  </from>
                  <to>
                    <xdr:col>9</xdr:col>
                    <xdr:colOff>463550</xdr:colOff>
                    <xdr:row>144</xdr:row>
                    <xdr:rowOff>0</xdr:rowOff>
                  </to>
                </anchor>
              </controlPr>
            </control>
          </mc:Choice>
        </mc:AlternateContent>
        <mc:AlternateContent xmlns:mc="http://schemas.openxmlformats.org/markup-compatibility/2006">
          <mc:Choice Requires="x14">
            <control shapeId="20546" r:id="rId8" name="Button 66">
              <controlPr defaultSize="0" print="0" autoFill="0" autoPict="0" macro="[0]!Button1_Click">
                <anchor moveWithCells="1">
                  <from>
                    <xdr:col>6</xdr:col>
                    <xdr:colOff>387350</xdr:colOff>
                    <xdr:row>9</xdr:row>
                    <xdr:rowOff>222250</xdr:rowOff>
                  </from>
                  <to>
                    <xdr:col>8</xdr:col>
                    <xdr:colOff>69850</xdr:colOff>
                    <xdr:row>11</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B1:D40"/>
  <sheetViews>
    <sheetView showGridLines="0" zoomScaleNormal="100" workbookViewId="0">
      <selection activeCell="E1" sqref="E1"/>
    </sheetView>
  </sheetViews>
  <sheetFormatPr defaultRowHeight="12.5" x14ac:dyDescent="0.25"/>
  <cols>
    <col min="1" max="1" width="4.54296875" customWidth="1"/>
    <col min="2" max="2" width="10.81640625" customWidth="1"/>
    <col min="3" max="3" width="13.54296875" customWidth="1"/>
    <col min="4" max="4" width="55.54296875" customWidth="1"/>
  </cols>
  <sheetData>
    <row r="1" spans="2:4" ht="15" customHeight="1" x14ac:dyDescent="0.35">
      <c r="B1" s="895" t="s">
        <v>204</v>
      </c>
      <c r="C1" s="895"/>
    </row>
    <row r="2" spans="2:4" ht="25.4" customHeight="1" x14ac:dyDescent="0.25"/>
    <row r="3" spans="2:4" ht="13" x14ac:dyDescent="0.3">
      <c r="B3" s="20" t="s">
        <v>205</v>
      </c>
      <c r="C3" s="6" t="s">
        <v>206</v>
      </c>
      <c r="D3" s="7" t="s">
        <v>207</v>
      </c>
    </row>
    <row r="5" spans="2:4" x14ac:dyDescent="0.25">
      <c r="B5" s="12"/>
    </row>
    <row r="6" spans="2:4" ht="15.5" x14ac:dyDescent="0.35">
      <c r="B6" s="38" t="s">
        <v>208</v>
      </c>
    </row>
    <row r="7" spans="2:4" ht="16" thickBot="1" x14ac:dyDescent="0.4">
      <c r="B7" s="38" t="s">
        <v>209</v>
      </c>
    </row>
    <row r="8" spans="2:4" ht="13" thickBot="1" x14ac:dyDescent="0.3">
      <c r="B8" s="111">
        <v>0</v>
      </c>
      <c r="C8" s="18" t="s">
        <v>42</v>
      </c>
      <c r="D8" s="13" t="s">
        <v>210</v>
      </c>
    </row>
    <row r="9" spans="2:4" x14ac:dyDescent="0.25">
      <c r="B9" s="926" t="s">
        <v>211</v>
      </c>
    </row>
    <row r="10" spans="2:4" ht="13" thickBot="1" x14ac:dyDescent="0.3">
      <c r="B10" s="927"/>
    </row>
    <row r="11" spans="2:4" x14ac:dyDescent="0.25">
      <c r="B11" s="101">
        <v>0</v>
      </c>
      <c r="C11" s="15" t="s">
        <v>212</v>
      </c>
      <c r="D11" s="8" t="s">
        <v>213</v>
      </c>
    </row>
    <row r="12" spans="2:4" ht="13" thickBot="1" x14ac:dyDescent="0.3">
      <c r="B12" s="102">
        <v>1000</v>
      </c>
      <c r="C12" s="17" t="s">
        <v>214</v>
      </c>
      <c r="D12" s="10" t="s">
        <v>215</v>
      </c>
    </row>
    <row r="13" spans="2:4" ht="13.5" thickBot="1" x14ac:dyDescent="0.35">
      <c r="B13" s="234">
        <f>B11*B12/1000000</f>
        <v>0</v>
      </c>
      <c r="C13" s="19" t="s">
        <v>42</v>
      </c>
      <c r="D13" s="14" t="s">
        <v>216</v>
      </c>
    </row>
    <row r="14" spans="2:4" x14ac:dyDescent="0.25">
      <c r="B14" s="926" t="s">
        <v>211</v>
      </c>
    </row>
    <row r="15" spans="2:4" ht="13" thickBot="1" x14ac:dyDescent="0.3">
      <c r="B15" s="927"/>
    </row>
    <row r="16" spans="2:4" x14ac:dyDescent="0.25">
      <c r="B16" s="101">
        <v>0</v>
      </c>
      <c r="C16" s="15" t="s">
        <v>42</v>
      </c>
      <c r="D16" s="8" t="s">
        <v>217</v>
      </c>
    </row>
    <row r="17" spans="2:4" ht="13" thickBot="1" x14ac:dyDescent="0.3">
      <c r="B17" s="103">
        <v>0</v>
      </c>
      <c r="C17" s="17"/>
      <c r="D17" s="10" t="s">
        <v>218</v>
      </c>
    </row>
    <row r="18" spans="2:4" ht="13" x14ac:dyDescent="0.3">
      <c r="B18" s="234">
        <f>B16*B17</f>
        <v>0</v>
      </c>
      <c r="C18" s="19" t="s">
        <v>42</v>
      </c>
      <c r="D18" s="14" t="s">
        <v>216</v>
      </c>
    </row>
    <row r="19" spans="2:4" x14ac:dyDescent="0.25">
      <c r="B19" s="12"/>
    </row>
    <row r="20" spans="2:4" x14ac:dyDescent="0.25">
      <c r="B20" s="12"/>
    </row>
    <row r="21" spans="2:4" x14ac:dyDescent="0.25">
      <c r="B21" s="12"/>
    </row>
    <row r="22" spans="2:4" ht="16" thickBot="1" x14ac:dyDescent="0.4">
      <c r="B22" s="37" t="s">
        <v>219</v>
      </c>
    </row>
    <row r="23" spans="2:4" x14ac:dyDescent="0.25">
      <c r="B23" s="550">
        <f>IF(B8&gt;0,B8,IF(B13&gt;0,B13,IF(B18&gt;0,B18,0)))</f>
        <v>0</v>
      </c>
      <c r="C23" s="15" t="s">
        <v>42</v>
      </c>
      <c r="D23" s="8" t="s">
        <v>220</v>
      </c>
    </row>
    <row r="24" spans="2:4" x14ac:dyDescent="0.25">
      <c r="B24" s="551">
        <f>calcbtu*293</f>
        <v>0</v>
      </c>
      <c r="C24" s="16" t="s">
        <v>5</v>
      </c>
      <c r="D24" s="9" t="s">
        <v>220</v>
      </c>
    </row>
    <row r="25" spans="2:4" x14ac:dyDescent="0.25">
      <c r="B25" s="551" t="str">
        <f>IF(chpcapinput&gt;0,chpcapinput," ")</f>
        <v xml:space="preserve"> </v>
      </c>
      <c r="C25" s="100" t="str">
        <f>IF(chpcapinput&gt;0,"kW"," ")</f>
        <v xml:space="preserve"> </v>
      </c>
      <c r="D25" s="236" t="str">
        <f>IF(chpcapinput&gt;0,"kW capacity of CHP system"," ")</f>
        <v xml:space="preserve"> </v>
      </c>
    </row>
    <row r="26" spans="2:4" ht="13" thickBot="1" x14ac:dyDescent="0.3">
      <c r="B26" s="552" t="str">
        <f>IF(calckw&gt;0,B25/calckw," ")</f>
        <v xml:space="preserve"> </v>
      </c>
      <c r="C26" s="235" t="str">
        <f>IF(chpcapinput&gt;0," "," ")</f>
        <v xml:space="preserve"> </v>
      </c>
      <c r="D26" s="237" t="str">
        <f>IF(chpcapinput&gt;0,"Power to Heat ratio of CHP system"," ")</f>
        <v xml:space="preserve"> </v>
      </c>
    </row>
    <row r="27" spans="2:4" x14ac:dyDescent="0.25">
      <c r="B27" s="11"/>
    </row>
    <row r="28" spans="2:4" x14ac:dyDescent="0.25">
      <c r="B28" s="12"/>
    </row>
    <row r="29" spans="2:4" x14ac:dyDescent="0.25">
      <c r="B29" s="12"/>
    </row>
    <row r="30" spans="2:4" x14ac:dyDescent="0.25">
      <c r="B30" s="12"/>
    </row>
    <row r="31" spans="2:4" x14ac:dyDescent="0.25">
      <c r="B31" s="12"/>
    </row>
    <row r="32" spans="2:4" x14ac:dyDescent="0.25">
      <c r="B32" s="12"/>
    </row>
    <row r="33" spans="2:2" x14ac:dyDescent="0.25">
      <c r="B33" s="12"/>
    </row>
    <row r="34" spans="2:2" x14ac:dyDescent="0.25">
      <c r="B34" s="12"/>
    </row>
    <row r="35" spans="2:2" x14ac:dyDescent="0.25">
      <c r="B35" s="12"/>
    </row>
    <row r="36" spans="2:2" x14ac:dyDescent="0.25">
      <c r="B36" s="12"/>
    </row>
    <row r="37" spans="2:2" x14ac:dyDescent="0.25">
      <c r="B37" s="12"/>
    </row>
    <row r="38" spans="2:2" x14ac:dyDescent="0.25">
      <c r="B38" s="4"/>
    </row>
    <row r="39" spans="2:2" x14ac:dyDescent="0.25">
      <c r="B39" s="4"/>
    </row>
    <row r="40" spans="2:2" x14ac:dyDescent="0.25">
      <c r="B40" s="4"/>
    </row>
  </sheetData>
  <sheetProtection algorithmName="SHA-512" hashValue="3L2Gy0EB03XE9txnqFHICn+prUJz4AlTzH7/y7UR7krmKNro3zGPpSkbv1B5mdIq8T0OEym/W4et+V/Lp2aiyQ==" saltValue="OOt3iXVZa8xHzWbDakON9w==" spinCount="100000" sheet="1" objects="1" scenarios="1"/>
  <mergeCells count="3">
    <mergeCell ref="B9:B10"/>
    <mergeCell ref="B14:B15"/>
    <mergeCell ref="B1:C1"/>
  </mergeCells>
  <phoneticPr fontId="18" type="noConversion"/>
  <pageMargins left="0.75" right="0.75" top="1" bottom="1" header="0.5" footer="0.5"/>
  <pageSetup orientation="portrait" r:id="rId1"/>
  <headerFooter alignWithMargins="0"/>
  <ignoredErrors>
    <ignoredError sqref="B13:D26" unlockedFormula="1"/>
  </ignoredErrors>
  <drawing r:id="rId2"/>
  <legacyDrawing r:id="rId3"/>
  <oleObjects>
    <mc:AlternateContent xmlns:mc="http://schemas.openxmlformats.org/markup-compatibility/2006">
      <mc:Choice Requires="x14">
        <oleObject progId="Acrobat.Document.DC" dvAspect="DVASPECT_ICON" shapeId="13317" r:id="rId4">
          <objectPr locked="0" defaultSize="0" autoPict="0" r:id="rId5">
            <anchor moveWithCells="1">
              <from>
                <xdr:col>5</xdr:col>
                <xdr:colOff>19050</xdr:colOff>
                <xdr:row>1</xdr:row>
                <xdr:rowOff>165100</xdr:rowOff>
              </from>
              <to>
                <xdr:col>7</xdr:col>
                <xdr:colOff>565150</xdr:colOff>
                <xdr:row>5</xdr:row>
                <xdr:rowOff>120650</xdr:rowOff>
              </to>
            </anchor>
          </objectPr>
        </oleObject>
      </mc:Choice>
      <mc:Fallback>
        <oleObject progId="Acrobat.Document.DC" dvAspect="DVASPECT_ICON" shapeId="13317" r:id="rId4"/>
      </mc:Fallback>
    </mc:AlternateContent>
  </oleObjects>
  <mc:AlternateContent xmlns:mc="http://schemas.openxmlformats.org/markup-compatibility/2006">
    <mc:Choice Requires="x14">
      <controls>
        <mc:AlternateContent xmlns:mc="http://schemas.openxmlformats.org/markup-compatibility/2006">
          <mc:Choice Requires="x14">
            <control shapeId="13313" r:id="rId6" name="Button 1">
              <controlPr defaultSize="0" autoFill="0" autoPict="0" macro="[0]!ButtonThermCalcreset_Click">
                <anchor moveWithCells="1" sizeWithCells="1">
                  <from>
                    <xdr:col>3</xdr:col>
                    <xdr:colOff>558800</xdr:colOff>
                    <xdr:row>27</xdr:row>
                    <xdr:rowOff>146050</xdr:rowOff>
                  </from>
                  <to>
                    <xdr:col>3</xdr:col>
                    <xdr:colOff>2311400</xdr:colOff>
                    <xdr:row>31</xdr:row>
                    <xdr:rowOff>146050</xdr:rowOff>
                  </to>
                </anchor>
              </controlPr>
            </control>
          </mc:Choice>
        </mc:AlternateContent>
        <mc:AlternateContent xmlns:mc="http://schemas.openxmlformats.org/markup-compatibility/2006">
          <mc:Choice Requires="x14">
            <control shapeId="13316" r:id="rId7" name="Button 4">
              <controlPr defaultSize="0" autoFill="0" autoPict="0" macro="[0]!ButtonTCphpaste_Click">
                <anchor moveWithCells="1" sizeWithCells="1">
                  <from>
                    <xdr:col>1</xdr:col>
                    <xdr:colOff>6350</xdr:colOff>
                    <xdr:row>27</xdr:row>
                    <xdr:rowOff>146050</xdr:rowOff>
                  </from>
                  <to>
                    <xdr:col>3</xdr:col>
                    <xdr:colOff>101600</xdr:colOff>
                    <xdr:row>31</xdr:row>
                    <xdr:rowOff>146050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pageSetUpPr fitToPage="1"/>
  </sheetPr>
  <dimension ref="A1:M27"/>
  <sheetViews>
    <sheetView showGridLines="0" workbookViewId="0">
      <selection activeCell="L1" sqref="L1"/>
    </sheetView>
  </sheetViews>
  <sheetFormatPr defaultColWidth="9.1796875" defaultRowHeight="12.5" x14ac:dyDescent="0.25"/>
  <cols>
    <col min="1" max="1" width="32.1796875" customWidth="1"/>
    <col min="2" max="2" width="5.453125" hidden="1" customWidth="1"/>
    <col min="3" max="5" width="13.54296875" customWidth="1"/>
    <col min="6" max="6" width="10.453125" bestFit="1" customWidth="1"/>
  </cols>
  <sheetData>
    <row r="1" spans="1:7" ht="15" customHeight="1" x14ac:dyDescent="0.35">
      <c r="A1" s="37" t="s">
        <v>221</v>
      </c>
    </row>
    <row r="2" spans="1:7" ht="15" customHeight="1" x14ac:dyDescent="0.25"/>
    <row r="3" spans="1:7" ht="15" customHeight="1" thickBot="1" x14ac:dyDescent="0.3"/>
    <row r="4" spans="1:7" ht="13" x14ac:dyDescent="0.3">
      <c r="A4" s="21" t="s">
        <v>222</v>
      </c>
      <c r="B4" s="22"/>
      <c r="C4" s="22"/>
      <c r="D4" s="22"/>
      <c r="E4" s="22"/>
      <c r="F4" s="34" t="s">
        <v>223</v>
      </c>
    </row>
    <row r="5" spans="1:7" x14ac:dyDescent="0.25">
      <c r="A5" s="23" t="s">
        <v>224</v>
      </c>
      <c r="B5" s="24" t="s">
        <v>225</v>
      </c>
      <c r="C5" s="24" t="s">
        <v>226</v>
      </c>
      <c r="D5" s="24" t="s">
        <v>227</v>
      </c>
      <c r="E5" s="614" t="s">
        <v>228</v>
      </c>
      <c r="F5" s="35" t="s">
        <v>229</v>
      </c>
    </row>
    <row r="6" spans="1:7" x14ac:dyDescent="0.25">
      <c r="A6" s="558" t="str">
        <f>LOOKUP(B6,Profiles!$B$11:$B$27,Profiles!$A$11:$A$27)</f>
        <v>AVERT Uniform EE</v>
      </c>
      <c r="B6">
        <v>1</v>
      </c>
      <c r="C6" s="553">
        <f>LOOKUP(B6,Profiles!B$11:B$27,Profiles!H$11:H$27)</f>
        <v>0.7</v>
      </c>
      <c r="D6" s="555">
        <f>LOOKUP(B6,Profiles!B$11:B$27,Profiles!I$11:I$27)</f>
        <v>0.67</v>
      </c>
      <c r="E6" s="613">
        <f>LOOKUP(B6,Profiles!B$11:B$27,Profiles!J$11:J$27)</f>
        <v>1438</v>
      </c>
      <c r="F6" s="554">
        <f>LOOKUP(B6,Profiles!B$11:B$27,Profiles!C$11:C$27)</f>
        <v>8934</v>
      </c>
      <c r="G6" s="194" t="s">
        <v>230</v>
      </c>
    </row>
    <row r="7" spans="1:7" x14ac:dyDescent="0.25">
      <c r="A7" s="558" t="str">
        <f>LOOKUP(B7,Profiles!$B$12:$B$27,Profiles!$A$12:$A$27)</f>
        <v>EGrid Annual Average</v>
      </c>
      <c r="B7">
        <v>2</v>
      </c>
      <c r="C7" s="553" t="str">
        <f>LOOKUP(B7,Profiles!B$12:B$27,Profiles!H$12:H$27)</f>
        <v>n/a</v>
      </c>
      <c r="D7" s="556" t="str">
        <f>LOOKUP(B7,Profiles!B$11:B$27,Profiles!I$11:I$27)</f>
        <v>n/a</v>
      </c>
      <c r="E7" s="646" t="str">
        <f>LOOKUP(B7,Profiles!B$11:B$27,Profiles!J$11:J$27)</f>
        <v>n/a</v>
      </c>
      <c r="F7" s="641" t="str">
        <f>LOOKUP(B7,Profiles!B$12:B$27,Profiles!C$12:C$27)</f>
        <v>n/a</v>
      </c>
      <c r="G7" s="194" t="s">
        <v>231</v>
      </c>
    </row>
    <row r="8" spans="1:7" x14ac:dyDescent="0.25">
      <c r="A8" s="558" t="str">
        <f>LOOKUP(B8,Profiles!$B$12:$B$27,Profiles!$A$12:$A$27)</f>
        <v>EGrid Annual Fossil</v>
      </c>
      <c r="B8">
        <v>3</v>
      </c>
      <c r="C8" s="553" t="str">
        <f>LOOKUP(B8,Profiles!B$12:B$27,Profiles!H$12:H$27)</f>
        <v>n/a</v>
      </c>
      <c r="D8" s="556" t="str">
        <f>LOOKUP(B8,Profiles!B$11:B$27,Profiles!I$11:I$27)</f>
        <v>n/a</v>
      </c>
      <c r="E8" s="646" t="str">
        <f>LOOKUP(B8,Profiles!B$11:B$27,Profiles!J$11:J$27)</f>
        <v>n/a</v>
      </c>
      <c r="F8" s="641" t="str">
        <f>LOOKUP(B8,Profiles!B$12:B$27,Profiles!C$12:C$27)</f>
        <v>n/a</v>
      </c>
      <c r="G8" s="194" t="s">
        <v>231</v>
      </c>
    </row>
    <row r="9" spans="1:7" x14ac:dyDescent="0.25">
      <c r="A9" s="558" t="str">
        <f>LOOKUP(B9,Profiles!$B$12:$B$27,Profiles!$A$12:$A$27)</f>
        <v>EGrid Annual Non-Baseload</v>
      </c>
      <c r="B9">
        <v>4</v>
      </c>
      <c r="C9" s="547" t="str">
        <f>LOOKUP(B9,Profiles!B$12:B$27,Profiles!H$12:H$27)</f>
        <v>n/a</v>
      </c>
      <c r="D9" s="556" t="str">
        <f>LOOKUP(B9,Profiles!B$11:B$27,Profiles!I$11:I$27)</f>
        <v>n/a</v>
      </c>
      <c r="E9" s="646" t="str">
        <f>LOOKUP(B9,Profiles!B$11:B$27,Profiles!J$11:J$27)</f>
        <v>n/a</v>
      </c>
      <c r="F9" s="641" t="str">
        <f>LOOKUP(B9,Profiles!B$12:B$27,Profiles!C$12:C$27)</f>
        <v>n/a</v>
      </c>
      <c r="G9" s="194" t="s">
        <v>231</v>
      </c>
    </row>
    <row r="10" spans="1:7" x14ac:dyDescent="0.25">
      <c r="A10" s="558" t="str">
        <f>LOOKUP(B10,Profiles!$B$12:$B$27,Profiles!$A$12:$A$27)</f>
        <v>EGrid Annual Coal</v>
      </c>
      <c r="B10">
        <v>5</v>
      </c>
      <c r="C10" s="547" t="str">
        <f>LOOKUP(B10,Profiles!B$12:B$27,Profiles!H$12:H$27)</f>
        <v>n/a</v>
      </c>
      <c r="D10" s="556" t="str">
        <f>LOOKUP(B10,Profiles!B$11:B$27,Profiles!I$11:I$27)</f>
        <v>n/a</v>
      </c>
      <c r="E10" s="646" t="str">
        <f>LOOKUP(B10,Profiles!B$11:B$27,Profiles!J$11:J$27)</f>
        <v>n/a</v>
      </c>
      <c r="F10" s="641" t="str">
        <f>LOOKUP(B10,Profiles!B$12:B$27,Profiles!C$12:C$27)</f>
        <v>n/a</v>
      </c>
      <c r="G10" s="194" t="s">
        <v>231</v>
      </c>
    </row>
    <row r="11" spans="1:7" x14ac:dyDescent="0.25">
      <c r="A11" s="558" t="str">
        <f>LOOKUP(B11,Profiles!$B$12:$B$27,Profiles!$A$12:$A$27)</f>
        <v>EGrid Annual Oil</v>
      </c>
      <c r="B11">
        <v>6</v>
      </c>
      <c r="C11" s="547" t="str">
        <f>LOOKUP(B11,Profiles!B$12:B$27,Profiles!H$12:H$27)</f>
        <v>n/a</v>
      </c>
      <c r="D11" s="556" t="str">
        <f>LOOKUP(B11,Profiles!B$11:B$27,Profiles!I$11:I$27)</f>
        <v>n/a</v>
      </c>
      <c r="E11" s="646" t="str">
        <f>LOOKUP(B11,Profiles!B$11:B$27,Profiles!J$11:J$27)</f>
        <v>n/a</v>
      </c>
      <c r="F11" s="641" t="str">
        <f>LOOKUP(B11,Profiles!B$12:B$27,Profiles!C$12:C$27)</f>
        <v>n/a</v>
      </c>
      <c r="G11" s="194" t="s">
        <v>231</v>
      </c>
    </row>
    <row r="12" spans="1:7" x14ac:dyDescent="0.25">
      <c r="A12" s="558" t="str">
        <f>LOOKUP(B12,Profiles!$B$12:$B$27,Profiles!$A$12:$A$27)</f>
        <v>EGrid Annual Natural Gas</v>
      </c>
      <c r="B12">
        <v>7</v>
      </c>
      <c r="C12" s="556" t="str">
        <f>LOOKUP(B12,Profiles!B$12:B$27,Profiles!H$12:H$27)</f>
        <v>n/a</v>
      </c>
      <c r="D12" s="556" t="str">
        <f>LOOKUP(B12,Profiles!B$11:B$27,Profiles!I$11:I$27)</f>
        <v>n/a</v>
      </c>
      <c r="E12" s="646" t="str">
        <f>LOOKUP(B12,Profiles!B$11:B$27,Profiles!J$11:J$27)</f>
        <v>n/a</v>
      </c>
      <c r="F12" s="641" t="str">
        <f>LOOKUP(B12,Profiles!B$12:B$27,Profiles!C$12:C$27)</f>
        <v>n/a</v>
      </c>
      <c r="G12" s="194" t="s">
        <v>231</v>
      </c>
    </row>
    <row r="13" spans="1:7" x14ac:dyDescent="0.25">
      <c r="A13" s="558" t="str">
        <f>LOOKUP(B13,Profiles!$B$12:$B$27,Profiles!$A$12:$A$27)</f>
        <v>Coal Boiler 3.8 lb/MWh NOx</v>
      </c>
      <c r="B13">
        <v>8</v>
      </c>
      <c r="C13" s="556">
        <f>LOOKUP(B13,Profiles!B$12:B$27,Profiles!H$12:H$27)</f>
        <v>3.8</v>
      </c>
      <c r="D13" s="555">
        <f>LOOKUP(B13,Profiles!B$11:B$27,Profiles!I$11:I$27)</f>
        <v>5</v>
      </c>
      <c r="E13" s="613">
        <f>LOOKUP(B13,Profiles!B$11:B$27,Profiles!J$11:J$27)</f>
        <v>1967.45</v>
      </c>
      <c r="F13" s="554">
        <f>LOOKUP(B13,Profiles!B$12:B$27,Profiles!C$12:C$27)</f>
        <v>9500</v>
      </c>
      <c r="G13" s="194" t="s">
        <v>232</v>
      </c>
    </row>
    <row r="14" spans="1:7" x14ac:dyDescent="0.25">
      <c r="A14" s="558" t="str">
        <f>LOOKUP(B14,Profiles!$B$12:$B$27,Profiles!$A$12:$A$27)</f>
        <v>Coal Boiler 1.5 lb/MWh NOx</v>
      </c>
      <c r="B14">
        <v>9</v>
      </c>
      <c r="C14" s="556">
        <f>LOOKUP(B14,Profiles!B$12:B$27,Profiles!H$12:H$27)</f>
        <v>1.5</v>
      </c>
      <c r="D14" s="555">
        <f>LOOKUP(B14,Profiles!B$11:B$27,Profiles!I$11:I$27)</f>
        <v>2.5</v>
      </c>
      <c r="E14" s="613">
        <f>LOOKUP(B14,Profiles!B$11:B$27,Profiles!J$11:J$27)</f>
        <v>1967.45</v>
      </c>
      <c r="F14" s="554">
        <f>LOOKUP(B14,Profiles!B$12:B$27,Profiles!C$12:C$27)</f>
        <v>9500</v>
      </c>
      <c r="G14" s="194" t="s">
        <v>232</v>
      </c>
    </row>
    <row r="15" spans="1:7" x14ac:dyDescent="0.25">
      <c r="A15" s="558" t="str">
        <f>LOOKUP(B15,Profiles!$B$12:$B$27,Profiles!$A$12:$A$27)</f>
        <v>Coal Boiler with SCR 0.8 lb/MWh NOx</v>
      </c>
      <c r="B15">
        <v>10</v>
      </c>
      <c r="C15" s="556">
        <f>LOOKUP(B15,Profiles!B$12:B$27,Profiles!H$12:H$27)</f>
        <v>0.8</v>
      </c>
      <c r="D15" s="555">
        <f>LOOKUP(B15,Profiles!B$11:B$27,Profiles!I$11:I$27)</f>
        <v>1</v>
      </c>
      <c r="E15" s="613">
        <f>LOOKUP(B15,Profiles!B$11:B$27,Profiles!J$11:J$27)</f>
        <v>1967.45</v>
      </c>
      <c r="F15" s="554">
        <f>LOOKUP(B15,Profiles!B$12:B$27,Profiles!C$12:C$27)</f>
        <v>9500</v>
      </c>
      <c r="G15" s="194" t="s">
        <v>232</v>
      </c>
    </row>
    <row r="16" spans="1:7" x14ac:dyDescent="0.25">
      <c r="A16" s="558" t="str">
        <f>LOOKUP(B16,Profiles!$B$12:$B$27,Profiles!$A$12:$A$27)</f>
        <v>Gas Boiler 0.77 lb/MWh NOx</v>
      </c>
      <c r="B16">
        <v>11</v>
      </c>
      <c r="C16" s="556">
        <f>LOOKUP(B16,Profiles!B$12:B$27,Profiles!H$12:H$27)</f>
        <v>0.77</v>
      </c>
      <c r="D16" s="555">
        <f>LOOKUP(B16,Profiles!B$11:B$27,Profiles!I$11:I$27)</f>
        <v>6.2368932038834946E-3</v>
      </c>
      <c r="E16" s="613">
        <f>LOOKUP(B16,Profiles!B$11:B$27,Profiles!J$11:J$27)</f>
        <v>1285.9000000000001</v>
      </c>
      <c r="F16" s="554">
        <f>LOOKUP(B16,Profiles!B$12:B$27,Profiles!C$12:C$27)</f>
        <v>11000</v>
      </c>
      <c r="G16" s="194" t="s">
        <v>232</v>
      </c>
    </row>
    <row r="17" spans="1:13" x14ac:dyDescent="0.25">
      <c r="A17" s="558" t="str">
        <f>LOOKUP(B17,Profiles!$B$12:$B$27,Profiles!$A$12:$A$27)</f>
        <v>Gas Turbine Peaker 25 ppm</v>
      </c>
      <c r="B17">
        <v>12</v>
      </c>
      <c r="C17" s="556">
        <f>LOOKUP(B17,Profiles!B$12:B$27,Profiles!H$12:H$27)</f>
        <v>1.1029411764705883</v>
      </c>
      <c r="D17" s="555">
        <f>LOOKUP(B17,Profiles!B$11:B$27,Profiles!I$11:I$27)</f>
        <v>6.8038834951456312E-3</v>
      </c>
      <c r="E17" s="613">
        <f>LOOKUP(B17,Profiles!B$11:B$27,Profiles!J$11:J$27)</f>
        <v>1402.8</v>
      </c>
      <c r="F17" s="554">
        <f>LOOKUP(B17,Profiles!B$12:B$27,Profiles!C$12:C$27)</f>
        <v>12000</v>
      </c>
      <c r="G17" s="194" t="s">
        <v>232</v>
      </c>
    </row>
    <row r="18" spans="1:13" x14ac:dyDescent="0.25">
      <c r="A18" s="558" t="str">
        <f>LOOKUP(B18,Profiles!$B$12:$B$27,Profiles!$A$12:$A$27)</f>
        <v>Gas combined-cycle 9 ppm</v>
      </c>
      <c r="B18">
        <v>13</v>
      </c>
      <c r="C18" s="556">
        <f>LOOKUP(B18,Profiles!B$12:B$27,Profiles!H$12:H$27)</f>
        <v>0.26470588235294118</v>
      </c>
      <c r="D18" s="555">
        <f>LOOKUP(B18,Profiles!B$11:B$27,Profiles!I$11:I$27)</f>
        <v>4.5359223300970872E-3</v>
      </c>
      <c r="E18" s="613">
        <f>LOOKUP(B18,Profiles!B$11:B$27,Profiles!J$11:J$27)</f>
        <v>935.2</v>
      </c>
      <c r="F18" s="554">
        <f>LOOKUP(B18,Profiles!B$12:B$27,Profiles!C$12:C$27)</f>
        <v>8000</v>
      </c>
      <c r="G18" s="194" t="s">
        <v>232</v>
      </c>
    </row>
    <row r="19" spans="1:13" ht="13" thickBot="1" x14ac:dyDescent="0.3">
      <c r="A19" s="615" t="s">
        <v>233</v>
      </c>
      <c r="B19" s="30">
        <v>14</v>
      </c>
      <c r="C19" s="557">
        <f>IFERROR(LOOKUP(B19,Profiles!B$12:B$27,Profiles!H$12:H$27),"-")</f>
        <v>7.720588235294118E-2</v>
      </c>
      <c r="D19" s="557">
        <f>LOOKUP(B19,Profiles!B$11:B$27,Profiles!I$11:I$27)</f>
        <v>3.9689320388349514E-3</v>
      </c>
      <c r="E19" s="645">
        <f>LOOKUP(B19,Profiles!B$11:B$27,Profiles!J$11:J$27)</f>
        <v>818.3</v>
      </c>
      <c r="F19" s="640">
        <f>IFERROR(LOOKUP(B19,Profiles!B$12:B$27,Profiles!C$12:C$27),"-")</f>
        <v>7000</v>
      </c>
      <c r="G19" s="194" t="s">
        <v>232</v>
      </c>
    </row>
    <row r="20" spans="1:13" x14ac:dyDescent="0.25">
      <c r="C20" s="28"/>
      <c r="D20" s="28"/>
      <c r="E20" s="27"/>
    </row>
    <row r="21" spans="1:13" x14ac:dyDescent="0.25">
      <c r="C21" s="28"/>
      <c r="D21" s="28"/>
      <c r="E21" s="27"/>
      <c r="M21" s="592"/>
    </row>
    <row r="22" spans="1:13" ht="13" thickBot="1" x14ac:dyDescent="0.3">
      <c r="A22" s="79" t="s">
        <v>234</v>
      </c>
      <c r="B22" s="79"/>
      <c r="C22" s="104"/>
      <c r="D22" s="104"/>
      <c r="E22" s="67"/>
      <c r="F22" s="67"/>
    </row>
    <row r="23" spans="1:13" ht="13" x14ac:dyDescent="0.3">
      <c r="A23" s="21" t="s">
        <v>235</v>
      </c>
      <c r="B23" s="22"/>
      <c r="C23" s="31"/>
      <c r="D23" s="31"/>
      <c r="E23" s="32"/>
      <c r="F23" s="36" t="s">
        <v>223</v>
      </c>
    </row>
    <row r="24" spans="1:13" x14ac:dyDescent="0.25">
      <c r="A24" s="23" t="s">
        <v>224</v>
      </c>
      <c r="B24" s="24" t="s">
        <v>225</v>
      </c>
      <c r="C24" s="24" t="s">
        <v>226</v>
      </c>
      <c r="D24" s="24" t="s">
        <v>227</v>
      </c>
      <c r="E24" s="25" t="s">
        <v>228</v>
      </c>
      <c r="F24" s="35" t="s">
        <v>229</v>
      </c>
    </row>
    <row r="25" spans="1:13" x14ac:dyDescent="0.25">
      <c r="A25" s="26" t="s">
        <v>236</v>
      </c>
      <c r="B25">
        <v>15</v>
      </c>
      <c r="C25" s="105">
        <v>0</v>
      </c>
      <c r="D25" s="105">
        <v>0</v>
      </c>
      <c r="E25" s="106">
        <v>0</v>
      </c>
      <c r="F25" s="107">
        <v>0</v>
      </c>
    </row>
    <row r="26" spans="1:13" x14ac:dyDescent="0.25">
      <c r="A26" s="26" t="s">
        <v>237</v>
      </c>
      <c r="B26">
        <v>16</v>
      </c>
      <c r="C26" s="105">
        <v>0</v>
      </c>
      <c r="D26" s="105">
        <v>0</v>
      </c>
      <c r="E26" s="106">
        <v>0</v>
      </c>
      <c r="F26" s="107">
        <v>0</v>
      </c>
    </row>
    <row r="27" spans="1:13" ht="13" thickBot="1" x14ac:dyDescent="0.3">
      <c r="A27" s="29" t="s">
        <v>238</v>
      </c>
      <c r="B27" s="30">
        <v>17</v>
      </c>
      <c r="C27" s="108">
        <v>0</v>
      </c>
      <c r="D27" s="108">
        <v>0</v>
      </c>
      <c r="E27" s="109">
        <v>0</v>
      </c>
      <c r="F27" s="110">
        <v>0</v>
      </c>
    </row>
  </sheetData>
  <sheetProtection algorithmName="SHA-512" hashValue="UNimM1EkpZRqPUruGRL4mPSFcZWqZN97xC4yAMTSzqkvnEXe7Sa4N8+HTs26rHZ5XvBMZBi4tZWSQdBS18RhAA==" saltValue="pzoktRj4QDtnGyHOt3zK7g==" spinCount="100000" sheet="1" objects="1" scenarios="1"/>
  <phoneticPr fontId="18" type="noConversion"/>
  <dataValidations count="4">
    <dataValidation type="decimal" allowBlank="1" showInputMessage="1" showErrorMessage="1" error="You have entered a NOx Emission rate that is either too high or too low._x000a__x000a_Must be between 0.04 and 10 lb/MWh_x000a__x000a_Please try again." sqref="C25:C27" xr:uid="{00000000-0002-0000-0400-000000000000}">
      <formula1>0.04</formula1>
      <formula2>10</formula2>
    </dataValidation>
    <dataValidation type="decimal" operator="lessThan" allowBlank="1" showInputMessage="1" showErrorMessage="1" error="You have entered an SO2 Emission rate that is too high._x000a__x000a_Must be less than 15 lb/MWh_x000a__x000a_Please try again." sqref="D25:D27" xr:uid="{00000000-0002-0000-0400-000001000000}">
      <formula1>15</formula1>
    </dataValidation>
    <dataValidation type="decimal" operator="lessThan" allowBlank="1" showInputMessage="1" showErrorMessage="1" error="You have entered a CO2 Emission rate that is too high._x000a__x000a_Must be less than 2500 lb/MWh_x000a__x000a_Please try again." sqref="E25:E27" xr:uid="{00000000-0002-0000-0400-000002000000}">
      <formula1>2500</formula1>
    </dataValidation>
    <dataValidation type="decimal" allowBlank="1" showInputMessage="1" showErrorMessage="1" error="You have entered a Heat Rate that is too high or too low._x000a__x000a_Your entry must be between _x000a_3,413 and 25,000 Btu/kWh._x000a__x000a_Please Try Again." sqref="F25:F27" xr:uid="{00000000-0002-0000-0400-000003000000}">
      <formula1>3413</formula1>
      <formula2>25000</formula2>
    </dataValidation>
  </dataValidations>
  <pageMargins left="0.75" right="0.75" top="1" bottom="1" header="0.5" footer="0.5"/>
  <pageSetup scale="48" orientation="landscape" r:id="rId1"/>
  <headerFooter alignWithMargins="0"/>
  <ignoredErrors>
    <ignoredError sqref="C9:C11 C19 C13:C16 C18 C17 F9:F11 F19 F13:F16 F12 F18 F7 C7" unlockedFormula="1"/>
  </ignoredErrors>
  <drawing r:id="rId2"/>
  <legacyDrawing r:id="rId3"/>
  <oleObjects>
    <mc:AlternateContent xmlns:mc="http://schemas.openxmlformats.org/markup-compatibility/2006">
      <mc:Choice Requires="x14">
        <oleObject progId="Acrobat.Document.DC" dvAspect="DVASPECT_ICON" shapeId="16387" r:id="rId4">
          <objectPr locked="0" defaultSize="0" autoPict="0" r:id="rId5">
            <anchor moveWithCells="1">
              <from>
                <xdr:col>7</xdr:col>
                <xdr:colOff>565150</xdr:colOff>
                <xdr:row>0</xdr:row>
                <xdr:rowOff>171450</xdr:rowOff>
              </from>
              <to>
                <xdr:col>10</xdr:col>
                <xdr:colOff>215900</xdr:colOff>
                <xdr:row>4</xdr:row>
                <xdr:rowOff>63500</xdr:rowOff>
              </to>
            </anchor>
          </objectPr>
        </oleObject>
      </mc:Choice>
      <mc:Fallback>
        <oleObject progId="Acrobat.Document.DC" dvAspect="DVASPECT_ICON" shapeId="16387" r:id="rId4"/>
      </mc:Fallback>
    </mc:AlternateContent>
  </oleObjects>
  <mc:AlternateContent xmlns:mc="http://schemas.openxmlformats.org/markup-compatibility/2006">
    <mc:Choice Requires="x14">
      <controls>
        <mc:AlternateContent xmlns:mc="http://schemas.openxmlformats.org/markup-compatibility/2006">
          <mc:Choice Requires="x14">
            <control shapeId="16385" r:id="rId6" name="Button 1">
              <controlPr defaultSize="0" autoFill="0" autoPict="0" macro="[0]!Genpaste_Click">
                <anchor moveWithCells="1">
                  <from>
                    <xdr:col>7</xdr:col>
                    <xdr:colOff>342900</xdr:colOff>
                    <xdr:row>24</xdr:row>
                    <xdr:rowOff>63500</xdr:rowOff>
                  </from>
                  <to>
                    <xdr:col>10</xdr:col>
                    <xdr:colOff>222250</xdr:colOff>
                    <xdr:row>30</xdr:row>
                    <xdr:rowOff>107950</xdr:rowOff>
                  </to>
                </anchor>
              </controlPr>
            </control>
          </mc:Choice>
        </mc:AlternateContent>
        <mc:AlternateContent xmlns:mc="http://schemas.openxmlformats.org/markup-compatibility/2006">
          <mc:Choice Requires="x14">
            <control shapeId="16386" r:id="rId7" name="Button 2">
              <controlPr defaultSize="0" autoFill="0" autoPict="0" macro="[0]!Genreset_Click">
                <anchor moveWithCells="1" sizeWithCells="1">
                  <from>
                    <xdr:col>7</xdr:col>
                    <xdr:colOff>342900</xdr:colOff>
                    <xdr:row>20</xdr:row>
                    <xdr:rowOff>0</xdr:rowOff>
                  </from>
                  <to>
                    <xdr:col>10</xdr:col>
                    <xdr:colOff>222250</xdr:colOff>
                    <xdr:row>23</xdr:row>
                    <xdr:rowOff>158750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dimension ref="A1:L31"/>
  <sheetViews>
    <sheetView workbookViewId="0">
      <selection activeCell="J1" sqref="J1"/>
    </sheetView>
  </sheetViews>
  <sheetFormatPr defaultColWidth="8.81640625" defaultRowHeight="12.5" x14ac:dyDescent="0.25"/>
  <cols>
    <col min="1" max="1" width="24.453125" style="331" customWidth="1"/>
    <col min="2" max="16384" width="8.81640625" style="331"/>
  </cols>
  <sheetData>
    <row r="1" spans="1:12" ht="15.5" x14ac:dyDescent="0.35">
      <c r="A1" s="390" t="s">
        <v>239</v>
      </c>
    </row>
    <row r="2" spans="1:12" x14ac:dyDescent="0.25">
      <c r="A2" s="935" t="s">
        <v>240</v>
      </c>
      <c r="B2" s="935"/>
      <c r="C2" s="935"/>
      <c r="D2" s="935"/>
      <c r="E2" s="935"/>
      <c r="F2" s="935"/>
      <c r="G2" s="935"/>
      <c r="H2" s="935"/>
      <c r="I2" s="935"/>
    </row>
    <row r="3" spans="1:12" x14ac:dyDescent="0.25">
      <c r="A3" s="935"/>
      <c r="B3" s="935"/>
      <c r="C3" s="935"/>
      <c r="D3" s="935"/>
      <c r="E3" s="935"/>
      <c r="F3" s="935"/>
      <c r="G3" s="935"/>
      <c r="H3" s="935"/>
      <c r="I3" s="935"/>
    </row>
    <row r="4" spans="1:12" ht="5.15" customHeight="1" x14ac:dyDescent="0.25">
      <c r="A4" s="591"/>
      <c r="B4" s="591"/>
      <c r="C4" s="591"/>
      <c r="D4" s="591"/>
      <c r="E4" s="591"/>
      <c r="F4" s="591"/>
      <c r="G4" s="591"/>
      <c r="H4" s="591"/>
      <c r="I4" s="591"/>
    </row>
    <row r="5" spans="1:12" ht="15.5" x14ac:dyDescent="0.35">
      <c r="A5" s="390" t="s">
        <v>241</v>
      </c>
    </row>
    <row r="6" spans="1:12" ht="13" thickBot="1" x14ac:dyDescent="0.3">
      <c r="A6" s="331" t="s">
        <v>242</v>
      </c>
    </row>
    <row r="7" spans="1:12" x14ac:dyDescent="0.25">
      <c r="A7" s="395"/>
      <c r="B7" s="929" t="s">
        <v>243</v>
      </c>
      <c r="C7" s="930"/>
      <c r="D7" s="936" t="s">
        <v>244</v>
      </c>
      <c r="E7" s="936"/>
      <c r="F7" s="937" t="s">
        <v>245</v>
      </c>
      <c r="G7" s="930"/>
      <c r="H7" s="938" t="s">
        <v>246</v>
      </c>
      <c r="I7" s="939"/>
      <c r="J7" s="589"/>
      <c r="K7" s="590"/>
      <c r="L7" s="590"/>
    </row>
    <row r="8" spans="1:12" ht="13.5" thickBot="1" x14ac:dyDescent="0.35">
      <c r="A8" s="396" t="s">
        <v>247</v>
      </c>
      <c r="B8" s="931"/>
      <c r="C8" s="932"/>
      <c r="D8" s="934"/>
      <c r="E8" s="934"/>
      <c r="F8" s="931"/>
      <c r="G8" s="932"/>
      <c r="H8" s="940"/>
      <c r="I8" s="941"/>
      <c r="J8" s="589"/>
      <c r="K8" s="590"/>
      <c r="L8" s="590"/>
    </row>
    <row r="9" spans="1:12" x14ac:dyDescent="0.25">
      <c r="A9" s="572" t="s">
        <v>248</v>
      </c>
      <c r="B9" s="393">
        <v>8740</v>
      </c>
      <c r="C9" s="398" t="s">
        <v>214</v>
      </c>
      <c r="D9" s="573">
        <v>206.7</v>
      </c>
      <c r="E9" s="331" t="s">
        <v>95</v>
      </c>
      <c r="F9" s="397">
        <v>0.49</v>
      </c>
      <c r="G9" s="398" t="s">
        <v>95</v>
      </c>
      <c r="H9" s="331">
        <v>2.5000000000000001E-2</v>
      </c>
      <c r="I9" s="587" t="s">
        <v>95</v>
      </c>
      <c r="J9" s="589"/>
      <c r="K9" s="590"/>
      <c r="L9" s="590"/>
    </row>
    <row r="10" spans="1:12" ht="13" x14ac:dyDescent="0.3">
      <c r="A10" s="572" t="s">
        <v>249</v>
      </c>
      <c r="B10" s="393">
        <v>4125</v>
      </c>
      <c r="C10" s="398" t="s">
        <v>214</v>
      </c>
      <c r="D10" s="573">
        <v>260.39999999999998</v>
      </c>
      <c r="E10" s="331" t="s">
        <v>95</v>
      </c>
      <c r="F10" s="574"/>
      <c r="G10" s="575"/>
      <c r="H10" s="576"/>
      <c r="I10" s="575"/>
      <c r="J10" s="589"/>
      <c r="K10" s="590"/>
      <c r="L10" s="590"/>
    </row>
    <row r="11" spans="1:12" ht="13" x14ac:dyDescent="0.3">
      <c r="A11" s="572" t="s">
        <v>250</v>
      </c>
      <c r="B11" s="393">
        <v>5195</v>
      </c>
      <c r="C11" s="398" t="s">
        <v>214</v>
      </c>
      <c r="D11" s="573">
        <v>232.5</v>
      </c>
      <c r="E11" s="331" t="s">
        <v>95</v>
      </c>
      <c r="F11" s="574"/>
      <c r="G11" s="575"/>
      <c r="H11" s="576"/>
      <c r="I11" s="575"/>
      <c r="J11" s="589"/>
      <c r="K11" s="590"/>
      <c r="L11" s="590"/>
    </row>
    <row r="12" spans="1:12" x14ac:dyDescent="0.25">
      <c r="A12" s="572" t="s">
        <v>251</v>
      </c>
      <c r="B12" s="393">
        <v>655</v>
      </c>
      <c r="C12" s="398" t="s">
        <v>252</v>
      </c>
      <c r="D12" s="573">
        <v>114.7</v>
      </c>
      <c r="E12" s="331" t="s">
        <v>95</v>
      </c>
      <c r="F12" s="397"/>
      <c r="G12" s="398"/>
      <c r="I12" s="398"/>
      <c r="J12" s="589"/>
      <c r="K12" s="590"/>
      <c r="L12" s="590"/>
    </row>
    <row r="13" spans="1:12" ht="13" x14ac:dyDescent="0.3">
      <c r="A13" s="572" t="s">
        <v>253</v>
      </c>
      <c r="B13" s="393">
        <v>485</v>
      </c>
      <c r="C13" s="398" t="s">
        <v>252</v>
      </c>
      <c r="D13" s="573">
        <v>114.7</v>
      </c>
      <c r="E13" s="331" t="s">
        <v>95</v>
      </c>
      <c r="F13" s="577"/>
      <c r="G13" s="578"/>
      <c r="H13" s="579"/>
      <c r="I13" s="578"/>
      <c r="J13" s="589"/>
      <c r="K13" s="590"/>
      <c r="L13" s="590"/>
    </row>
    <row r="14" spans="1:12" x14ac:dyDescent="0.25">
      <c r="A14" s="572" t="s">
        <v>254</v>
      </c>
      <c r="B14" s="393">
        <v>128000</v>
      </c>
      <c r="C14" s="398" t="s">
        <v>255</v>
      </c>
      <c r="D14" s="573">
        <v>162.69999999999999</v>
      </c>
      <c r="E14" s="331" t="s">
        <v>95</v>
      </c>
      <c r="F14" s="397"/>
      <c r="G14" s="398"/>
      <c r="I14" s="398"/>
      <c r="J14" s="589"/>
      <c r="K14" s="590"/>
      <c r="L14" s="590"/>
    </row>
    <row r="15" spans="1:12" ht="13.4" customHeight="1" thickBot="1" x14ac:dyDescent="0.3">
      <c r="A15" s="580" t="s">
        <v>256</v>
      </c>
      <c r="B15" s="394">
        <v>84000</v>
      </c>
      <c r="C15" s="401" t="s">
        <v>255</v>
      </c>
      <c r="D15" s="571">
        <v>150.80000000000001</v>
      </c>
      <c r="E15" s="399" t="s">
        <v>95</v>
      </c>
      <c r="F15" s="400"/>
      <c r="G15" s="401"/>
      <c r="H15" s="399"/>
      <c r="I15" s="401"/>
      <c r="J15" s="589"/>
      <c r="K15" s="590"/>
      <c r="L15" s="590"/>
    </row>
    <row r="16" spans="1:12" ht="13.5" x14ac:dyDescent="0.35">
      <c r="A16" s="402" t="s">
        <v>257</v>
      </c>
    </row>
    <row r="17" spans="1:9" s="581" customFormat="1" ht="38.15" customHeight="1" x14ac:dyDescent="0.25">
      <c r="A17" s="928" t="s">
        <v>258</v>
      </c>
      <c r="B17" s="928"/>
      <c r="C17" s="928"/>
      <c r="D17" s="928"/>
      <c r="E17" s="928"/>
      <c r="F17" s="928"/>
      <c r="G17" s="928"/>
      <c r="H17" s="928"/>
      <c r="I17" s="928"/>
    </row>
    <row r="18" spans="1:9" ht="5.15" customHeight="1" x14ac:dyDescent="0.25">
      <c r="A18" s="591"/>
      <c r="B18" s="591"/>
      <c r="C18" s="591"/>
      <c r="D18" s="591"/>
      <c r="E18" s="591"/>
      <c r="F18" s="591"/>
      <c r="G18" s="591"/>
      <c r="H18" s="591"/>
      <c r="I18" s="591"/>
    </row>
    <row r="19" spans="1:9" ht="16" thickBot="1" x14ac:dyDescent="0.4">
      <c r="A19" s="390" t="s">
        <v>259</v>
      </c>
    </row>
    <row r="20" spans="1:9" x14ac:dyDescent="0.25">
      <c r="A20" s="391"/>
      <c r="B20" s="929" t="s">
        <v>243</v>
      </c>
      <c r="C20" s="930"/>
      <c r="D20" s="933" t="s">
        <v>260</v>
      </c>
      <c r="E20" s="930"/>
    </row>
    <row r="21" spans="1:9" ht="13.5" thickBot="1" x14ac:dyDescent="0.35">
      <c r="A21" s="582" t="s">
        <v>261</v>
      </c>
      <c r="B21" s="931"/>
      <c r="C21" s="932"/>
      <c r="D21" s="934"/>
      <c r="E21" s="932"/>
      <c r="H21" s="583"/>
    </row>
    <row r="22" spans="1:9" x14ac:dyDescent="0.25">
      <c r="A22" s="584" t="s">
        <v>262</v>
      </c>
      <c r="B22" s="393">
        <v>12545</v>
      </c>
      <c r="C22" s="398" t="s">
        <v>214</v>
      </c>
      <c r="D22" s="403">
        <v>228.6</v>
      </c>
      <c r="E22" s="404" t="s">
        <v>95</v>
      </c>
      <c r="H22" s="583"/>
    </row>
    <row r="23" spans="1:9" x14ac:dyDescent="0.25">
      <c r="A23" s="584" t="s">
        <v>263</v>
      </c>
      <c r="B23" s="393">
        <v>12465</v>
      </c>
      <c r="C23" s="398" t="s">
        <v>214</v>
      </c>
      <c r="D23" s="392">
        <v>205.6</v>
      </c>
      <c r="E23" s="398" t="s">
        <v>95</v>
      </c>
      <c r="H23" s="583"/>
    </row>
    <row r="24" spans="1:9" x14ac:dyDescent="0.25">
      <c r="A24" s="584" t="s">
        <v>264</v>
      </c>
      <c r="B24" s="393">
        <v>8625</v>
      </c>
      <c r="C24" s="398" t="s">
        <v>214</v>
      </c>
      <c r="D24" s="392">
        <v>214.2</v>
      </c>
      <c r="E24" s="398" t="s">
        <v>95</v>
      </c>
      <c r="H24" s="585"/>
    </row>
    <row r="25" spans="1:9" x14ac:dyDescent="0.25">
      <c r="A25" s="584" t="s">
        <v>265</v>
      </c>
      <c r="B25" s="393">
        <v>7105</v>
      </c>
      <c r="C25" s="398" t="s">
        <v>214</v>
      </c>
      <c r="D25" s="392">
        <v>215.4</v>
      </c>
      <c r="E25" s="398" t="s">
        <v>95</v>
      </c>
      <c r="H25" s="583"/>
    </row>
    <row r="26" spans="1:9" x14ac:dyDescent="0.25">
      <c r="A26" s="584" t="s">
        <v>266</v>
      </c>
      <c r="B26" s="393">
        <v>11175</v>
      </c>
      <c r="C26" s="398" t="s">
        <v>214</v>
      </c>
      <c r="D26" s="392">
        <v>208.7</v>
      </c>
      <c r="E26" s="398" t="s">
        <v>95</v>
      </c>
      <c r="H26" s="583"/>
    </row>
    <row r="27" spans="1:9" ht="13" thickBot="1" x14ac:dyDescent="0.3">
      <c r="A27" s="586" t="s">
        <v>267</v>
      </c>
      <c r="B27" s="394">
        <v>10695</v>
      </c>
      <c r="C27" s="401" t="s">
        <v>214</v>
      </c>
      <c r="D27" s="588">
        <v>207.8</v>
      </c>
      <c r="E27" s="401" t="s">
        <v>95</v>
      </c>
      <c r="H27" s="583"/>
    </row>
    <row r="28" spans="1:9" x14ac:dyDescent="0.25">
      <c r="A28" s="405" t="s">
        <v>268</v>
      </c>
    </row>
    <row r="30" spans="1:9" ht="13" x14ac:dyDescent="0.3">
      <c r="A30" s="406" t="s">
        <v>269</v>
      </c>
    </row>
    <row r="31" spans="1:9" x14ac:dyDescent="0.25">
      <c r="A31" s="407" t="s">
        <v>270</v>
      </c>
    </row>
  </sheetData>
  <sheetProtection algorithmName="SHA-512" hashValue="b0Izrv58VAdOZCF9hWlTyi7E3K6L63gLON6SMqYgm6Unlvs7ER5jj4zdPJibzn3i5ThFiL3MAJfzMU9sxkCc3g==" saltValue="KsOs+f8d4CJnpogNlQltSw==" spinCount="100000" sheet="1" objects="1" scenarios="1"/>
  <mergeCells count="8">
    <mergeCell ref="A17:I17"/>
    <mergeCell ref="B20:C21"/>
    <mergeCell ref="D20:E21"/>
    <mergeCell ref="A2:I3"/>
    <mergeCell ref="B7:C8"/>
    <mergeCell ref="D7:E8"/>
    <mergeCell ref="F7:G8"/>
    <mergeCell ref="H7:I8"/>
  </mergeCells>
  <phoneticPr fontId="18" type="noConversion"/>
  <hyperlinks>
    <hyperlink ref="A31" r:id="rId1" xr:uid="{07236D16-CC53-4634-8BED-F99BBB813D6A}"/>
  </hyperlinks>
  <pageMargins left="0.75" right="0.75" top="1" bottom="1" header="0.5" footer="0.5"/>
  <pageSetup orientation="portrait" r:id="rId2"/>
  <headerFooter alignWithMargins="0"/>
  <drawing r:id="rId3"/>
  <legacyDrawing r:id="rId4"/>
  <oleObjects>
    <mc:AlternateContent xmlns:mc="http://schemas.openxmlformats.org/markup-compatibility/2006">
      <mc:Choice Requires="x14">
        <oleObject progId="Acrobat.Document.DC" dvAspect="DVASPECT_ICON" shapeId="24590" r:id="rId5">
          <objectPr locked="0" defaultSize="0" autoPict="0" r:id="rId6">
            <anchor moveWithCells="1">
              <from>
                <xdr:col>12</xdr:col>
                <xdr:colOff>19050</xdr:colOff>
                <xdr:row>0</xdr:row>
                <xdr:rowOff>0</xdr:rowOff>
              </from>
              <to>
                <xdr:col>14</xdr:col>
                <xdr:colOff>279400</xdr:colOff>
                <xdr:row>4</xdr:row>
                <xdr:rowOff>76200</xdr:rowOff>
              </to>
            </anchor>
          </objectPr>
        </oleObject>
      </mc:Choice>
      <mc:Fallback>
        <oleObject progId="Acrobat.Document.DC" dvAspect="DVASPECT_ICON" shapeId="24590" r:id="rId5"/>
      </mc:Fallback>
    </mc:AlternateContent>
  </oleObjects>
  <mc:AlternateContent xmlns:mc="http://schemas.openxmlformats.org/markup-compatibility/2006">
    <mc:Choice Requires="x14">
      <controls>
        <mc:AlternateContent xmlns:mc="http://schemas.openxmlformats.org/markup-compatibility/2006">
          <mc:Choice Requires="x14">
            <control shapeId="24577" r:id="rId7" name="Button 1">
              <controlPr defaultSize="0" print="0" autoFill="0" autoPict="0" macro="[0]!BiomassData_Button1_Click">
                <anchor moveWithCells="1" sizeWithCells="1">
                  <from>
                    <xdr:col>9</xdr:col>
                    <xdr:colOff>203200</xdr:colOff>
                    <xdr:row>4</xdr:row>
                    <xdr:rowOff>31750</xdr:rowOff>
                  </from>
                  <to>
                    <xdr:col>11</xdr:col>
                    <xdr:colOff>381000</xdr:colOff>
                    <xdr:row>7</xdr:row>
                    <xdr:rowOff>31750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4"/>
  <dimension ref="A1:N93"/>
  <sheetViews>
    <sheetView zoomScale="90" zoomScaleNormal="90" workbookViewId="0">
      <selection activeCell="P1" sqref="P1"/>
    </sheetView>
  </sheetViews>
  <sheetFormatPr defaultColWidth="8.81640625" defaultRowHeight="12.5" x14ac:dyDescent="0.25"/>
  <cols>
    <col min="1" max="16384" width="8.81640625" style="331"/>
  </cols>
  <sheetData>
    <row r="1" spans="1:14" x14ac:dyDescent="0.25">
      <c r="A1" s="604"/>
      <c r="B1" s="605"/>
      <c r="C1" s="605"/>
      <c r="D1" s="605"/>
      <c r="E1" s="605"/>
      <c r="F1" s="605"/>
      <c r="G1" s="605"/>
      <c r="H1" s="605"/>
      <c r="I1" s="605"/>
      <c r="J1" s="605"/>
      <c r="K1" s="605"/>
      <c r="L1" s="605"/>
      <c r="M1" s="605"/>
      <c r="N1" s="606"/>
    </row>
    <row r="2" spans="1:14" ht="20.149999999999999" customHeight="1" x14ac:dyDescent="0.25">
      <c r="A2" s="942" t="s">
        <v>271</v>
      </c>
      <c r="B2" s="943"/>
      <c r="C2" s="943"/>
      <c r="D2" s="943"/>
      <c r="E2" s="943"/>
      <c r="F2" s="943"/>
      <c r="N2" s="607"/>
    </row>
    <row r="3" spans="1:14" x14ac:dyDescent="0.25">
      <c r="A3" s="608"/>
      <c r="N3" s="607"/>
    </row>
    <row r="4" spans="1:14" x14ac:dyDescent="0.25">
      <c r="A4" s="608"/>
      <c r="N4" s="607"/>
    </row>
    <row r="5" spans="1:14" x14ac:dyDescent="0.25">
      <c r="A5" s="608"/>
      <c r="N5" s="607"/>
    </row>
    <row r="6" spans="1:14" x14ac:dyDescent="0.25">
      <c r="A6" s="608"/>
      <c r="N6" s="607"/>
    </row>
    <row r="7" spans="1:14" x14ac:dyDescent="0.25">
      <c r="A7" s="608"/>
      <c r="M7"/>
      <c r="N7" s="607"/>
    </row>
    <row r="8" spans="1:14" x14ac:dyDescent="0.25">
      <c r="A8" s="608"/>
      <c r="B8"/>
      <c r="N8" s="607"/>
    </row>
    <row r="9" spans="1:14" x14ac:dyDescent="0.25">
      <c r="A9" s="608"/>
      <c r="N9" s="607"/>
    </row>
    <row r="10" spans="1:14" x14ac:dyDescent="0.25">
      <c r="A10" s="608"/>
      <c r="N10" s="607"/>
    </row>
    <row r="11" spans="1:14" x14ac:dyDescent="0.25">
      <c r="A11" s="608"/>
      <c r="N11" s="607"/>
    </row>
    <row r="12" spans="1:14" x14ac:dyDescent="0.25">
      <c r="A12" s="608"/>
      <c r="N12" s="607"/>
    </row>
    <row r="13" spans="1:14" x14ac:dyDescent="0.25">
      <c r="A13" s="608"/>
      <c r="N13" s="607"/>
    </row>
    <row r="14" spans="1:14" x14ac:dyDescent="0.25">
      <c r="A14" s="608"/>
      <c r="N14" s="607"/>
    </row>
    <row r="15" spans="1:14" x14ac:dyDescent="0.25">
      <c r="A15" s="608"/>
      <c r="N15" s="607"/>
    </row>
    <row r="16" spans="1:14" x14ac:dyDescent="0.25">
      <c r="A16" s="608"/>
      <c r="N16" s="607"/>
    </row>
    <row r="17" spans="1:14" x14ac:dyDescent="0.25">
      <c r="A17" s="608"/>
      <c r="N17" s="607"/>
    </row>
    <row r="18" spans="1:14" x14ac:dyDescent="0.25">
      <c r="A18" s="608"/>
      <c r="N18" s="607"/>
    </row>
    <row r="19" spans="1:14" x14ac:dyDescent="0.25">
      <c r="A19" s="608"/>
      <c r="N19" s="607"/>
    </row>
    <row r="20" spans="1:14" x14ac:dyDescent="0.25">
      <c r="A20" s="608"/>
      <c r="N20" s="607"/>
    </row>
    <row r="21" spans="1:14" x14ac:dyDescent="0.25">
      <c r="A21" s="608"/>
      <c r="N21" s="607"/>
    </row>
    <row r="22" spans="1:14" x14ac:dyDescent="0.25">
      <c r="A22" s="608"/>
      <c r="N22" s="607"/>
    </row>
    <row r="23" spans="1:14" x14ac:dyDescent="0.25">
      <c r="A23" s="608"/>
      <c r="N23" s="607"/>
    </row>
    <row r="24" spans="1:14" x14ac:dyDescent="0.25">
      <c r="A24" s="608"/>
      <c r="N24" s="607"/>
    </row>
    <row r="25" spans="1:14" x14ac:dyDescent="0.25">
      <c r="A25" s="608"/>
      <c r="N25" s="607"/>
    </row>
    <row r="26" spans="1:14" x14ac:dyDescent="0.25">
      <c r="A26" s="608"/>
      <c r="N26" s="607"/>
    </row>
    <row r="27" spans="1:14" x14ac:dyDescent="0.25">
      <c r="A27" s="608"/>
      <c r="N27" s="607"/>
    </row>
    <row r="28" spans="1:14" x14ac:dyDescent="0.25">
      <c r="A28" s="608"/>
      <c r="N28" s="607"/>
    </row>
    <row r="29" spans="1:14" x14ac:dyDescent="0.25">
      <c r="A29" s="608"/>
      <c r="N29" s="607"/>
    </row>
    <row r="30" spans="1:14" x14ac:dyDescent="0.25">
      <c r="A30" s="608"/>
      <c r="N30" s="607"/>
    </row>
    <row r="31" spans="1:14" x14ac:dyDescent="0.25">
      <c r="A31" s="608"/>
      <c r="N31" s="607"/>
    </row>
    <row r="32" spans="1:14" ht="13" thickBot="1" x14ac:dyDescent="0.3">
      <c r="A32" s="609"/>
      <c r="B32" s="610"/>
      <c r="C32" s="610"/>
      <c r="D32" s="610"/>
      <c r="E32" s="610"/>
      <c r="F32" s="610"/>
      <c r="G32" s="610"/>
      <c r="H32" s="610"/>
      <c r="I32" s="610"/>
      <c r="J32" s="610"/>
      <c r="K32" s="610"/>
      <c r="L32" s="610"/>
      <c r="M32" s="610"/>
      <c r="N32" s="611"/>
    </row>
    <row r="33" spans="1:14" x14ac:dyDescent="0.25">
      <c r="A33" s="604"/>
      <c r="B33" s="605"/>
      <c r="C33" s="605"/>
      <c r="D33" s="605"/>
      <c r="E33" s="605"/>
      <c r="F33" s="605"/>
      <c r="G33" s="605"/>
      <c r="H33" s="605"/>
      <c r="I33" s="605"/>
      <c r="J33" s="605"/>
      <c r="K33" s="605"/>
      <c r="L33" s="605"/>
      <c r="M33" s="605"/>
      <c r="N33" s="606"/>
    </row>
    <row r="34" spans="1:14" ht="20.149999999999999" customHeight="1" x14ac:dyDescent="0.25">
      <c r="A34" s="942" t="s">
        <v>272</v>
      </c>
      <c r="B34" s="943"/>
      <c r="C34" s="943"/>
      <c r="D34" s="943"/>
      <c r="E34" s="943"/>
      <c r="F34" s="943"/>
      <c r="N34" s="607"/>
    </row>
    <row r="35" spans="1:14" x14ac:dyDescent="0.25">
      <c r="A35" s="608"/>
      <c r="N35" s="607"/>
    </row>
    <row r="36" spans="1:14" x14ac:dyDescent="0.25">
      <c r="A36" s="612"/>
      <c r="N36" s="607"/>
    </row>
    <row r="37" spans="1:14" x14ac:dyDescent="0.25">
      <c r="A37" s="608"/>
      <c r="N37" s="607"/>
    </row>
    <row r="38" spans="1:14" x14ac:dyDescent="0.25">
      <c r="A38" s="608"/>
      <c r="N38" s="607"/>
    </row>
    <row r="39" spans="1:14" x14ac:dyDescent="0.25">
      <c r="A39" s="608"/>
      <c r="N39" s="607"/>
    </row>
    <row r="40" spans="1:14" x14ac:dyDescent="0.25">
      <c r="A40" s="608"/>
      <c r="N40" s="607"/>
    </row>
    <row r="41" spans="1:14" x14ac:dyDescent="0.25">
      <c r="A41" s="608"/>
      <c r="N41" s="607"/>
    </row>
    <row r="42" spans="1:14" x14ac:dyDescent="0.25">
      <c r="A42" s="608"/>
      <c r="N42" s="607"/>
    </row>
    <row r="43" spans="1:14" x14ac:dyDescent="0.25">
      <c r="A43" s="608"/>
      <c r="N43" s="607"/>
    </row>
    <row r="44" spans="1:14" x14ac:dyDescent="0.25">
      <c r="A44" s="608"/>
      <c r="N44" s="607"/>
    </row>
    <row r="45" spans="1:14" x14ac:dyDescent="0.25">
      <c r="A45" s="608"/>
      <c r="N45" s="607"/>
    </row>
    <row r="46" spans="1:14" x14ac:dyDescent="0.25">
      <c r="A46" s="608"/>
      <c r="N46" s="607"/>
    </row>
    <row r="47" spans="1:14" x14ac:dyDescent="0.25">
      <c r="A47" s="608"/>
      <c r="N47" s="607"/>
    </row>
    <row r="48" spans="1:14" x14ac:dyDescent="0.25">
      <c r="A48" s="608"/>
      <c r="N48" s="607"/>
    </row>
    <row r="49" spans="1:14" x14ac:dyDescent="0.25">
      <c r="A49" s="608"/>
      <c r="N49" s="607"/>
    </row>
    <row r="50" spans="1:14" x14ac:dyDescent="0.25">
      <c r="A50" s="608"/>
      <c r="N50" s="607"/>
    </row>
    <row r="51" spans="1:14" x14ac:dyDescent="0.25">
      <c r="A51" s="608"/>
      <c r="N51" s="607"/>
    </row>
    <row r="52" spans="1:14" x14ac:dyDescent="0.25">
      <c r="A52" s="608"/>
      <c r="N52" s="607"/>
    </row>
    <row r="53" spans="1:14" x14ac:dyDescent="0.25">
      <c r="A53" s="608"/>
      <c r="N53" s="607"/>
    </row>
    <row r="54" spans="1:14" x14ac:dyDescent="0.25">
      <c r="A54" s="608"/>
      <c r="N54" s="607"/>
    </row>
    <row r="55" spans="1:14" x14ac:dyDescent="0.25">
      <c r="A55" s="608"/>
      <c r="N55" s="607"/>
    </row>
    <row r="56" spans="1:14" x14ac:dyDescent="0.25">
      <c r="A56" s="608"/>
      <c r="N56" s="607"/>
    </row>
    <row r="57" spans="1:14" x14ac:dyDescent="0.25">
      <c r="A57" s="608"/>
      <c r="N57" s="607"/>
    </row>
    <row r="58" spans="1:14" x14ac:dyDescent="0.25">
      <c r="A58" s="608"/>
      <c r="N58" s="607"/>
    </row>
    <row r="59" spans="1:14" x14ac:dyDescent="0.25">
      <c r="A59" s="608"/>
      <c r="N59" s="607"/>
    </row>
    <row r="60" spans="1:14" x14ac:dyDescent="0.25">
      <c r="A60" s="608"/>
      <c r="N60" s="607"/>
    </row>
    <row r="61" spans="1:14" ht="13" thickBot="1" x14ac:dyDescent="0.3">
      <c r="A61" s="609"/>
      <c r="B61" s="610"/>
      <c r="C61" s="610"/>
      <c r="D61" s="610"/>
      <c r="E61" s="610"/>
      <c r="F61" s="610"/>
      <c r="G61" s="610"/>
      <c r="H61" s="610"/>
      <c r="I61" s="610"/>
      <c r="J61" s="610"/>
      <c r="K61" s="610"/>
      <c r="L61" s="610"/>
      <c r="M61" s="610"/>
      <c r="N61" s="611"/>
    </row>
    <row r="62" spans="1:14" x14ac:dyDescent="0.25">
      <c r="A62" s="604"/>
      <c r="B62" s="605"/>
      <c r="C62" s="605"/>
      <c r="D62" s="605"/>
      <c r="E62" s="605"/>
      <c r="F62" s="605"/>
      <c r="G62" s="605"/>
      <c r="H62" s="605"/>
      <c r="I62" s="605"/>
      <c r="J62" s="605"/>
      <c r="K62" s="605"/>
      <c r="L62" s="605"/>
      <c r="M62" s="605"/>
      <c r="N62" s="606"/>
    </row>
    <row r="63" spans="1:14" ht="20.149999999999999" customHeight="1" x14ac:dyDescent="0.25">
      <c r="A63" s="942" t="s">
        <v>273</v>
      </c>
      <c r="B63" s="943"/>
      <c r="C63" s="943"/>
      <c r="D63" s="943"/>
      <c r="E63" s="943"/>
      <c r="F63" s="943"/>
      <c r="N63" s="607"/>
    </row>
    <row r="64" spans="1:14" x14ac:dyDescent="0.25">
      <c r="A64" s="608"/>
      <c r="N64" s="607"/>
    </row>
    <row r="65" spans="1:14" x14ac:dyDescent="0.25">
      <c r="A65" s="608"/>
      <c r="N65" s="607"/>
    </row>
    <row r="66" spans="1:14" x14ac:dyDescent="0.25">
      <c r="A66" s="608"/>
      <c r="N66" s="607"/>
    </row>
    <row r="67" spans="1:14" x14ac:dyDescent="0.25">
      <c r="A67" s="608"/>
      <c r="N67" s="607"/>
    </row>
    <row r="68" spans="1:14" x14ac:dyDescent="0.25">
      <c r="A68" s="608"/>
      <c r="N68" s="607"/>
    </row>
    <row r="69" spans="1:14" x14ac:dyDescent="0.25">
      <c r="A69" s="608"/>
      <c r="N69" s="607"/>
    </row>
    <row r="70" spans="1:14" x14ac:dyDescent="0.25">
      <c r="A70" s="608"/>
      <c r="N70" s="607"/>
    </row>
    <row r="71" spans="1:14" x14ac:dyDescent="0.25">
      <c r="A71" s="608"/>
      <c r="N71" s="607"/>
    </row>
    <row r="72" spans="1:14" x14ac:dyDescent="0.25">
      <c r="A72" s="608"/>
      <c r="N72" s="607"/>
    </row>
    <row r="73" spans="1:14" x14ac:dyDescent="0.25">
      <c r="A73" s="608"/>
      <c r="N73" s="607"/>
    </row>
    <row r="74" spans="1:14" x14ac:dyDescent="0.25">
      <c r="A74" s="608"/>
      <c r="N74" s="607"/>
    </row>
    <row r="75" spans="1:14" x14ac:dyDescent="0.25">
      <c r="A75" s="608"/>
      <c r="N75" s="607"/>
    </row>
    <row r="76" spans="1:14" x14ac:dyDescent="0.25">
      <c r="A76" s="608"/>
      <c r="N76" s="607"/>
    </row>
    <row r="77" spans="1:14" x14ac:dyDescent="0.25">
      <c r="A77" s="608"/>
      <c r="N77" s="607"/>
    </row>
    <row r="78" spans="1:14" x14ac:dyDescent="0.25">
      <c r="A78" s="608"/>
      <c r="N78" s="607"/>
    </row>
    <row r="79" spans="1:14" x14ac:dyDescent="0.25">
      <c r="A79" s="608"/>
      <c r="N79" s="607"/>
    </row>
    <row r="80" spans="1:14" x14ac:dyDescent="0.25">
      <c r="A80" s="608"/>
      <c r="N80" s="607"/>
    </row>
    <row r="81" spans="1:14" x14ac:dyDescent="0.25">
      <c r="A81" s="608"/>
      <c r="N81" s="607"/>
    </row>
    <row r="82" spans="1:14" x14ac:dyDescent="0.25">
      <c r="A82" s="608"/>
      <c r="N82" s="607"/>
    </row>
    <row r="83" spans="1:14" x14ac:dyDescent="0.25">
      <c r="A83" s="608"/>
      <c r="N83" s="607"/>
    </row>
    <row r="84" spans="1:14" x14ac:dyDescent="0.25">
      <c r="A84" s="608"/>
      <c r="N84" s="607"/>
    </row>
    <row r="85" spans="1:14" x14ac:dyDescent="0.25">
      <c r="A85" s="608"/>
      <c r="N85" s="607"/>
    </row>
    <row r="86" spans="1:14" x14ac:dyDescent="0.25">
      <c r="A86" s="608"/>
      <c r="N86" s="607"/>
    </row>
    <row r="87" spans="1:14" x14ac:dyDescent="0.25">
      <c r="A87" s="608"/>
      <c r="N87" s="607"/>
    </row>
    <row r="88" spans="1:14" x14ac:dyDescent="0.25">
      <c r="A88" s="608"/>
      <c r="N88" s="607"/>
    </row>
    <row r="89" spans="1:14" x14ac:dyDescent="0.25">
      <c r="A89" s="608"/>
      <c r="N89" s="607"/>
    </row>
    <row r="90" spans="1:14" x14ac:dyDescent="0.25">
      <c r="A90" s="608"/>
      <c r="N90" s="607"/>
    </row>
    <row r="91" spans="1:14" x14ac:dyDescent="0.25">
      <c r="A91" s="608"/>
      <c r="N91" s="607"/>
    </row>
    <row r="92" spans="1:14" x14ac:dyDescent="0.25">
      <c r="A92" s="608"/>
      <c r="N92" s="607"/>
    </row>
    <row r="93" spans="1:14" ht="13" thickBot="1" x14ac:dyDescent="0.3">
      <c r="A93" s="609"/>
      <c r="B93" s="610"/>
      <c r="C93" s="610"/>
      <c r="D93" s="610"/>
      <c r="E93" s="610"/>
      <c r="F93" s="610"/>
      <c r="G93" s="610"/>
      <c r="H93" s="610"/>
      <c r="I93" s="610"/>
      <c r="J93" s="610"/>
      <c r="K93" s="610"/>
      <c r="L93" s="610"/>
      <c r="M93" s="610"/>
      <c r="N93" s="611"/>
    </row>
  </sheetData>
  <sheetProtection algorithmName="SHA-512" hashValue="BQa29rIyZ9RWfSkFHQ4VsDJ2v66Yfj8/uqMbxfeOtOSUluxhdHGJFLVmQyum7PhGIWMV1Z5qSCtkebUZ8yfrLw==" saltValue="6GrdZkYwNSGI97Zqblwz/Q==" spinCount="100000" sheet="1" objects="1" scenarios="1"/>
  <mergeCells count="3">
    <mergeCell ref="A63:F63"/>
    <mergeCell ref="A34:F34"/>
    <mergeCell ref="A2:F2"/>
  </mergeCells>
  <pageMargins left="0.7" right="0.7" top="0.75" bottom="0.75" header="0.3" footer="0.3"/>
  <pageSetup orientation="portrait" horizontalDpi="300" verticalDpi="300" r:id="rId1"/>
  <drawing r:id="rId2"/>
  <legacyDrawing r:id="rId3"/>
  <oleObjects>
    <mc:AlternateContent xmlns:mc="http://schemas.openxmlformats.org/markup-compatibility/2006">
      <mc:Choice Requires="x14">
        <oleObject progId="Acrobat.Document.DC" dvAspect="DVASPECT_ICON" shapeId="56341" r:id="rId4">
          <objectPr locked="0" defaultSize="0" autoPict="0" r:id="rId5">
            <anchor moveWithCells="1">
              <from>
                <xdr:col>11</xdr:col>
                <xdr:colOff>552450</xdr:colOff>
                <xdr:row>0</xdr:row>
                <xdr:rowOff>0</xdr:rowOff>
              </from>
              <to>
                <xdr:col>14</xdr:col>
                <xdr:colOff>476250</xdr:colOff>
                <xdr:row>4</xdr:row>
                <xdr:rowOff>63500</xdr:rowOff>
              </to>
            </anchor>
          </objectPr>
        </oleObject>
      </mc:Choice>
      <mc:Fallback>
        <oleObject progId="Acrobat.Document.DC" dvAspect="DVASPECT_ICON" shapeId="56341" r:id="rId4"/>
      </mc:Fallback>
    </mc:AlternateContent>
  </oleObjects>
  <mc:AlternateContent xmlns:mc="http://schemas.openxmlformats.org/markup-compatibility/2006">
    <mc:Choice Requires="x14">
      <controls>
        <mc:AlternateContent xmlns:mc="http://schemas.openxmlformats.org/markup-compatibility/2006">
          <mc:Choice Requires="x14">
            <control shapeId="56327" r:id="rId6" name="Button 7">
              <controlPr defaultSize="0" print="0" autoFill="0" autoPict="0" macro="[0]!MapsButton_Click">
                <anchor moveWithCells="1">
                  <from>
                    <xdr:col>12</xdr:col>
                    <xdr:colOff>12700</xdr:colOff>
                    <xdr:row>74</xdr:row>
                    <xdr:rowOff>139700</xdr:rowOff>
                  </from>
                  <to>
                    <xdr:col>13</xdr:col>
                    <xdr:colOff>450850</xdr:colOff>
                    <xdr:row>78</xdr:row>
                    <xdr:rowOff>0</xdr:rowOff>
                  </to>
                </anchor>
              </controlPr>
            </control>
          </mc:Choice>
        </mc:AlternateContent>
        <mc:AlternateContent xmlns:mc="http://schemas.openxmlformats.org/markup-compatibility/2006">
          <mc:Choice Requires="x14">
            <control shapeId="56328" r:id="rId7" name="Button 8">
              <controlPr defaultSize="0" print="0" autoFill="0" autoPict="0" macro="[0]!MapsButton_Click">
                <anchor moveWithCells="1">
                  <from>
                    <xdr:col>12</xdr:col>
                    <xdr:colOff>12700</xdr:colOff>
                    <xdr:row>11</xdr:row>
                    <xdr:rowOff>25400</xdr:rowOff>
                  </from>
                  <to>
                    <xdr:col>13</xdr:col>
                    <xdr:colOff>450850</xdr:colOff>
                    <xdr:row>14</xdr:row>
                    <xdr:rowOff>31750</xdr:rowOff>
                  </to>
                </anchor>
              </controlPr>
            </control>
          </mc:Choice>
        </mc:AlternateContent>
        <mc:AlternateContent xmlns:mc="http://schemas.openxmlformats.org/markup-compatibility/2006">
          <mc:Choice Requires="x14">
            <control shapeId="56335" r:id="rId8" name="Button 15">
              <controlPr defaultSize="0" print="0" autoFill="0" autoPict="0" macro="[0]!MapsButton_Click">
                <anchor moveWithCells="1">
                  <from>
                    <xdr:col>12</xdr:col>
                    <xdr:colOff>12700</xdr:colOff>
                    <xdr:row>46</xdr:row>
                    <xdr:rowOff>107950</xdr:rowOff>
                  </from>
                  <to>
                    <xdr:col>13</xdr:col>
                    <xdr:colOff>450850</xdr:colOff>
                    <xdr:row>49</xdr:row>
                    <xdr:rowOff>114300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pageSetUpPr fitToPage="1"/>
  </sheetPr>
  <dimension ref="A1:T189"/>
  <sheetViews>
    <sheetView zoomScaleNormal="100" workbookViewId="0">
      <selection activeCell="C1" sqref="C1"/>
    </sheetView>
  </sheetViews>
  <sheetFormatPr defaultColWidth="9.1796875" defaultRowHeight="12.5" x14ac:dyDescent="0.25"/>
  <cols>
    <col min="1" max="1" width="27.453125" style="3" customWidth="1"/>
    <col min="2" max="2" width="35.1796875" style="3" customWidth="1"/>
    <col min="3" max="3" width="8.453125" style="3" customWidth="1"/>
    <col min="4" max="4" width="14.453125" style="3" customWidth="1"/>
    <col min="5" max="5" width="10.54296875" style="3" customWidth="1"/>
    <col min="6" max="6" width="13.453125" style="3" customWidth="1"/>
    <col min="7" max="7" width="9.54296875" style="3" customWidth="1"/>
    <col min="8" max="15" width="9.1796875" style="3" customWidth="1"/>
    <col min="16" max="19" width="9.1796875" style="3"/>
    <col min="20" max="16384" width="9.1796875" style="5"/>
  </cols>
  <sheetData>
    <row r="1" spans="1:3" x14ac:dyDescent="0.25">
      <c r="A1" s="194" t="s">
        <v>274</v>
      </c>
      <c r="B1" s="194"/>
      <c r="C1" s="194"/>
    </row>
    <row r="3" spans="1:3" ht="13" x14ac:dyDescent="0.3">
      <c r="A3" s="194" t="s">
        <v>275</v>
      </c>
      <c r="B3" s="2" t="s">
        <v>276</v>
      </c>
      <c r="C3" s="194"/>
    </row>
    <row r="4" spans="1:3" x14ac:dyDescent="0.25">
      <c r="A4" s="194">
        <v>1</v>
      </c>
      <c r="B4" s="194" t="s">
        <v>277</v>
      </c>
      <c r="C4" s="194" t="s">
        <v>277</v>
      </c>
    </row>
    <row r="5" spans="1:3" x14ac:dyDescent="0.25">
      <c r="A5" s="194">
        <v>2</v>
      </c>
      <c r="B5" s="194" t="s">
        <v>278</v>
      </c>
      <c r="C5" s="194" t="s">
        <v>278</v>
      </c>
    </row>
    <row r="6" spans="1:3" x14ac:dyDescent="0.25">
      <c r="A6" s="194">
        <v>3</v>
      </c>
      <c r="B6" s="194" t="s">
        <v>279</v>
      </c>
      <c r="C6" s="194" t="s">
        <v>279</v>
      </c>
    </row>
    <row r="7" spans="1:3" x14ac:dyDescent="0.25">
      <c r="A7" s="194">
        <v>4</v>
      </c>
      <c r="B7" s="194" t="s">
        <v>280</v>
      </c>
      <c r="C7" s="194" t="s">
        <v>280</v>
      </c>
    </row>
    <row r="8" spans="1:3" x14ac:dyDescent="0.25">
      <c r="A8" s="194">
        <v>5</v>
      </c>
      <c r="B8" s="194" t="s">
        <v>281</v>
      </c>
      <c r="C8" s="194" t="s">
        <v>281</v>
      </c>
    </row>
    <row r="9" spans="1:3" x14ac:dyDescent="0.25">
      <c r="A9" s="194">
        <v>6</v>
      </c>
      <c r="B9" s="194" t="s">
        <v>282</v>
      </c>
      <c r="C9" s="194" t="s">
        <v>282</v>
      </c>
    </row>
    <row r="10" spans="1:3" x14ac:dyDescent="0.25">
      <c r="A10" s="194">
        <v>7</v>
      </c>
      <c r="B10" s="194" t="s">
        <v>283</v>
      </c>
      <c r="C10" s="194" t="s">
        <v>283</v>
      </c>
    </row>
    <row r="11" spans="1:3" x14ac:dyDescent="0.25">
      <c r="A11" s="194">
        <v>8</v>
      </c>
      <c r="B11" s="194" t="s">
        <v>284</v>
      </c>
      <c r="C11" s="194" t="s">
        <v>285</v>
      </c>
    </row>
    <row r="12" spans="1:3" x14ac:dyDescent="0.25">
      <c r="A12" s="194">
        <v>9</v>
      </c>
      <c r="B12" s="194" t="s">
        <v>286</v>
      </c>
      <c r="C12" s="194" t="s">
        <v>287</v>
      </c>
    </row>
    <row r="13" spans="1:3" x14ac:dyDescent="0.25">
      <c r="A13" s="194">
        <v>10</v>
      </c>
      <c r="B13" s="194" t="s">
        <v>288</v>
      </c>
      <c r="C13" s="194" t="s">
        <v>287</v>
      </c>
    </row>
    <row r="17" spans="1:8" x14ac:dyDescent="0.25">
      <c r="A17" s="194" t="s">
        <v>289</v>
      </c>
      <c r="B17" s="194" t="s">
        <v>290</v>
      </c>
      <c r="C17" s="194" t="s">
        <v>291</v>
      </c>
      <c r="D17" s="254"/>
      <c r="E17" s="194"/>
      <c r="F17" s="194"/>
      <c r="G17" s="194"/>
      <c r="H17" s="194"/>
    </row>
    <row r="18" spans="1:8" x14ac:dyDescent="0.25">
      <c r="A18" s="194">
        <v>1</v>
      </c>
      <c r="B18" s="194" t="s">
        <v>292</v>
      </c>
      <c r="C18" s="747">
        <f>52*5*8</f>
        <v>2080</v>
      </c>
      <c r="D18" s="254"/>
      <c r="E18" s="194"/>
      <c r="F18" s="194"/>
      <c r="G18" s="194"/>
      <c r="H18" s="194"/>
    </row>
    <row r="19" spans="1:8" x14ac:dyDescent="0.25">
      <c r="A19" s="194">
        <v>2</v>
      </c>
      <c r="B19" s="194" t="s">
        <v>293</v>
      </c>
      <c r="C19" s="747">
        <f>52*5*16</f>
        <v>4160</v>
      </c>
      <c r="D19" s="254"/>
      <c r="E19" s="194"/>
      <c r="F19" s="194"/>
      <c r="G19" s="194"/>
      <c r="H19" s="194"/>
    </row>
    <row r="20" spans="1:8" x14ac:dyDescent="0.25">
      <c r="A20" s="194">
        <v>3</v>
      </c>
      <c r="B20" s="194" t="s">
        <v>294</v>
      </c>
      <c r="C20" s="747">
        <v>5840</v>
      </c>
      <c r="D20" s="254"/>
      <c r="E20" s="194"/>
      <c r="F20" s="194"/>
      <c r="G20" s="194"/>
      <c r="H20" s="194"/>
    </row>
    <row r="21" spans="1:8" x14ac:dyDescent="0.25">
      <c r="A21" s="194">
        <v>4</v>
      </c>
      <c r="B21" s="194" t="s">
        <v>295</v>
      </c>
      <c r="C21" s="747">
        <v>8760</v>
      </c>
      <c r="D21" s="254"/>
      <c r="E21" s="194"/>
      <c r="F21" s="194"/>
      <c r="G21" s="194"/>
      <c r="H21" s="194"/>
    </row>
    <row r="22" spans="1:8" x14ac:dyDescent="0.25">
      <c r="A22" s="194">
        <v>5</v>
      </c>
      <c r="B22" s="194" t="s">
        <v>296</v>
      </c>
      <c r="C22" s="747"/>
      <c r="D22" s="254"/>
      <c r="E22" s="194"/>
      <c r="F22" s="194"/>
      <c r="G22" s="194"/>
      <c r="H22" s="194"/>
    </row>
    <row r="23" spans="1:8" x14ac:dyDescent="0.25">
      <c r="A23" s="194"/>
      <c r="B23" s="194"/>
      <c r="C23" s="194"/>
      <c r="D23" s="254"/>
      <c r="E23" s="194"/>
      <c r="F23" s="194"/>
      <c r="G23" s="194"/>
      <c r="H23" s="194"/>
    </row>
    <row r="24" spans="1:8" x14ac:dyDescent="0.25">
      <c r="A24" s="194" t="s">
        <v>297</v>
      </c>
      <c r="B24" s="194" t="s">
        <v>298</v>
      </c>
      <c r="C24" s="194"/>
      <c r="D24" s="254"/>
      <c r="E24" s="194"/>
      <c r="F24" s="194"/>
      <c r="G24" s="194"/>
      <c r="H24" s="194"/>
    </row>
    <row r="25" spans="1:8" x14ac:dyDescent="0.25">
      <c r="A25" s="748">
        <v>1</v>
      </c>
      <c r="B25" s="194" t="s">
        <v>299</v>
      </c>
      <c r="C25" s="254" t="s">
        <v>300</v>
      </c>
      <c r="D25" s="254">
        <v>1</v>
      </c>
      <c r="E25" s="194" t="s">
        <v>301</v>
      </c>
      <c r="F25" s="194"/>
      <c r="G25" s="194"/>
      <c r="H25" s="194"/>
    </row>
    <row r="26" spans="1:8" x14ac:dyDescent="0.25">
      <c r="A26" s="748">
        <v>2</v>
      </c>
      <c r="B26" s="194" t="s">
        <v>302</v>
      </c>
      <c r="C26" s="254" t="s">
        <v>303</v>
      </c>
      <c r="D26" s="254">
        <v>1</v>
      </c>
      <c r="E26" s="194" t="s">
        <v>304</v>
      </c>
      <c r="F26" s="194"/>
      <c r="G26" s="194"/>
      <c r="H26" s="194"/>
    </row>
    <row r="27" spans="1:8" x14ac:dyDescent="0.25">
      <c r="A27" s="748">
        <v>3</v>
      </c>
      <c r="B27" s="194" t="s">
        <v>305</v>
      </c>
      <c r="C27" s="254" t="s">
        <v>303</v>
      </c>
      <c r="D27" s="254">
        <v>2</v>
      </c>
      <c r="E27" s="194" t="s">
        <v>304</v>
      </c>
      <c r="F27" s="194"/>
      <c r="G27" s="194"/>
      <c r="H27" s="194"/>
    </row>
    <row r="28" spans="1:8" x14ac:dyDescent="0.25">
      <c r="A28" s="748">
        <v>4</v>
      </c>
      <c r="B28" s="194" t="s">
        <v>306</v>
      </c>
      <c r="C28" s="254" t="s">
        <v>303</v>
      </c>
      <c r="D28" s="254">
        <v>3</v>
      </c>
      <c r="E28" s="194" t="s">
        <v>304</v>
      </c>
      <c r="F28" s="194"/>
      <c r="G28" s="194"/>
      <c r="H28" s="194"/>
    </row>
    <row r="29" spans="1:8" x14ac:dyDescent="0.25">
      <c r="A29" s="748">
        <v>5</v>
      </c>
      <c r="B29" s="194" t="s">
        <v>307</v>
      </c>
      <c r="C29" s="254" t="s">
        <v>303</v>
      </c>
      <c r="D29" s="254">
        <v>4</v>
      </c>
      <c r="E29" s="194" t="s">
        <v>304</v>
      </c>
      <c r="F29" s="194"/>
      <c r="G29" s="194"/>
      <c r="H29" s="194"/>
    </row>
    <row r="30" spans="1:8" x14ac:dyDescent="0.25">
      <c r="A30" s="748">
        <v>6</v>
      </c>
      <c r="B30" s="194" t="s">
        <v>308</v>
      </c>
      <c r="C30" s="254" t="s">
        <v>303</v>
      </c>
      <c r="D30" s="254">
        <v>5</v>
      </c>
      <c r="E30" s="194" t="s">
        <v>304</v>
      </c>
      <c r="F30" s="194"/>
      <c r="G30" s="194"/>
      <c r="H30" s="194"/>
    </row>
    <row r="31" spans="1:8" x14ac:dyDescent="0.25">
      <c r="A31" s="748">
        <v>7</v>
      </c>
      <c r="B31" s="194" t="s">
        <v>309</v>
      </c>
      <c r="C31" s="254" t="s">
        <v>303</v>
      </c>
      <c r="D31" s="254">
        <v>6</v>
      </c>
      <c r="E31" s="194" t="s">
        <v>304</v>
      </c>
      <c r="F31" s="194"/>
      <c r="G31" s="194"/>
      <c r="H31" s="194"/>
    </row>
    <row r="32" spans="1:8" x14ac:dyDescent="0.25">
      <c r="A32" s="748">
        <v>8</v>
      </c>
      <c r="B32" s="194" t="s">
        <v>310</v>
      </c>
      <c r="C32" s="254" t="s">
        <v>311</v>
      </c>
      <c r="D32" s="254">
        <v>1</v>
      </c>
      <c r="E32" s="194" t="s">
        <v>312</v>
      </c>
      <c r="F32" s="194"/>
      <c r="G32" s="194"/>
      <c r="H32" s="194"/>
    </row>
    <row r="33" spans="1:5" x14ac:dyDescent="0.25">
      <c r="A33" s="748">
        <v>9</v>
      </c>
      <c r="B33" s="194" t="s">
        <v>313</v>
      </c>
      <c r="C33" s="254" t="s">
        <v>311</v>
      </c>
      <c r="D33" s="254">
        <v>2</v>
      </c>
      <c r="E33" s="194" t="s">
        <v>312</v>
      </c>
    </row>
    <row r="34" spans="1:5" x14ac:dyDescent="0.25">
      <c r="A34" s="748">
        <v>10</v>
      </c>
      <c r="B34" s="194" t="s">
        <v>314</v>
      </c>
      <c r="C34" s="254" t="s">
        <v>311</v>
      </c>
      <c r="D34" s="254">
        <v>3</v>
      </c>
      <c r="E34" s="194" t="s">
        <v>312</v>
      </c>
    </row>
    <row r="35" spans="1:5" x14ac:dyDescent="0.25">
      <c r="A35" s="748">
        <v>11</v>
      </c>
      <c r="B35" s="194" t="s">
        <v>315</v>
      </c>
      <c r="C35" s="254" t="s">
        <v>311</v>
      </c>
      <c r="D35" s="254">
        <v>4</v>
      </c>
      <c r="E35" s="194" t="s">
        <v>312</v>
      </c>
    </row>
    <row r="36" spans="1:5" x14ac:dyDescent="0.25">
      <c r="A36" s="748">
        <v>12</v>
      </c>
      <c r="B36" s="194" t="s">
        <v>316</v>
      </c>
      <c r="C36" s="254" t="s">
        <v>311</v>
      </c>
      <c r="D36" s="254">
        <v>5</v>
      </c>
      <c r="E36" s="194" t="s">
        <v>312</v>
      </c>
    </row>
    <row r="37" spans="1:5" s="5" customFormat="1" x14ac:dyDescent="0.25">
      <c r="A37" s="748">
        <v>13</v>
      </c>
      <c r="B37" s="194" t="s">
        <v>317</v>
      </c>
      <c r="C37" s="254" t="s">
        <v>311</v>
      </c>
      <c r="D37" s="254">
        <v>6</v>
      </c>
      <c r="E37" s="194" t="s">
        <v>312</v>
      </c>
    </row>
    <row r="38" spans="1:5" s="5" customFormat="1" x14ac:dyDescent="0.25">
      <c r="A38" s="748">
        <v>14</v>
      </c>
      <c r="B38" s="194" t="s">
        <v>233</v>
      </c>
      <c r="C38" s="254" t="s">
        <v>311</v>
      </c>
      <c r="D38" s="254">
        <v>7</v>
      </c>
      <c r="E38" s="194" t="s">
        <v>312</v>
      </c>
    </row>
    <row r="39" spans="1:5" s="5" customFormat="1" x14ac:dyDescent="0.25">
      <c r="A39" s="748">
        <v>15</v>
      </c>
      <c r="B39" s="194" t="s">
        <v>236</v>
      </c>
      <c r="C39" s="254" t="s">
        <v>318</v>
      </c>
      <c r="D39" s="254">
        <v>1</v>
      </c>
      <c r="E39" s="194" t="s">
        <v>319</v>
      </c>
    </row>
    <row r="40" spans="1:5" s="5" customFormat="1" x14ac:dyDescent="0.25">
      <c r="A40" s="748">
        <v>16</v>
      </c>
      <c r="B40" s="194" t="s">
        <v>237</v>
      </c>
      <c r="C40" s="254" t="s">
        <v>318</v>
      </c>
      <c r="D40" s="254">
        <v>2</v>
      </c>
      <c r="E40" s="194" t="s">
        <v>319</v>
      </c>
    </row>
    <row r="41" spans="1:5" s="5" customFormat="1" x14ac:dyDescent="0.25">
      <c r="A41" s="748">
        <v>17</v>
      </c>
      <c r="B41" s="194" t="s">
        <v>238</v>
      </c>
      <c r="C41" s="254" t="s">
        <v>318</v>
      </c>
      <c r="D41" s="254">
        <v>3</v>
      </c>
      <c r="E41" s="194" t="s">
        <v>319</v>
      </c>
    </row>
    <row r="42" spans="1:5" s="5" customFormat="1" x14ac:dyDescent="0.25">
      <c r="A42" s="194"/>
      <c r="B42" s="194"/>
      <c r="C42" s="194"/>
      <c r="D42" s="254"/>
      <c r="E42" s="194"/>
    </row>
    <row r="43" spans="1:5" s="5" customFormat="1" x14ac:dyDescent="0.25">
      <c r="A43" s="194" t="s">
        <v>320</v>
      </c>
      <c r="B43" s="194" t="s">
        <v>321</v>
      </c>
      <c r="C43" s="194"/>
      <c r="D43" s="254"/>
      <c r="E43" s="194"/>
    </row>
    <row r="44" spans="1:5" s="5" customFormat="1" x14ac:dyDescent="0.25">
      <c r="A44" s="194">
        <v>1</v>
      </c>
      <c r="B44" s="194" t="s">
        <v>322</v>
      </c>
      <c r="C44" s="194"/>
      <c r="D44" s="254"/>
      <c r="E44" s="194"/>
    </row>
    <row r="45" spans="1:5" s="5" customFormat="1" x14ac:dyDescent="0.25">
      <c r="A45" s="194">
        <v>2</v>
      </c>
      <c r="B45" s="194" t="s">
        <v>323</v>
      </c>
      <c r="C45" s="194"/>
      <c r="D45" s="254"/>
      <c r="E45" s="194"/>
    </row>
    <row r="46" spans="1:5" s="5" customFormat="1" x14ac:dyDescent="0.25">
      <c r="A46" s="194">
        <v>3</v>
      </c>
      <c r="B46" s="194" t="s">
        <v>324</v>
      </c>
      <c r="C46" s="194"/>
      <c r="D46" s="254"/>
      <c r="E46" s="194"/>
    </row>
    <row r="47" spans="1:5" s="5" customFormat="1" x14ac:dyDescent="0.25">
      <c r="A47" s="194">
        <v>4</v>
      </c>
      <c r="B47" s="194" t="s">
        <v>325</v>
      </c>
      <c r="C47" s="194"/>
      <c r="D47" s="254"/>
      <c r="E47" s="194"/>
    </row>
    <row r="48" spans="1:5" s="5" customFormat="1" x14ac:dyDescent="0.25">
      <c r="A48" s="194">
        <v>5</v>
      </c>
      <c r="B48" s="194" t="s">
        <v>326</v>
      </c>
      <c r="C48" s="194"/>
      <c r="D48" s="254"/>
      <c r="E48" s="194"/>
    </row>
    <row r="49" spans="1:9" s="5" customFormat="1" x14ac:dyDescent="0.25">
      <c r="A49" s="194"/>
      <c r="B49" s="194"/>
      <c r="C49" s="194"/>
      <c r="D49" s="254"/>
      <c r="E49" s="194"/>
      <c r="F49" s="194"/>
      <c r="G49" s="194"/>
      <c r="H49" s="194"/>
      <c r="I49" s="194"/>
    </row>
    <row r="50" spans="1:9" s="5" customFormat="1" ht="13" x14ac:dyDescent="0.3">
      <c r="A50" s="194" t="s">
        <v>327</v>
      </c>
      <c r="B50" s="2" t="s">
        <v>328</v>
      </c>
      <c r="C50" s="194" t="s">
        <v>329</v>
      </c>
      <c r="D50" s="194"/>
      <c r="E50" s="194"/>
      <c r="F50" s="194" t="s">
        <v>330</v>
      </c>
      <c r="G50" s="254"/>
      <c r="H50" s="194"/>
      <c r="I50" s="194"/>
    </row>
    <row r="51" spans="1:9" s="5" customFormat="1" x14ac:dyDescent="0.25">
      <c r="A51" s="194">
        <v>1</v>
      </c>
      <c r="B51" s="194" t="s">
        <v>331</v>
      </c>
      <c r="C51" s="194">
        <f>co2gas</f>
        <v>116.9</v>
      </c>
      <c r="D51" s="749"/>
      <c r="E51" s="194"/>
      <c r="F51" s="194">
        <v>1028</v>
      </c>
      <c r="G51" s="194" t="s">
        <v>332</v>
      </c>
      <c r="H51" s="255"/>
      <c r="I51" s="194"/>
    </row>
    <row r="52" spans="1:9" s="5" customFormat="1" x14ac:dyDescent="0.25">
      <c r="A52" s="194">
        <v>2</v>
      </c>
      <c r="B52" s="194" t="s">
        <v>333</v>
      </c>
      <c r="C52" s="194">
        <f>co2oil</f>
        <v>163.1</v>
      </c>
      <c r="D52" s="749"/>
      <c r="E52" s="194"/>
      <c r="F52" s="194">
        <v>138000</v>
      </c>
      <c r="G52" s="194" t="s">
        <v>255</v>
      </c>
      <c r="H52" s="255"/>
      <c r="I52" s="194"/>
    </row>
    <row r="53" spans="1:9" s="5" customFormat="1" x14ac:dyDescent="0.25">
      <c r="A53" s="194">
        <v>3</v>
      </c>
      <c r="B53" s="194" t="s">
        <v>334</v>
      </c>
      <c r="C53" s="194">
        <f>co2oil</f>
        <v>163.1</v>
      </c>
      <c r="D53" s="749"/>
      <c r="E53" s="194"/>
      <c r="F53" s="194">
        <v>150000</v>
      </c>
      <c r="G53" s="194" t="s">
        <v>255</v>
      </c>
      <c r="H53" s="255"/>
      <c r="I53" s="194"/>
    </row>
    <row r="54" spans="1:9" s="5" customFormat="1" x14ac:dyDescent="0.25">
      <c r="A54" s="194">
        <v>4</v>
      </c>
      <c r="B54" s="194" t="s">
        <v>335</v>
      </c>
      <c r="C54" s="194">
        <f>co2coal</f>
        <v>207.1</v>
      </c>
      <c r="D54" s="749"/>
      <c r="E54" s="194"/>
      <c r="F54" s="194">
        <f>heatcontentcoal</f>
        <v>11175</v>
      </c>
      <c r="G54" s="194" t="s">
        <v>214</v>
      </c>
      <c r="H54" s="255"/>
      <c r="I54" s="194"/>
    </row>
    <row r="55" spans="1:9" s="5" customFormat="1" x14ac:dyDescent="0.25">
      <c r="A55" s="194">
        <v>5</v>
      </c>
      <c r="B55" s="194" t="s">
        <v>336</v>
      </c>
      <c r="C55" s="194">
        <f>co2gas</f>
        <v>116.9</v>
      </c>
      <c r="D55" s="749"/>
      <c r="E55" s="194"/>
      <c r="F55" s="194">
        <v>1028</v>
      </c>
      <c r="G55" s="194" t="s">
        <v>332</v>
      </c>
      <c r="H55" s="255"/>
      <c r="I55" s="194"/>
    </row>
    <row r="56" spans="1:9" s="5" customFormat="1" x14ac:dyDescent="0.25">
      <c r="A56" s="194">
        <v>6</v>
      </c>
      <c r="B56" s="194" t="s">
        <v>337</v>
      </c>
      <c r="C56" s="194">
        <f>co2oil</f>
        <v>163.1</v>
      </c>
      <c r="D56" s="749"/>
      <c r="E56" s="194"/>
      <c r="F56" s="194">
        <v>138000</v>
      </c>
      <c r="G56" s="194" t="s">
        <v>255</v>
      </c>
      <c r="H56" s="255"/>
      <c r="I56" s="194"/>
    </row>
    <row r="57" spans="1:9" s="5" customFormat="1" x14ac:dyDescent="0.25">
      <c r="A57" s="194">
        <v>7</v>
      </c>
      <c r="B57" s="194" t="s">
        <v>338</v>
      </c>
      <c r="C57" s="194">
        <f>co2oil</f>
        <v>163.1</v>
      </c>
      <c r="D57" s="749"/>
      <c r="E57" s="194"/>
      <c r="F57" s="194">
        <v>150000</v>
      </c>
      <c r="G57" s="194" t="s">
        <v>255</v>
      </c>
      <c r="H57" s="255"/>
      <c r="I57" s="194"/>
    </row>
    <row r="58" spans="1:9" s="5" customFormat="1" x14ac:dyDescent="0.25">
      <c r="A58" s="194">
        <v>8</v>
      </c>
      <c r="B58" s="194" t="s">
        <v>339</v>
      </c>
      <c r="C58" s="194">
        <f>co2coal</f>
        <v>207.1</v>
      </c>
      <c r="D58" s="749"/>
      <c r="E58" s="194"/>
      <c r="F58" s="194">
        <f>heatcontentcoal</f>
        <v>11175</v>
      </c>
      <c r="G58" s="194" t="s">
        <v>214</v>
      </c>
      <c r="H58" s="255"/>
      <c r="I58" s="194"/>
    </row>
    <row r="59" spans="1:9" s="5" customFormat="1" x14ac:dyDescent="0.25">
      <c r="A59" s="194">
        <v>9</v>
      </c>
      <c r="B59" s="194" t="s">
        <v>340</v>
      </c>
      <c r="C59" s="194">
        <v>0</v>
      </c>
      <c r="D59" s="749"/>
      <c r="E59" s="194"/>
      <c r="F59" s="194">
        <v>0</v>
      </c>
      <c r="G59" s="254"/>
      <c r="H59" s="255"/>
      <c r="I59" s="194"/>
    </row>
    <row r="60" spans="1:9" s="5" customFormat="1" x14ac:dyDescent="0.25">
      <c r="A60" s="194">
        <v>10</v>
      </c>
      <c r="B60" s="194" t="s">
        <v>341</v>
      </c>
      <c r="C60" s="194">
        <v>139</v>
      </c>
      <c r="D60" s="749"/>
      <c r="E60" s="194"/>
      <c r="F60" s="194">
        <v>91600</v>
      </c>
      <c r="G60" s="194" t="s">
        <v>255</v>
      </c>
      <c r="H60" s="255"/>
      <c r="I60" s="194"/>
    </row>
    <row r="61" spans="1:9" s="5" customFormat="1" x14ac:dyDescent="0.25">
      <c r="A61" s="194">
        <v>11</v>
      </c>
      <c r="B61" s="194" t="s">
        <v>342</v>
      </c>
      <c r="C61" s="194">
        <v>139</v>
      </c>
      <c r="D61" s="749"/>
      <c r="E61" s="194"/>
      <c r="F61" s="194">
        <v>91600</v>
      </c>
      <c r="G61" s="194" t="s">
        <v>255</v>
      </c>
      <c r="H61" s="255"/>
      <c r="I61" s="194"/>
    </row>
    <row r="62" spans="1:9" s="5" customFormat="1" x14ac:dyDescent="0.25">
      <c r="A62" s="194">
        <v>12</v>
      </c>
      <c r="B62" s="194" t="s">
        <v>285</v>
      </c>
      <c r="C62" s="194">
        <v>0</v>
      </c>
      <c r="D62" s="749"/>
      <c r="E62" s="194"/>
      <c r="F62" s="194">
        <v>138000</v>
      </c>
      <c r="G62" s="194" t="s">
        <v>255</v>
      </c>
      <c r="H62" s="255"/>
      <c r="I62" s="194"/>
    </row>
    <row r="63" spans="1:9" s="5" customFormat="1" x14ac:dyDescent="0.25">
      <c r="A63" s="194"/>
      <c r="B63" s="194"/>
      <c r="C63" s="251"/>
      <c r="D63" s="194"/>
      <c r="E63" s="252"/>
      <c r="F63" s="194"/>
      <c r="G63" s="254"/>
      <c r="H63" s="255"/>
      <c r="I63" s="254"/>
    </row>
    <row r="64" spans="1:9" s="5" customFormat="1" x14ac:dyDescent="0.25">
      <c r="A64" s="194"/>
      <c r="B64" s="194"/>
      <c r="C64" s="194"/>
      <c r="D64" s="254"/>
      <c r="E64" s="194"/>
      <c r="F64" s="194"/>
      <c r="G64" s="194"/>
      <c r="H64" s="194"/>
      <c r="I64" s="194"/>
    </row>
    <row r="65" spans="1:9" s="5" customFormat="1" ht="13" x14ac:dyDescent="0.3">
      <c r="A65" s="194" t="s">
        <v>343</v>
      </c>
      <c r="B65" s="2" t="s">
        <v>344</v>
      </c>
      <c r="C65" s="2" t="s">
        <v>345</v>
      </c>
      <c r="D65" s="2" t="s">
        <v>346</v>
      </c>
      <c r="E65" s="194"/>
      <c r="F65" s="194"/>
      <c r="G65" s="194"/>
      <c r="H65" s="194"/>
      <c r="I65" s="194"/>
    </row>
    <row r="66" spans="1:9" s="5" customFormat="1" x14ac:dyDescent="0.25">
      <c r="A66" s="194">
        <v>1</v>
      </c>
      <c r="B66" s="114" t="s">
        <v>347</v>
      </c>
      <c r="C66" s="194"/>
      <c r="D66" s="194"/>
      <c r="E66" s="194"/>
      <c r="F66" s="194">
        <f>VLOOKUP(deinput2,$A$66:$D$117,3)</f>
        <v>0</v>
      </c>
      <c r="G66" s="194">
        <f>VLOOKUP(deinput2,$A$66:$D$117,4)</f>
        <v>0</v>
      </c>
      <c r="H66" s="194"/>
      <c r="I66" s="194"/>
    </row>
    <row r="67" spans="1:9" s="5" customFormat="1" x14ac:dyDescent="0.25">
      <c r="A67" s="194">
        <f t="shared" ref="A67:A74" si="0">A66+1</f>
        <v>2</v>
      </c>
      <c r="B67" s="114" t="s">
        <v>348</v>
      </c>
      <c r="C67" s="194"/>
      <c r="D67" s="194"/>
      <c r="E67" s="194"/>
      <c r="F67" s="194"/>
      <c r="G67" s="194"/>
      <c r="H67" s="194"/>
      <c r="I67" s="194"/>
    </row>
    <row r="68" spans="1:9" s="5" customFormat="1" x14ac:dyDescent="0.25">
      <c r="A68" s="194">
        <f t="shared" si="0"/>
        <v>3</v>
      </c>
      <c r="B68" s="114" t="s">
        <v>349</v>
      </c>
      <c r="C68" s="194"/>
      <c r="D68" s="194"/>
      <c r="E68" s="194"/>
      <c r="F68" s="194"/>
      <c r="G68" s="194"/>
      <c r="H68" s="194"/>
      <c r="I68" s="194"/>
    </row>
    <row r="69" spans="1:9" s="5" customFormat="1" x14ac:dyDescent="0.25">
      <c r="A69" s="194">
        <f t="shared" si="0"/>
        <v>4</v>
      </c>
      <c r="B69" s="114" t="s">
        <v>350</v>
      </c>
      <c r="C69" s="194"/>
      <c r="D69" s="194"/>
      <c r="E69" s="194"/>
      <c r="F69" s="194"/>
      <c r="G69" s="194"/>
      <c r="H69" s="194"/>
      <c r="I69" s="194"/>
    </row>
    <row r="70" spans="1:9" s="5" customFormat="1" x14ac:dyDescent="0.25">
      <c r="A70" s="194">
        <f t="shared" si="0"/>
        <v>5</v>
      </c>
      <c r="B70" s="114" t="s">
        <v>351</v>
      </c>
      <c r="C70" s="194"/>
      <c r="D70" s="194"/>
      <c r="E70" s="194"/>
      <c r="F70" s="194"/>
      <c r="G70" s="194"/>
      <c r="H70" s="194"/>
      <c r="I70" s="194"/>
    </row>
    <row r="71" spans="1:9" s="5" customFormat="1" x14ac:dyDescent="0.25">
      <c r="A71" s="194">
        <f t="shared" si="0"/>
        <v>6</v>
      </c>
      <c r="B71" s="114" t="s">
        <v>352</v>
      </c>
      <c r="C71" s="194"/>
      <c r="D71" s="194"/>
      <c r="E71" s="194"/>
      <c r="F71" s="194"/>
      <c r="G71" s="194"/>
      <c r="H71" s="194"/>
      <c r="I71" s="194"/>
    </row>
    <row r="72" spans="1:9" s="5" customFormat="1" x14ac:dyDescent="0.25">
      <c r="A72" s="194">
        <f t="shared" si="0"/>
        <v>7</v>
      </c>
      <c r="B72" s="114" t="s">
        <v>353</v>
      </c>
      <c r="C72" s="194"/>
      <c r="D72" s="194"/>
      <c r="E72" s="194"/>
      <c r="F72" s="194"/>
      <c r="G72" s="194"/>
      <c r="H72" s="194"/>
      <c r="I72" s="194"/>
    </row>
    <row r="73" spans="1:9" s="5" customFormat="1" x14ac:dyDescent="0.25">
      <c r="A73" s="194">
        <f t="shared" si="0"/>
        <v>8</v>
      </c>
      <c r="B73" s="114" t="s">
        <v>354</v>
      </c>
      <c r="C73" s="194"/>
      <c r="D73" s="194"/>
      <c r="E73" s="194"/>
      <c r="F73" s="194"/>
      <c r="G73" s="194"/>
      <c r="H73" s="194"/>
      <c r="I73" s="194"/>
    </row>
    <row r="74" spans="1:9" s="5" customFormat="1" x14ac:dyDescent="0.25">
      <c r="A74" s="194">
        <f t="shared" si="0"/>
        <v>9</v>
      </c>
      <c r="B74" s="114" t="s">
        <v>355</v>
      </c>
      <c r="C74" s="194"/>
      <c r="D74" s="194"/>
      <c r="E74" s="194"/>
      <c r="F74" s="194"/>
      <c r="G74" s="194"/>
      <c r="H74" s="194"/>
      <c r="I74" s="194"/>
    </row>
    <row r="75" spans="1:9" s="5" customFormat="1" x14ac:dyDescent="0.25">
      <c r="A75" s="194">
        <f t="shared" ref="A75:A81" si="1">A74+1</f>
        <v>10</v>
      </c>
      <c r="B75" s="114" t="s">
        <v>356</v>
      </c>
      <c r="C75" s="194"/>
      <c r="D75" s="194"/>
      <c r="E75" s="194"/>
      <c r="F75" s="194"/>
      <c r="G75" s="194"/>
      <c r="H75" s="194"/>
      <c r="I75" s="194"/>
    </row>
    <row r="76" spans="1:9" s="5" customFormat="1" x14ac:dyDescent="0.25">
      <c r="A76" s="194">
        <f t="shared" si="1"/>
        <v>11</v>
      </c>
      <c r="B76" s="114" t="s">
        <v>357</v>
      </c>
      <c r="C76" s="194"/>
      <c r="D76" s="194"/>
      <c r="E76" s="194"/>
      <c r="F76" s="194"/>
      <c r="G76" s="194"/>
      <c r="H76" s="194"/>
      <c r="I76" s="194"/>
    </row>
    <row r="77" spans="1:9" s="5" customFormat="1" x14ac:dyDescent="0.25">
      <c r="A77" s="194">
        <f t="shared" si="1"/>
        <v>12</v>
      </c>
      <c r="B77" s="114" t="s">
        <v>358</v>
      </c>
      <c r="C77" s="194"/>
      <c r="D77" s="194"/>
      <c r="E77" s="194"/>
      <c r="F77" s="194"/>
      <c r="G77" s="194"/>
      <c r="H77" s="194"/>
      <c r="I77" s="194"/>
    </row>
    <row r="78" spans="1:9" s="5" customFormat="1" x14ac:dyDescent="0.25">
      <c r="A78" s="194">
        <f t="shared" si="1"/>
        <v>13</v>
      </c>
      <c r="B78" s="114" t="s">
        <v>359</v>
      </c>
      <c r="C78" s="194"/>
      <c r="D78" s="194"/>
      <c r="E78" s="194"/>
      <c r="F78" s="194"/>
      <c r="G78" s="194"/>
      <c r="H78" s="194"/>
      <c r="I78" s="194"/>
    </row>
    <row r="79" spans="1:9" s="5" customFormat="1" x14ac:dyDescent="0.25">
      <c r="A79" s="194">
        <f t="shared" si="1"/>
        <v>14</v>
      </c>
      <c r="B79" s="114" t="s">
        <v>360</v>
      </c>
      <c r="C79" s="194"/>
      <c r="D79" s="194"/>
      <c r="E79" s="194"/>
      <c r="F79" s="194"/>
      <c r="G79" s="194"/>
      <c r="H79" s="194"/>
      <c r="I79" s="194"/>
    </row>
    <row r="80" spans="1:9" s="5" customFormat="1" x14ac:dyDescent="0.25">
      <c r="A80" s="194">
        <f t="shared" si="1"/>
        <v>15</v>
      </c>
      <c r="B80" s="114" t="s">
        <v>361</v>
      </c>
      <c r="C80" s="194"/>
      <c r="D80" s="194"/>
      <c r="E80" s="194"/>
      <c r="F80" s="194"/>
      <c r="G80" s="194"/>
      <c r="H80" s="194"/>
      <c r="I80" s="194"/>
    </row>
    <row r="81" spans="1:19" x14ac:dyDescent="0.25">
      <c r="A81" s="194">
        <f t="shared" si="1"/>
        <v>16</v>
      </c>
      <c r="B81" s="194" t="s">
        <v>362</v>
      </c>
      <c r="C81" s="194">
        <v>1</v>
      </c>
      <c r="D81" s="194">
        <f t="shared" ref="D81:D109" si="2">VLOOKUP(C81,$A$183:$C$189,3)</f>
        <v>4.4999999999999998E-2</v>
      </c>
      <c r="E81" s="194"/>
      <c r="F81" s="194"/>
      <c r="G81" s="194"/>
      <c r="H81" s="194"/>
      <c r="I81" s="194"/>
      <c r="J81" s="5"/>
      <c r="K81" s="5"/>
      <c r="L81" s="5"/>
      <c r="M81" s="5"/>
      <c r="N81" s="5"/>
      <c r="O81" s="5"/>
      <c r="P81" s="5"/>
      <c r="Q81" s="5"/>
      <c r="R81" s="5"/>
      <c r="S81" s="5"/>
    </row>
    <row r="82" spans="1:19" x14ac:dyDescent="0.25">
      <c r="A82" s="194">
        <f t="shared" ref="A82:A117" si="3">A81+1</f>
        <v>17</v>
      </c>
      <c r="B82" s="114" t="s">
        <v>363</v>
      </c>
      <c r="C82" s="194">
        <v>5</v>
      </c>
      <c r="D82" s="194">
        <f t="shared" si="2"/>
        <v>4.3999999999999997E-2</v>
      </c>
      <c r="E82" s="194"/>
      <c r="F82" s="194"/>
      <c r="G82" s="194"/>
      <c r="H82" s="194"/>
      <c r="I82" s="194"/>
      <c r="J82" s="5"/>
      <c r="K82" s="5"/>
      <c r="L82" s="5"/>
      <c r="M82" s="5"/>
      <c r="N82" s="5"/>
      <c r="O82" s="5"/>
      <c r="P82" s="5"/>
      <c r="Q82" s="5"/>
      <c r="R82" s="5"/>
      <c r="S82" s="5"/>
    </row>
    <row r="83" spans="1:19" x14ac:dyDescent="0.25">
      <c r="A83" s="194">
        <f t="shared" si="3"/>
        <v>18</v>
      </c>
      <c r="B83" s="114" t="s">
        <v>364</v>
      </c>
      <c r="C83" s="194">
        <v>5</v>
      </c>
      <c r="D83" s="194">
        <f t="shared" si="2"/>
        <v>4.3999999999999997E-2</v>
      </c>
      <c r="E83" s="194"/>
      <c r="F83" s="194"/>
      <c r="G83" s="194"/>
      <c r="H83" s="194"/>
      <c r="I83" s="194"/>
      <c r="J83" s="5"/>
      <c r="K83" s="5"/>
      <c r="L83" s="5"/>
      <c r="M83" s="5"/>
      <c r="N83" s="5"/>
      <c r="O83" s="5"/>
      <c r="P83" s="5"/>
      <c r="Q83" s="5"/>
      <c r="R83" s="5"/>
      <c r="S83" s="5"/>
    </row>
    <row r="84" spans="1:19" x14ac:dyDescent="0.25">
      <c r="A84" s="194">
        <f t="shared" si="3"/>
        <v>19</v>
      </c>
      <c r="B84" s="114" t="s">
        <v>365</v>
      </c>
      <c r="C84" s="194">
        <v>3</v>
      </c>
      <c r="D84" s="194">
        <f t="shared" si="2"/>
        <v>4.3999999999999997E-2</v>
      </c>
      <c r="E84" s="194"/>
      <c r="F84" s="194"/>
      <c r="G84" s="194"/>
      <c r="H84" s="194"/>
      <c r="I84" s="194"/>
      <c r="J84" s="5"/>
      <c r="K84" s="5"/>
      <c r="L84" s="5"/>
      <c r="M84" s="5"/>
      <c r="N84" s="5"/>
      <c r="O84" s="5"/>
      <c r="P84" s="5"/>
      <c r="Q84" s="5"/>
      <c r="R84" s="5"/>
      <c r="S84" s="5"/>
    </row>
    <row r="85" spans="1:19" x14ac:dyDescent="0.25">
      <c r="A85" s="194">
        <f t="shared" si="3"/>
        <v>20</v>
      </c>
      <c r="B85" s="114" t="s">
        <v>366</v>
      </c>
      <c r="C85" s="194">
        <v>3</v>
      </c>
      <c r="D85" s="194">
        <f t="shared" si="2"/>
        <v>4.3999999999999997E-2</v>
      </c>
      <c r="E85" s="194"/>
      <c r="F85" s="194"/>
      <c r="G85" s="194"/>
      <c r="H85" s="194"/>
      <c r="I85" s="194"/>
      <c r="J85" s="5"/>
      <c r="K85" s="5"/>
      <c r="L85" s="5"/>
      <c r="M85" s="5"/>
      <c r="N85" s="5"/>
      <c r="O85" s="5"/>
      <c r="P85" s="5"/>
      <c r="Q85" s="5"/>
      <c r="R85" s="5"/>
      <c r="S85" s="5"/>
    </row>
    <row r="86" spans="1:19" x14ac:dyDescent="0.25">
      <c r="A86" s="194">
        <f t="shared" si="3"/>
        <v>21</v>
      </c>
      <c r="B86" s="114" t="s">
        <v>367</v>
      </c>
      <c r="C86" s="194">
        <v>4</v>
      </c>
      <c r="D86" s="194">
        <f t="shared" si="2"/>
        <v>4.3999999999999997E-2</v>
      </c>
      <c r="E86" s="194"/>
      <c r="F86" s="194"/>
      <c r="G86" s="194"/>
      <c r="H86" s="194"/>
      <c r="I86" s="194"/>
      <c r="J86" s="5"/>
      <c r="K86" s="5"/>
      <c r="L86" s="5"/>
      <c r="M86" s="5"/>
      <c r="N86" s="5"/>
      <c r="O86" s="5"/>
      <c r="P86" s="5"/>
      <c r="Q86" s="5"/>
      <c r="R86" s="5"/>
      <c r="S86" s="5"/>
    </row>
    <row r="87" spans="1:19" x14ac:dyDescent="0.25">
      <c r="A87" s="194">
        <f t="shared" si="3"/>
        <v>22</v>
      </c>
      <c r="B87" s="114" t="s">
        <v>368</v>
      </c>
      <c r="C87" s="194">
        <v>2</v>
      </c>
      <c r="D87" s="194">
        <f t="shared" si="2"/>
        <v>4.4999999999999998E-2</v>
      </c>
      <c r="E87" s="194"/>
      <c r="F87" s="194"/>
      <c r="G87" s="194"/>
      <c r="H87" s="194"/>
      <c r="I87" s="194"/>
      <c r="J87" s="5"/>
      <c r="K87" s="5"/>
      <c r="L87" s="5"/>
      <c r="M87" s="5"/>
      <c r="N87" s="5"/>
      <c r="O87" s="5"/>
      <c r="P87" s="5"/>
      <c r="Q87" s="5"/>
      <c r="R87" s="5"/>
      <c r="S87" s="5"/>
    </row>
    <row r="88" spans="1:19" x14ac:dyDescent="0.25">
      <c r="A88" s="194">
        <f t="shared" si="3"/>
        <v>23</v>
      </c>
      <c r="B88" s="114" t="s">
        <v>369</v>
      </c>
      <c r="C88" s="194">
        <v>6</v>
      </c>
      <c r="D88" s="194">
        <f t="shared" si="2"/>
        <v>4.8000000000000001E-2</v>
      </c>
      <c r="E88" s="194"/>
      <c r="F88" s="194"/>
      <c r="G88" s="194"/>
      <c r="H88" s="194"/>
      <c r="I88" s="194"/>
      <c r="J88" s="5"/>
      <c r="K88" s="5"/>
      <c r="L88" s="5"/>
      <c r="M88" s="5"/>
      <c r="N88" s="5"/>
      <c r="O88" s="5"/>
      <c r="P88" s="5"/>
      <c r="Q88" s="5"/>
      <c r="R88" s="5"/>
      <c r="S88" s="5"/>
    </row>
    <row r="89" spans="1:19" x14ac:dyDescent="0.25">
      <c r="A89" s="194">
        <f t="shared" si="3"/>
        <v>24</v>
      </c>
      <c r="B89" s="114" t="s">
        <v>370</v>
      </c>
      <c r="C89" s="194">
        <v>6</v>
      </c>
      <c r="D89" s="194">
        <f t="shared" si="2"/>
        <v>4.8000000000000001E-2</v>
      </c>
      <c r="E89" s="194"/>
      <c r="F89" s="194"/>
      <c r="G89" s="194"/>
      <c r="H89" s="194"/>
      <c r="I89" s="194"/>
      <c r="J89" s="5"/>
      <c r="K89" s="5"/>
      <c r="L89" s="5"/>
      <c r="M89" s="5"/>
      <c r="N89" s="5"/>
      <c r="O89" s="5"/>
      <c r="P89" s="5"/>
      <c r="Q89" s="5"/>
      <c r="R89" s="5"/>
      <c r="S89" s="5"/>
    </row>
    <row r="90" spans="1:19" x14ac:dyDescent="0.25">
      <c r="A90" s="194">
        <f t="shared" si="3"/>
        <v>25</v>
      </c>
      <c r="B90" s="114" t="s">
        <v>371</v>
      </c>
      <c r="C90" s="194">
        <v>2</v>
      </c>
      <c r="D90" s="194">
        <f t="shared" si="2"/>
        <v>4.4999999999999998E-2</v>
      </c>
      <c r="E90" s="194"/>
      <c r="F90" s="194"/>
      <c r="G90" s="194"/>
      <c r="H90" s="194"/>
      <c r="I90" s="194"/>
      <c r="J90" s="5"/>
      <c r="K90" s="5"/>
      <c r="L90" s="5"/>
      <c r="M90" s="5"/>
      <c r="N90" s="5"/>
      <c r="O90" s="5"/>
      <c r="P90" s="5"/>
      <c r="Q90" s="5"/>
      <c r="R90" s="5"/>
      <c r="S90" s="5"/>
    </row>
    <row r="91" spans="1:19" x14ac:dyDescent="0.25">
      <c r="A91" s="194">
        <f t="shared" si="3"/>
        <v>26</v>
      </c>
      <c r="B91" s="114" t="s">
        <v>372</v>
      </c>
      <c r="C91" s="194">
        <v>2</v>
      </c>
      <c r="D91" s="194">
        <f t="shared" si="2"/>
        <v>4.4999999999999998E-2</v>
      </c>
      <c r="E91" s="194"/>
      <c r="F91" s="194"/>
      <c r="G91" s="194"/>
      <c r="H91" s="194"/>
      <c r="I91" s="194"/>
      <c r="J91" s="5"/>
      <c r="K91" s="5"/>
      <c r="L91" s="5"/>
      <c r="M91" s="5"/>
      <c r="N91" s="5"/>
      <c r="O91" s="5"/>
      <c r="P91" s="5"/>
      <c r="Q91" s="5"/>
      <c r="R91" s="5"/>
      <c r="S91" s="5"/>
    </row>
    <row r="92" spans="1:19" x14ac:dyDescent="0.25">
      <c r="A92" s="194">
        <f>A91+1</f>
        <v>27</v>
      </c>
      <c r="B92" s="114" t="s">
        <v>373</v>
      </c>
      <c r="C92" s="194">
        <v>2</v>
      </c>
      <c r="D92" s="194">
        <f t="shared" si="2"/>
        <v>4.4999999999999998E-2</v>
      </c>
      <c r="E92" s="194"/>
      <c r="F92" s="194"/>
      <c r="G92" s="194"/>
      <c r="H92" s="194"/>
      <c r="I92" s="194"/>
      <c r="J92" s="5"/>
      <c r="K92" s="5"/>
      <c r="L92" s="5"/>
      <c r="M92" s="5"/>
      <c r="N92" s="5"/>
      <c r="O92" s="5"/>
      <c r="P92" s="5"/>
      <c r="Q92" s="5"/>
      <c r="R92" s="5"/>
      <c r="S92" s="5"/>
    </row>
    <row r="93" spans="1:19" x14ac:dyDescent="0.25">
      <c r="A93" s="194">
        <v>28</v>
      </c>
      <c r="B93" s="114" t="s">
        <v>374</v>
      </c>
      <c r="C93" s="194">
        <v>2</v>
      </c>
      <c r="D93" s="194">
        <f t="shared" si="2"/>
        <v>4.4999999999999998E-2</v>
      </c>
      <c r="E93" s="194"/>
      <c r="F93" s="194"/>
      <c r="G93" s="194"/>
      <c r="H93" s="194"/>
      <c r="I93" s="194"/>
      <c r="J93" s="5"/>
      <c r="K93" s="5"/>
      <c r="L93" s="5"/>
      <c r="M93" s="5"/>
      <c r="N93" s="5"/>
      <c r="O93" s="5"/>
      <c r="P93" s="5"/>
      <c r="Q93" s="5"/>
      <c r="R93" s="5"/>
      <c r="S93" s="5"/>
    </row>
    <row r="94" spans="1:19" x14ac:dyDescent="0.25">
      <c r="A94" s="194">
        <v>29</v>
      </c>
      <c r="B94" s="114" t="s">
        <v>375</v>
      </c>
      <c r="C94" s="194">
        <v>2</v>
      </c>
      <c r="D94" s="194">
        <f t="shared" si="2"/>
        <v>4.4999999999999998E-2</v>
      </c>
      <c r="E94" s="194"/>
      <c r="F94" s="194"/>
      <c r="G94" s="194"/>
      <c r="H94" s="194"/>
      <c r="I94" s="194"/>
      <c r="J94" s="5"/>
      <c r="K94" s="5"/>
      <c r="L94" s="5"/>
      <c r="M94" s="5"/>
      <c r="N94" s="5"/>
      <c r="O94" s="5"/>
      <c r="P94" s="5"/>
      <c r="Q94" s="5"/>
      <c r="R94" s="5"/>
      <c r="S94" s="5"/>
    </row>
    <row r="95" spans="1:19" x14ac:dyDescent="0.25">
      <c r="A95" s="194">
        <f t="shared" si="3"/>
        <v>30</v>
      </c>
      <c r="B95" s="114" t="s">
        <v>376</v>
      </c>
      <c r="C95" s="194">
        <v>2</v>
      </c>
      <c r="D95" s="194">
        <f t="shared" si="2"/>
        <v>4.4999999999999998E-2</v>
      </c>
      <c r="E95" s="194"/>
      <c r="F95" s="194"/>
      <c r="G95" s="194"/>
      <c r="H95" s="194"/>
      <c r="I95" s="194"/>
      <c r="J95" s="5"/>
      <c r="K95" s="5"/>
      <c r="L95" s="5"/>
      <c r="M95" s="5"/>
      <c r="N95" s="5"/>
      <c r="O95" s="5"/>
      <c r="P95" s="5"/>
      <c r="Q95" s="5"/>
      <c r="R95" s="5"/>
      <c r="S95" s="5"/>
    </row>
    <row r="96" spans="1:19" x14ac:dyDescent="0.25">
      <c r="A96" s="194">
        <f t="shared" si="3"/>
        <v>31</v>
      </c>
      <c r="B96" s="114" t="s">
        <v>377</v>
      </c>
      <c r="C96" s="194">
        <v>2</v>
      </c>
      <c r="D96" s="194">
        <f t="shared" si="2"/>
        <v>4.4999999999999998E-2</v>
      </c>
      <c r="E96" s="194"/>
      <c r="F96" s="194"/>
      <c r="G96" s="194"/>
      <c r="H96" s="194"/>
      <c r="I96" s="194"/>
      <c r="J96" s="5"/>
      <c r="K96" s="5"/>
      <c r="L96" s="5"/>
      <c r="M96" s="5"/>
      <c r="N96" s="5"/>
      <c r="O96" s="5"/>
      <c r="P96" s="5"/>
      <c r="Q96" s="5"/>
      <c r="R96" s="5"/>
      <c r="S96" s="5"/>
    </row>
    <row r="97" spans="1:19" x14ac:dyDescent="0.25">
      <c r="A97" s="194">
        <f t="shared" si="3"/>
        <v>32</v>
      </c>
      <c r="B97" s="114" t="s">
        <v>378</v>
      </c>
      <c r="C97" s="194">
        <v>2</v>
      </c>
      <c r="D97" s="194">
        <f t="shared" si="2"/>
        <v>4.4999999999999998E-2</v>
      </c>
      <c r="E97" s="194"/>
      <c r="F97" s="194"/>
      <c r="G97" s="194"/>
      <c r="H97" s="194"/>
      <c r="I97" s="194"/>
      <c r="J97" s="5"/>
      <c r="K97" s="5"/>
      <c r="L97" s="5"/>
      <c r="M97" s="5"/>
      <c r="N97" s="5"/>
      <c r="O97" s="5"/>
      <c r="P97" s="5"/>
      <c r="Q97" s="5"/>
      <c r="R97" s="5"/>
      <c r="S97" s="5"/>
    </row>
    <row r="98" spans="1:19" x14ac:dyDescent="0.25">
      <c r="A98" s="194">
        <f t="shared" si="3"/>
        <v>33</v>
      </c>
      <c r="B98" s="114" t="s">
        <v>379</v>
      </c>
      <c r="C98" s="194">
        <v>2</v>
      </c>
      <c r="D98" s="194">
        <f t="shared" si="2"/>
        <v>4.4999999999999998E-2</v>
      </c>
      <c r="E98" s="194"/>
      <c r="F98" s="194"/>
      <c r="G98" s="5"/>
      <c r="H98" s="5"/>
      <c r="I98" s="5"/>
      <c r="J98" s="5"/>
      <c r="K98" s="5"/>
      <c r="L98" s="5"/>
      <c r="M98" s="5"/>
      <c r="N98" s="5"/>
      <c r="O98" s="5"/>
      <c r="P98" s="5"/>
      <c r="Q98" s="5"/>
      <c r="R98" s="5"/>
      <c r="S98" s="5"/>
    </row>
    <row r="99" spans="1:19" x14ac:dyDescent="0.25">
      <c r="A99" s="194">
        <f t="shared" si="3"/>
        <v>34</v>
      </c>
      <c r="B99" s="114" t="s">
        <v>380</v>
      </c>
      <c r="C99" s="194">
        <v>3</v>
      </c>
      <c r="D99" s="194">
        <f t="shared" si="2"/>
        <v>4.3999999999999997E-2</v>
      </c>
      <c r="E99" s="194"/>
      <c r="F99" s="194"/>
      <c r="G99" s="5"/>
      <c r="H99" s="5"/>
      <c r="I99" s="5"/>
      <c r="J99" s="5"/>
      <c r="K99" s="5"/>
      <c r="L99" s="5"/>
      <c r="M99" s="5"/>
      <c r="N99" s="5"/>
      <c r="O99" s="5"/>
      <c r="P99" s="5"/>
      <c r="Q99" s="5"/>
      <c r="R99" s="5"/>
      <c r="S99" s="5"/>
    </row>
    <row r="100" spans="1:19" x14ac:dyDescent="0.25">
      <c r="A100" s="194">
        <f t="shared" si="3"/>
        <v>35</v>
      </c>
      <c r="B100" s="114" t="s">
        <v>381</v>
      </c>
      <c r="C100" s="194">
        <v>3</v>
      </c>
      <c r="D100" s="194">
        <f t="shared" si="2"/>
        <v>4.3999999999999997E-2</v>
      </c>
      <c r="E100" s="194"/>
      <c r="F100" s="194"/>
      <c r="G100" s="5"/>
      <c r="H100" s="5"/>
      <c r="I100" s="5"/>
      <c r="J100" s="5"/>
      <c r="K100" s="5"/>
      <c r="L100" s="5"/>
      <c r="M100" s="5"/>
      <c r="N100" s="5"/>
      <c r="O100" s="5"/>
      <c r="P100" s="5"/>
      <c r="Q100" s="5"/>
      <c r="R100" s="5"/>
      <c r="S100" s="5"/>
    </row>
    <row r="101" spans="1:19" x14ac:dyDescent="0.25">
      <c r="A101" s="194">
        <f t="shared" si="3"/>
        <v>36</v>
      </c>
      <c r="B101" s="114" t="s">
        <v>382</v>
      </c>
      <c r="C101" s="194">
        <v>2</v>
      </c>
      <c r="D101" s="194">
        <f t="shared" si="2"/>
        <v>4.4999999999999998E-2</v>
      </c>
      <c r="E101" s="194"/>
      <c r="F101" s="194"/>
      <c r="G101" s="5"/>
      <c r="H101" s="5"/>
      <c r="I101" s="5"/>
      <c r="J101" s="5"/>
      <c r="K101" s="5"/>
      <c r="L101" s="5"/>
      <c r="M101" s="5"/>
      <c r="N101" s="5"/>
      <c r="O101" s="5"/>
      <c r="P101" s="5"/>
      <c r="Q101" s="5"/>
      <c r="R101" s="5"/>
      <c r="S101" s="5"/>
    </row>
    <row r="102" spans="1:19" x14ac:dyDescent="0.25">
      <c r="A102" s="194">
        <f t="shared" si="3"/>
        <v>37</v>
      </c>
      <c r="B102" s="114" t="s">
        <v>383</v>
      </c>
      <c r="C102" s="194">
        <v>2</v>
      </c>
      <c r="D102" s="194">
        <f t="shared" si="2"/>
        <v>4.4999999999999998E-2</v>
      </c>
      <c r="E102" s="194"/>
      <c r="F102" s="194"/>
      <c r="G102" s="5"/>
      <c r="H102" s="5"/>
      <c r="I102" s="5"/>
      <c r="J102" s="5"/>
      <c r="K102" s="5"/>
      <c r="L102" s="5"/>
      <c r="M102" s="5"/>
      <c r="N102" s="5"/>
      <c r="O102" s="5"/>
      <c r="P102" s="5"/>
      <c r="Q102" s="5"/>
      <c r="R102" s="5"/>
      <c r="S102" s="5"/>
    </row>
    <row r="103" spans="1:19" x14ac:dyDescent="0.25">
      <c r="A103" s="194">
        <f t="shared" si="3"/>
        <v>38</v>
      </c>
      <c r="B103" s="114" t="s">
        <v>384</v>
      </c>
      <c r="C103" s="194">
        <v>2</v>
      </c>
      <c r="D103" s="194">
        <f t="shared" si="2"/>
        <v>4.4999999999999998E-2</v>
      </c>
      <c r="E103" s="194"/>
      <c r="F103" s="194"/>
      <c r="G103" s="5"/>
      <c r="H103" s="5"/>
      <c r="I103" s="5"/>
      <c r="J103" s="5"/>
      <c r="K103" s="5"/>
      <c r="L103" s="5"/>
      <c r="M103" s="5"/>
      <c r="N103" s="5"/>
      <c r="O103" s="5"/>
      <c r="P103" s="5"/>
      <c r="Q103" s="5"/>
      <c r="R103" s="5"/>
      <c r="S103" s="5"/>
    </row>
    <row r="104" spans="1:19" x14ac:dyDescent="0.25">
      <c r="A104" s="194">
        <f t="shared" si="3"/>
        <v>39</v>
      </c>
      <c r="B104" s="114" t="s">
        <v>385</v>
      </c>
      <c r="C104" s="194">
        <v>2</v>
      </c>
      <c r="D104" s="194">
        <f t="shared" si="2"/>
        <v>4.4999999999999998E-2</v>
      </c>
      <c r="E104" s="194"/>
      <c r="F104" s="194"/>
      <c r="G104" s="5"/>
      <c r="H104" s="5"/>
      <c r="I104" s="5"/>
      <c r="J104" s="5"/>
      <c r="K104" s="5"/>
      <c r="L104" s="5"/>
      <c r="M104" s="5"/>
      <c r="N104" s="5"/>
      <c r="O104" s="5"/>
      <c r="P104" s="5"/>
      <c r="Q104" s="5"/>
      <c r="R104" s="5"/>
      <c r="S104" s="5"/>
    </row>
    <row r="105" spans="1:19" x14ac:dyDescent="0.25">
      <c r="A105" s="194">
        <f t="shared" si="3"/>
        <v>40</v>
      </c>
      <c r="B105" s="114" t="s">
        <v>386</v>
      </c>
      <c r="C105" s="194">
        <v>2</v>
      </c>
      <c r="D105" s="194">
        <f t="shared" si="2"/>
        <v>4.4999999999999998E-2</v>
      </c>
      <c r="E105" s="194"/>
      <c r="F105" s="194"/>
      <c r="G105" s="5"/>
      <c r="H105" s="5"/>
      <c r="I105" s="5"/>
      <c r="J105" s="5"/>
      <c r="K105" s="5"/>
      <c r="L105" s="5"/>
      <c r="M105" s="5"/>
      <c r="N105" s="5"/>
      <c r="O105" s="5"/>
      <c r="P105" s="5"/>
      <c r="Q105" s="5"/>
      <c r="R105" s="5"/>
      <c r="S105" s="5"/>
    </row>
    <row r="106" spans="1:19" x14ac:dyDescent="0.25">
      <c r="A106" s="194">
        <f t="shared" si="3"/>
        <v>41</v>
      </c>
      <c r="B106" s="114" t="s">
        <v>387</v>
      </c>
      <c r="C106" s="194">
        <v>2</v>
      </c>
      <c r="D106" s="194">
        <f t="shared" si="2"/>
        <v>4.4999999999999998E-2</v>
      </c>
      <c r="E106" s="194"/>
      <c r="F106" s="194"/>
      <c r="G106" s="5"/>
      <c r="H106" s="5"/>
      <c r="I106" s="5"/>
      <c r="J106" s="5"/>
      <c r="K106" s="5"/>
      <c r="L106" s="5"/>
      <c r="M106" s="5"/>
      <c r="N106" s="5"/>
      <c r="O106" s="5"/>
      <c r="P106" s="5"/>
      <c r="Q106" s="5"/>
      <c r="R106" s="5"/>
      <c r="S106" s="5"/>
    </row>
    <row r="107" spans="1:19" x14ac:dyDescent="0.25">
      <c r="A107" s="194">
        <f t="shared" si="3"/>
        <v>42</v>
      </c>
      <c r="B107" s="114" t="s">
        <v>388</v>
      </c>
      <c r="C107" s="194">
        <v>2</v>
      </c>
      <c r="D107" s="194">
        <f t="shared" si="2"/>
        <v>4.4999999999999998E-2</v>
      </c>
      <c r="E107" s="194"/>
      <c r="F107" s="194"/>
      <c r="G107" s="5"/>
      <c r="H107" s="5"/>
      <c r="I107" s="5"/>
      <c r="J107" s="5"/>
      <c r="K107" s="5"/>
      <c r="L107" s="5"/>
      <c r="M107" s="5"/>
      <c r="N107" s="5"/>
      <c r="O107" s="5"/>
      <c r="P107" s="5"/>
      <c r="Q107" s="5"/>
      <c r="R107" s="5"/>
      <c r="S107" s="5"/>
    </row>
    <row r="108" spans="1:19" x14ac:dyDescent="0.25">
      <c r="A108" s="194">
        <f t="shared" si="3"/>
        <v>43</v>
      </c>
      <c r="B108" s="114" t="s">
        <v>389</v>
      </c>
      <c r="C108" s="194">
        <v>1</v>
      </c>
      <c r="D108" s="194">
        <f t="shared" si="2"/>
        <v>4.4999999999999998E-2</v>
      </c>
      <c r="E108" s="194"/>
      <c r="F108" s="194"/>
      <c r="G108" s="5"/>
      <c r="H108" s="5"/>
      <c r="I108" s="5"/>
      <c r="J108" s="5"/>
      <c r="K108" s="5"/>
      <c r="L108" s="5"/>
      <c r="M108" s="5"/>
      <c r="N108" s="5"/>
      <c r="O108" s="5"/>
      <c r="P108" s="5"/>
      <c r="Q108" s="5"/>
      <c r="R108" s="5"/>
      <c r="S108" s="5"/>
    </row>
    <row r="109" spans="1:19" ht="13" x14ac:dyDescent="0.3">
      <c r="A109" s="194">
        <f t="shared" si="3"/>
        <v>44</v>
      </c>
      <c r="B109" s="410" t="s">
        <v>390</v>
      </c>
      <c r="C109" s="194">
        <v>5</v>
      </c>
      <c r="D109" s="194">
        <f t="shared" si="2"/>
        <v>4.3999999999999997E-2</v>
      </c>
      <c r="E109" s="194"/>
      <c r="F109" s="194"/>
      <c r="G109" s="5"/>
      <c r="H109" s="5"/>
      <c r="I109" s="5"/>
      <c r="J109" s="5"/>
      <c r="K109" s="5"/>
      <c r="L109" s="5"/>
      <c r="M109" s="5"/>
      <c r="N109" s="5"/>
      <c r="O109" s="5"/>
      <c r="P109" s="5"/>
      <c r="Q109" s="5"/>
      <c r="R109" s="5"/>
      <c r="S109" s="5"/>
    </row>
    <row r="110" spans="1:19" ht="13" x14ac:dyDescent="0.3">
      <c r="A110" s="194">
        <f t="shared" si="3"/>
        <v>45</v>
      </c>
      <c r="B110" s="410" t="s">
        <v>391</v>
      </c>
      <c r="C110" s="194">
        <v>6</v>
      </c>
      <c r="D110" s="194">
        <f t="shared" ref="D110:D117" si="4">VLOOKUP(C110,$A$183:$C$189,3)</f>
        <v>4.8000000000000001E-2</v>
      </c>
      <c r="E110" s="194"/>
      <c r="F110" s="194"/>
      <c r="G110" s="5"/>
      <c r="H110" s="5"/>
      <c r="I110" s="5"/>
      <c r="J110" s="5"/>
      <c r="K110" s="5"/>
      <c r="L110" s="5"/>
      <c r="M110" s="5"/>
      <c r="N110" s="5"/>
      <c r="O110" s="5"/>
      <c r="P110" s="5"/>
      <c r="Q110" s="5"/>
      <c r="R110" s="5"/>
      <c r="S110" s="5"/>
    </row>
    <row r="111" spans="1:19" ht="13" x14ac:dyDescent="0.3">
      <c r="A111" s="194">
        <f t="shared" si="3"/>
        <v>46</v>
      </c>
      <c r="B111" s="410" t="s">
        <v>392</v>
      </c>
      <c r="C111" s="194">
        <v>2</v>
      </c>
      <c r="D111" s="194">
        <f t="shared" si="4"/>
        <v>4.4999999999999998E-2</v>
      </c>
      <c r="E111" s="194"/>
      <c r="F111" s="194"/>
      <c r="G111" s="5"/>
      <c r="H111" s="5"/>
      <c r="I111" s="5"/>
      <c r="J111" s="5"/>
      <c r="K111" s="5"/>
      <c r="L111" s="5"/>
      <c r="M111" s="5"/>
      <c r="N111" s="5"/>
      <c r="O111" s="5"/>
      <c r="P111" s="5"/>
      <c r="Q111" s="5"/>
      <c r="R111" s="5"/>
      <c r="S111" s="5"/>
    </row>
    <row r="112" spans="1:19" ht="13" x14ac:dyDescent="0.3">
      <c r="A112" s="194">
        <f t="shared" si="3"/>
        <v>47</v>
      </c>
      <c r="B112" s="410" t="s">
        <v>393</v>
      </c>
      <c r="C112" s="194">
        <v>2</v>
      </c>
      <c r="D112" s="194">
        <f t="shared" si="4"/>
        <v>4.4999999999999998E-2</v>
      </c>
      <c r="E112" s="194"/>
      <c r="F112" s="194"/>
      <c r="G112" s="194"/>
      <c r="H112" s="194"/>
      <c r="I112" s="5"/>
      <c r="J112" s="5"/>
      <c r="K112" s="5"/>
      <c r="L112" s="5"/>
      <c r="M112" s="5"/>
      <c r="N112" s="5"/>
      <c r="O112" s="5"/>
      <c r="P112" s="5"/>
      <c r="Q112" s="5"/>
      <c r="R112" s="5"/>
      <c r="S112" s="5"/>
    </row>
    <row r="113" spans="1:19" ht="13" x14ac:dyDescent="0.3">
      <c r="A113" s="194">
        <f t="shared" si="3"/>
        <v>48</v>
      </c>
      <c r="B113" s="410" t="s">
        <v>394</v>
      </c>
      <c r="C113" s="194">
        <v>2</v>
      </c>
      <c r="D113" s="194">
        <f t="shared" si="4"/>
        <v>4.4999999999999998E-2</v>
      </c>
      <c r="E113" s="194"/>
      <c r="F113" s="194"/>
      <c r="G113" s="5"/>
      <c r="H113" s="5"/>
      <c r="I113" s="5"/>
      <c r="J113" s="5"/>
      <c r="K113" s="5"/>
      <c r="L113" s="5"/>
      <c r="M113" s="5"/>
      <c r="N113" s="5"/>
      <c r="O113" s="5"/>
      <c r="P113" s="5"/>
      <c r="Q113" s="5"/>
      <c r="R113" s="5"/>
      <c r="S113" s="5"/>
    </row>
    <row r="114" spans="1:19" ht="13" x14ac:dyDescent="0.3">
      <c r="A114" s="194">
        <f t="shared" si="3"/>
        <v>49</v>
      </c>
      <c r="B114" s="410" t="s">
        <v>395</v>
      </c>
      <c r="C114" s="194">
        <v>2</v>
      </c>
      <c r="D114" s="194">
        <f t="shared" si="4"/>
        <v>4.4999999999999998E-2</v>
      </c>
      <c r="E114" s="194"/>
      <c r="F114" s="194"/>
      <c r="G114" s="5"/>
      <c r="H114" s="5"/>
      <c r="I114" s="5"/>
      <c r="J114" s="5"/>
      <c r="K114" s="5"/>
      <c r="L114" s="5"/>
      <c r="M114" s="5"/>
      <c r="N114" s="5"/>
      <c r="O114" s="5"/>
      <c r="P114" s="5"/>
      <c r="Q114" s="5"/>
      <c r="R114" s="5"/>
      <c r="S114" s="5"/>
    </row>
    <row r="115" spans="1:19" ht="13" x14ac:dyDescent="0.3">
      <c r="A115" s="194">
        <f t="shared" si="3"/>
        <v>50</v>
      </c>
      <c r="B115" s="410" t="s">
        <v>396</v>
      </c>
      <c r="C115" s="194">
        <v>4</v>
      </c>
      <c r="D115" s="194">
        <f t="shared" si="4"/>
        <v>4.3999999999999997E-2</v>
      </c>
      <c r="E115" s="194"/>
      <c r="F115" s="194"/>
      <c r="G115" s="194"/>
      <c r="H115" s="5"/>
      <c r="I115" s="5"/>
      <c r="J115" s="5"/>
      <c r="K115" s="5"/>
      <c r="L115" s="5"/>
      <c r="M115" s="5"/>
      <c r="N115" s="5"/>
      <c r="O115" s="5"/>
      <c r="P115" s="5"/>
      <c r="Q115" s="5"/>
      <c r="R115" s="5"/>
      <c r="S115" s="5"/>
    </row>
    <row r="116" spans="1:19" ht="13" x14ac:dyDescent="0.3">
      <c r="A116" s="194">
        <f t="shared" si="3"/>
        <v>51</v>
      </c>
      <c r="B116" s="410" t="s">
        <v>397</v>
      </c>
      <c r="C116" s="194">
        <v>3</v>
      </c>
      <c r="D116" s="194">
        <f t="shared" si="4"/>
        <v>4.3999999999999997E-2</v>
      </c>
      <c r="E116" s="194"/>
      <c r="F116" s="194"/>
      <c r="G116" s="194"/>
      <c r="H116" s="5"/>
      <c r="I116" s="5"/>
      <c r="J116" s="5"/>
      <c r="K116" s="5"/>
      <c r="L116" s="5"/>
      <c r="M116" s="5"/>
      <c r="N116" s="5"/>
      <c r="O116" s="5"/>
      <c r="P116" s="5"/>
      <c r="Q116" s="5"/>
      <c r="R116" s="5"/>
      <c r="S116" s="5"/>
    </row>
    <row r="117" spans="1:19" ht="13" x14ac:dyDescent="0.3">
      <c r="A117" s="194">
        <f t="shared" si="3"/>
        <v>52</v>
      </c>
      <c r="B117" s="410" t="s">
        <v>398</v>
      </c>
      <c r="C117" s="194">
        <v>1</v>
      </c>
      <c r="D117" s="194">
        <f t="shared" si="4"/>
        <v>4.4999999999999998E-2</v>
      </c>
      <c r="E117" s="194"/>
      <c r="F117" s="194"/>
      <c r="G117" s="194"/>
      <c r="H117" s="5"/>
      <c r="I117" s="5"/>
      <c r="J117" s="5"/>
      <c r="K117" s="5"/>
      <c r="L117" s="5"/>
      <c r="M117" s="5"/>
      <c r="N117" s="5"/>
      <c r="O117" s="5"/>
      <c r="P117" s="5"/>
      <c r="Q117" s="5"/>
      <c r="R117" s="5"/>
      <c r="S117" s="5"/>
    </row>
    <row r="118" spans="1:19" x14ac:dyDescent="0.25">
      <c r="A118" s="194"/>
      <c r="B118" s="194"/>
      <c r="C118" s="194"/>
      <c r="D118" s="194"/>
      <c r="E118" s="194"/>
      <c r="F118" s="194"/>
      <c r="G118" s="194"/>
      <c r="H118" s="5"/>
      <c r="I118" s="5"/>
      <c r="J118" s="5"/>
      <c r="K118" s="5"/>
      <c r="L118" s="5"/>
      <c r="M118" s="5"/>
      <c r="N118" s="5"/>
      <c r="O118" s="5"/>
      <c r="P118" s="5"/>
      <c r="Q118" s="5"/>
      <c r="R118" s="5"/>
      <c r="S118" s="5"/>
    </row>
    <row r="119" spans="1:19" ht="13" x14ac:dyDescent="0.3">
      <c r="A119" s="194" t="s">
        <v>399</v>
      </c>
      <c r="B119" s="2" t="s">
        <v>400</v>
      </c>
      <c r="C119" s="194" t="s">
        <v>329</v>
      </c>
      <c r="D119" s="194"/>
      <c r="E119" s="194"/>
      <c r="F119" s="194" t="s">
        <v>330</v>
      </c>
      <c r="G119" s="194"/>
      <c r="H119" s="5"/>
      <c r="I119" s="5"/>
      <c r="J119" s="5"/>
      <c r="K119" s="5"/>
      <c r="L119" s="5"/>
      <c r="M119" s="5"/>
      <c r="N119" s="5"/>
      <c r="O119" s="5"/>
      <c r="P119" s="5"/>
      <c r="Q119" s="5"/>
      <c r="R119" s="5"/>
      <c r="S119" s="5"/>
    </row>
    <row r="120" spans="1:19" x14ac:dyDescent="0.25">
      <c r="A120" s="194">
        <v>1</v>
      </c>
      <c r="B120" s="194" t="s">
        <v>401</v>
      </c>
      <c r="C120" s="194">
        <f>co2gas</f>
        <v>116.9</v>
      </c>
      <c r="D120" s="749"/>
      <c r="E120" s="194"/>
      <c r="F120" s="194">
        <v>1028</v>
      </c>
      <c r="G120" s="194" t="s">
        <v>332</v>
      </c>
      <c r="H120" s="5"/>
      <c r="I120" s="5"/>
      <c r="J120" s="5"/>
      <c r="K120" s="5"/>
      <c r="L120" s="5"/>
      <c r="M120" s="5"/>
      <c r="N120" s="5"/>
      <c r="O120" s="5"/>
      <c r="P120" s="5"/>
      <c r="Q120" s="5"/>
      <c r="R120" s="5"/>
      <c r="S120" s="5"/>
    </row>
    <row r="121" spans="1:19" x14ac:dyDescent="0.25">
      <c r="A121" s="194">
        <v>2</v>
      </c>
      <c r="B121" s="194" t="s">
        <v>402</v>
      </c>
      <c r="C121" s="194">
        <f>co2oil</f>
        <v>163.1</v>
      </c>
      <c r="D121" s="749"/>
      <c r="E121" s="194"/>
      <c r="F121" s="194">
        <v>138000</v>
      </c>
      <c r="G121" s="194" t="s">
        <v>255</v>
      </c>
      <c r="H121" s="5"/>
      <c r="I121" s="5"/>
      <c r="J121" s="5"/>
      <c r="K121" s="5"/>
      <c r="L121" s="5"/>
      <c r="M121" s="5"/>
      <c r="N121" s="5"/>
      <c r="O121" s="5"/>
      <c r="P121" s="5"/>
      <c r="Q121" s="5"/>
      <c r="R121" s="5"/>
      <c r="S121" s="5"/>
    </row>
    <row r="122" spans="1:19" x14ac:dyDescent="0.25">
      <c r="A122" s="194">
        <v>3</v>
      </c>
      <c r="B122" s="194" t="s">
        <v>403</v>
      </c>
      <c r="C122" s="194">
        <f>co2oil</f>
        <v>163.1</v>
      </c>
      <c r="D122" s="749"/>
      <c r="E122" s="194"/>
      <c r="F122" s="194">
        <v>138000</v>
      </c>
      <c r="G122" s="194" t="s">
        <v>255</v>
      </c>
      <c r="H122" s="5"/>
      <c r="I122" s="5"/>
      <c r="J122" s="5"/>
      <c r="K122" s="5"/>
      <c r="L122" s="5"/>
      <c r="M122" s="5"/>
      <c r="N122" s="5"/>
      <c r="O122" s="5"/>
      <c r="P122" s="5"/>
      <c r="Q122" s="5"/>
      <c r="R122" s="5"/>
      <c r="S122" s="5"/>
    </row>
    <row r="123" spans="1:19" x14ac:dyDescent="0.25">
      <c r="A123" s="194">
        <v>4</v>
      </c>
      <c r="B123" s="194" t="s">
        <v>259</v>
      </c>
      <c r="C123" s="194">
        <f>co2coal</f>
        <v>207.1</v>
      </c>
      <c r="D123" s="749"/>
      <c r="E123" s="194"/>
      <c r="F123" s="194">
        <f>heatcontentcoal</f>
        <v>11175</v>
      </c>
      <c r="G123" s="194" t="s">
        <v>214</v>
      </c>
      <c r="H123" s="5"/>
      <c r="I123" s="5"/>
      <c r="J123" s="5"/>
      <c r="K123" s="5"/>
      <c r="L123" s="5"/>
      <c r="M123" s="5"/>
      <c r="N123" s="5"/>
      <c r="O123" s="5"/>
      <c r="P123" s="5"/>
      <c r="Q123" s="5"/>
      <c r="R123" s="5"/>
      <c r="S123" s="5"/>
    </row>
    <row r="124" spans="1:19" x14ac:dyDescent="0.25">
      <c r="A124" s="194">
        <v>5</v>
      </c>
      <c r="B124" s="194" t="s">
        <v>404</v>
      </c>
      <c r="C124" s="194">
        <f>co2propane</f>
        <v>139</v>
      </c>
      <c r="D124" s="749"/>
      <c r="E124" s="194"/>
      <c r="F124" s="194">
        <v>91600</v>
      </c>
      <c r="G124" s="194" t="s">
        <v>255</v>
      </c>
      <c r="H124" s="5"/>
      <c r="I124" s="5"/>
      <c r="J124" s="5"/>
      <c r="K124" s="5"/>
      <c r="L124" s="5"/>
      <c r="M124" s="5"/>
      <c r="N124" s="5"/>
      <c r="O124" s="5"/>
      <c r="P124" s="5"/>
      <c r="Q124" s="5"/>
      <c r="R124" s="5"/>
      <c r="S124" s="5"/>
    </row>
    <row r="125" spans="1:19" x14ac:dyDescent="0.25">
      <c r="A125" s="194">
        <v>6</v>
      </c>
      <c r="B125" s="194" t="s">
        <v>405</v>
      </c>
      <c r="C125" s="194">
        <f>co2wood</f>
        <v>206.7</v>
      </c>
      <c r="D125" s="749"/>
      <c r="E125" s="194"/>
      <c r="F125" s="194">
        <f>heatcontentwood</f>
        <v>7500</v>
      </c>
      <c r="G125" s="194" t="s">
        <v>214</v>
      </c>
      <c r="H125" s="5"/>
      <c r="I125" s="5"/>
      <c r="J125" s="5"/>
      <c r="K125" s="5"/>
      <c r="L125" s="5"/>
      <c r="M125" s="5"/>
      <c r="N125" s="5"/>
      <c r="O125" s="5"/>
      <c r="P125" s="5"/>
      <c r="Q125" s="5"/>
      <c r="R125" s="5"/>
      <c r="S125" s="5"/>
    </row>
    <row r="126" spans="1:19" x14ac:dyDescent="0.25">
      <c r="A126" s="194">
        <v>7</v>
      </c>
      <c r="B126" s="194" t="s">
        <v>406</v>
      </c>
      <c r="C126" s="194">
        <v>0</v>
      </c>
      <c r="D126" s="749"/>
      <c r="E126" s="194"/>
      <c r="F126" s="194">
        <v>138000</v>
      </c>
      <c r="G126" s="194" t="s">
        <v>255</v>
      </c>
      <c r="H126" s="5"/>
      <c r="I126" s="5"/>
      <c r="J126" s="5"/>
      <c r="K126" s="5"/>
      <c r="L126" s="5"/>
      <c r="M126" s="5"/>
      <c r="N126" s="5"/>
      <c r="O126" s="5"/>
      <c r="P126" s="5"/>
      <c r="Q126" s="5"/>
      <c r="R126" s="5"/>
      <c r="S126" s="5"/>
    </row>
    <row r="127" spans="1:19" x14ac:dyDescent="0.25">
      <c r="A127" s="194">
        <v>8</v>
      </c>
      <c r="B127" s="194" t="s">
        <v>407</v>
      </c>
      <c r="C127" s="194">
        <v>0</v>
      </c>
      <c r="D127" s="749"/>
      <c r="E127" s="194"/>
      <c r="F127" s="194"/>
      <c r="G127" s="194"/>
      <c r="H127" s="5"/>
      <c r="I127" s="5"/>
      <c r="J127" s="5"/>
      <c r="K127" s="5"/>
      <c r="L127" s="5"/>
      <c r="M127" s="5"/>
      <c r="N127" s="5"/>
      <c r="O127" s="5"/>
      <c r="P127" s="5"/>
      <c r="Q127" s="5"/>
      <c r="R127" s="5"/>
      <c r="S127" s="5"/>
    </row>
    <row r="128" spans="1:19" x14ac:dyDescent="0.25">
      <c r="A128" s="194"/>
      <c r="B128" s="194"/>
      <c r="C128" s="194"/>
      <c r="D128" s="749"/>
      <c r="E128" s="194"/>
      <c r="F128" s="194"/>
      <c r="G128" s="194"/>
      <c r="H128" s="5"/>
      <c r="I128" s="5"/>
      <c r="J128" s="5"/>
      <c r="K128" s="5"/>
      <c r="L128" s="5"/>
      <c r="M128" s="5"/>
      <c r="N128" s="5"/>
      <c r="O128" s="5"/>
      <c r="P128" s="5"/>
      <c r="Q128" s="5"/>
      <c r="R128" s="5"/>
      <c r="S128" s="5"/>
    </row>
    <row r="130" spans="1:19" ht="13" x14ac:dyDescent="0.3">
      <c r="A130" s="194" t="s">
        <v>408</v>
      </c>
      <c r="B130" s="2" t="s">
        <v>409</v>
      </c>
      <c r="C130" s="194" t="s">
        <v>329</v>
      </c>
      <c r="D130" s="194"/>
      <c r="E130" s="194"/>
      <c r="F130" s="194" t="s">
        <v>330</v>
      </c>
      <c r="G130" s="194"/>
      <c r="H130" s="5"/>
      <c r="I130" s="5"/>
      <c r="J130" s="5"/>
      <c r="K130" s="5"/>
      <c r="L130" s="5"/>
      <c r="M130" s="5"/>
      <c r="N130" s="5"/>
      <c r="O130" s="5"/>
      <c r="P130" s="5"/>
      <c r="Q130" s="5"/>
      <c r="R130" s="5"/>
      <c r="S130" s="5"/>
    </row>
    <row r="131" spans="1:19" x14ac:dyDescent="0.25">
      <c r="A131" s="194">
        <v>1</v>
      </c>
      <c r="B131" s="194" t="s">
        <v>401</v>
      </c>
      <c r="C131" s="194">
        <f>co2gas</f>
        <v>116.9</v>
      </c>
      <c r="D131" s="749"/>
      <c r="E131" s="194"/>
      <c r="F131" s="194">
        <v>1028</v>
      </c>
      <c r="G131" s="194" t="s">
        <v>332</v>
      </c>
      <c r="H131" s="5"/>
      <c r="I131" s="5"/>
      <c r="J131" s="5"/>
      <c r="K131" s="5"/>
      <c r="L131" s="5"/>
      <c r="M131" s="5"/>
      <c r="N131" s="5"/>
      <c r="O131" s="5"/>
      <c r="P131" s="5"/>
      <c r="Q131" s="5"/>
      <c r="R131" s="5"/>
      <c r="S131" s="5"/>
    </row>
    <row r="132" spans="1:19" x14ac:dyDescent="0.25">
      <c r="A132" s="194">
        <v>2</v>
      </c>
      <c r="B132" s="194" t="s">
        <v>402</v>
      </c>
      <c r="C132" s="194">
        <f>co2oil</f>
        <v>163.1</v>
      </c>
      <c r="D132" s="749"/>
      <c r="E132" s="194"/>
      <c r="F132" s="194">
        <v>138000</v>
      </c>
      <c r="G132" s="194" t="s">
        <v>255</v>
      </c>
      <c r="H132" s="5"/>
      <c r="I132" s="5"/>
      <c r="J132" s="5"/>
      <c r="K132" s="5"/>
      <c r="L132" s="5"/>
      <c r="M132" s="5"/>
      <c r="N132" s="5"/>
      <c r="O132" s="5"/>
      <c r="P132" s="5"/>
      <c r="Q132" s="5"/>
      <c r="R132" s="5"/>
      <c r="S132" s="5"/>
    </row>
    <row r="133" spans="1:19" x14ac:dyDescent="0.25">
      <c r="A133" s="194">
        <v>3</v>
      </c>
      <c r="B133" s="194" t="s">
        <v>403</v>
      </c>
      <c r="C133" s="194">
        <f>co2oil</f>
        <v>163.1</v>
      </c>
      <c r="D133" s="749"/>
      <c r="E133" s="194"/>
      <c r="F133" s="194">
        <v>138000</v>
      </c>
      <c r="G133" s="194" t="s">
        <v>255</v>
      </c>
      <c r="H133" s="5"/>
      <c r="I133" s="5"/>
      <c r="J133" s="5"/>
      <c r="K133" s="5"/>
      <c r="L133" s="5"/>
      <c r="M133" s="5"/>
      <c r="N133" s="5"/>
      <c r="O133" s="5"/>
      <c r="P133" s="5"/>
      <c r="Q133" s="5"/>
      <c r="R133" s="5"/>
      <c r="S133" s="5"/>
    </row>
    <row r="134" spans="1:19" x14ac:dyDescent="0.25">
      <c r="A134" s="194">
        <v>4</v>
      </c>
      <c r="B134" s="194" t="s">
        <v>259</v>
      </c>
      <c r="C134" s="194">
        <f>co2coal</f>
        <v>207.1</v>
      </c>
      <c r="D134" s="749"/>
      <c r="E134" s="194"/>
      <c r="F134" s="194">
        <f>heatcontentcoal</f>
        <v>11175</v>
      </c>
      <c r="G134" s="194" t="s">
        <v>214</v>
      </c>
      <c r="H134" s="5"/>
      <c r="I134" s="5"/>
      <c r="J134" s="5"/>
      <c r="K134" s="5"/>
      <c r="L134" s="5"/>
      <c r="M134" s="5"/>
      <c r="N134" s="5"/>
      <c r="O134" s="5"/>
      <c r="P134" s="5"/>
      <c r="Q134" s="5"/>
      <c r="R134" s="5"/>
      <c r="S134" s="5"/>
    </row>
    <row r="135" spans="1:19" x14ac:dyDescent="0.25">
      <c r="A135" s="194">
        <v>5</v>
      </c>
      <c r="B135" s="194" t="s">
        <v>404</v>
      </c>
      <c r="C135" s="194">
        <f>co2propane</f>
        <v>139</v>
      </c>
      <c r="D135" s="749"/>
      <c r="E135" s="194"/>
      <c r="F135" s="194">
        <v>91600</v>
      </c>
      <c r="G135" s="194" t="s">
        <v>255</v>
      </c>
      <c r="H135" s="5"/>
      <c r="I135" s="5"/>
      <c r="J135" s="5"/>
      <c r="K135" s="5"/>
      <c r="L135" s="5"/>
      <c r="M135" s="5"/>
      <c r="N135" s="5"/>
      <c r="O135" s="5"/>
      <c r="P135" s="5"/>
      <c r="Q135" s="5"/>
      <c r="R135" s="5"/>
      <c r="S135" s="5"/>
    </row>
    <row r="136" spans="1:19" x14ac:dyDescent="0.25">
      <c r="A136" s="194">
        <v>6</v>
      </c>
      <c r="B136" s="194" t="s">
        <v>405</v>
      </c>
      <c r="C136" s="194">
        <f>co2wood</f>
        <v>206.7</v>
      </c>
      <c r="D136" s="749"/>
      <c r="E136" s="194"/>
      <c r="F136" s="194">
        <f>heatcontentwood</f>
        <v>7500</v>
      </c>
      <c r="G136" s="194" t="s">
        <v>214</v>
      </c>
      <c r="H136" s="5"/>
      <c r="I136" s="5"/>
      <c r="J136" s="5"/>
      <c r="K136" s="5"/>
      <c r="L136" s="5"/>
      <c r="M136" s="5"/>
      <c r="N136" s="5"/>
      <c r="O136" s="5"/>
      <c r="P136" s="5"/>
      <c r="Q136" s="5"/>
      <c r="R136" s="5"/>
      <c r="S136" s="5"/>
    </row>
    <row r="137" spans="1:19" x14ac:dyDescent="0.25">
      <c r="A137" s="194">
        <v>7</v>
      </c>
      <c r="B137" s="194" t="s">
        <v>410</v>
      </c>
      <c r="C137" s="194">
        <v>0</v>
      </c>
      <c r="D137" s="749"/>
      <c r="E137" s="194"/>
      <c r="F137" s="194">
        <v>138000</v>
      </c>
      <c r="G137" s="194" t="s">
        <v>255</v>
      </c>
      <c r="H137" s="5"/>
      <c r="I137" s="5"/>
      <c r="J137" s="5"/>
      <c r="K137" s="5"/>
      <c r="L137" s="5"/>
      <c r="M137" s="5"/>
      <c r="N137" s="5"/>
      <c r="O137" s="5"/>
      <c r="P137" s="5"/>
      <c r="Q137" s="5"/>
      <c r="R137" s="5"/>
      <c r="S137" s="5"/>
    </row>
    <row r="139" spans="1:19" ht="13" x14ac:dyDescent="0.3">
      <c r="A139" s="194" t="s">
        <v>411</v>
      </c>
      <c r="B139" s="2" t="s">
        <v>412</v>
      </c>
      <c r="C139" s="194"/>
      <c r="D139" s="194"/>
      <c r="E139" s="194"/>
      <c r="F139" s="194"/>
      <c r="G139" s="194"/>
      <c r="H139" s="5"/>
      <c r="I139" s="5"/>
      <c r="J139" s="5"/>
      <c r="K139" s="5"/>
      <c r="L139" s="5"/>
      <c r="M139" s="5"/>
      <c r="N139" s="5"/>
      <c r="O139" s="5"/>
      <c r="P139" s="5"/>
      <c r="Q139" s="5"/>
      <c r="R139" s="5"/>
      <c r="S139" s="5"/>
    </row>
    <row r="140" spans="1:19" x14ac:dyDescent="0.25">
      <c r="A140" s="194">
        <v>1</v>
      </c>
      <c r="B140" s="750" t="s">
        <v>413</v>
      </c>
      <c r="C140" s="194"/>
      <c r="D140" s="194"/>
      <c r="E140" s="194"/>
      <c r="F140" s="194"/>
      <c r="G140" s="194"/>
      <c r="H140" s="5"/>
      <c r="I140" s="5"/>
      <c r="J140" s="5"/>
      <c r="K140" s="5"/>
      <c r="L140" s="5"/>
      <c r="M140" s="5"/>
      <c r="N140" s="5"/>
      <c r="O140" s="5"/>
      <c r="P140" s="5"/>
      <c r="Q140" s="5"/>
      <c r="R140" s="5"/>
      <c r="S140" s="5"/>
    </row>
    <row r="141" spans="1:19" x14ac:dyDescent="0.25">
      <c r="A141" s="194">
        <v>2</v>
      </c>
      <c r="B141" s="750" t="s">
        <v>414</v>
      </c>
      <c r="C141" s="194"/>
      <c r="D141" s="194"/>
      <c r="E141" s="194"/>
      <c r="F141" s="194"/>
      <c r="G141" s="194"/>
      <c r="H141" s="5"/>
      <c r="I141" s="5"/>
      <c r="J141" s="5"/>
      <c r="K141" s="5"/>
      <c r="L141" s="5"/>
      <c r="M141" s="5"/>
      <c r="N141" s="5"/>
      <c r="O141" s="5"/>
      <c r="P141" s="5"/>
      <c r="Q141" s="5"/>
      <c r="R141" s="5"/>
      <c r="S141" s="5"/>
    </row>
    <row r="143" spans="1:19" ht="13" x14ac:dyDescent="0.3">
      <c r="A143" s="194" t="s">
        <v>415</v>
      </c>
      <c r="B143" s="2" t="s">
        <v>416</v>
      </c>
      <c r="C143" s="194"/>
      <c r="D143" s="194"/>
      <c r="E143" s="194"/>
      <c r="F143" s="194"/>
      <c r="G143" s="194"/>
      <c r="H143" s="5"/>
      <c r="I143" s="5"/>
      <c r="J143" s="5"/>
      <c r="K143" s="5"/>
      <c r="L143" s="5"/>
      <c r="M143" s="5"/>
      <c r="N143" s="5"/>
      <c r="O143" s="5"/>
      <c r="P143" s="5"/>
      <c r="Q143" s="5"/>
      <c r="R143" s="5"/>
      <c r="S143" s="5"/>
    </row>
    <row r="144" spans="1:19" x14ac:dyDescent="0.25">
      <c r="A144" s="194">
        <v>1</v>
      </c>
      <c r="B144" s="194" t="e">
        <f>CONCATENATE("Typical ",E144,", COP=",D144)</f>
        <v>#N/A</v>
      </c>
      <c r="C144" s="194"/>
      <c r="D144" s="194" t="e">
        <f>CHPTech!B230</f>
        <v>#N/A</v>
      </c>
      <c r="E144" s="194" t="s">
        <v>417</v>
      </c>
      <c r="F144" s="194"/>
      <c r="G144" s="194"/>
      <c r="H144" s="5"/>
      <c r="I144" s="5"/>
      <c r="J144" s="5"/>
      <c r="K144" s="5"/>
      <c r="L144" s="5"/>
      <c r="M144" s="5"/>
      <c r="N144" s="5"/>
      <c r="O144" s="5"/>
      <c r="P144" s="5"/>
      <c r="Q144" s="5"/>
      <c r="R144" s="5"/>
      <c r="S144" s="5"/>
    </row>
    <row r="145" spans="1:19" x14ac:dyDescent="0.25">
      <c r="A145" s="194">
        <v>2</v>
      </c>
      <c r="B145" s="194" t="e">
        <f>CONCATENATE("Typical ",E145,", COP=",D145)</f>
        <v>#N/A</v>
      </c>
      <c r="C145" s="194"/>
      <c r="D145" s="194" t="e">
        <f>CHPTech!B231</f>
        <v>#N/A</v>
      </c>
      <c r="E145" s="194" t="s">
        <v>418</v>
      </c>
      <c r="F145" s="194"/>
      <c r="G145" s="194"/>
      <c r="H145" s="5"/>
      <c r="I145" s="5"/>
      <c r="J145" s="5"/>
      <c r="K145" s="5"/>
      <c r="L145" s="5"/>
      <c r="M145" s="5"/>
      <c r="N145" s="5"/>
      <c r="O145" s="5"/>
      <c r="P145" s="5"/>
      <c r="Q145" s="5"/>
      <c r="R145" s="5"/>
      <c r="S145" s="5"/>
    </row>
    <row r="146" spans="1:19" x14ac:dyDescent="0.25">
      <c r="A146" s="194">
        <v>3</v>
      </c>
      <c r="B146" s="194" t="s">
        <v>419</v>
      </c>
      <c r="C146" s="194"/>
      <c r="D146" s="194"/>
      <c r="E146" s="194" t="s">
        <v>419</v>
      </c>
      <c r="F146" s="194"/>
      <c r="G146" s="194"/>
      <c r="H146" s="5"/>
      <c r="I146" s="5"/>
      <c r="J146" s="5"/>
      <c r="K146" s="5"/>
      <c r="L146" s="5"/>
      <c r="M146" s="5"/>
      <c r="N146" s="5"/>
      <c r="O146" s="5"/>
      <c r="P146" s="5"/>
      <c r="Q146" s="5"/>
      <c r="R146" s="5"/>
      <c r="S146" s="5"/>
    </row>
    <row r="148" spans="1:19" ht="13" x14ac:dyDescent="0.3">
      <c r="A148" s="194" t="s">
        <v>420</v>
      </c>
      <c r="B148" s="2" t="s">
        <v>421</v>
      </c>
      <c r="C148" s="5"/>
      <c r="D148" s="5"/>
      <c r="E148" s="5"/>
      <c r="F148" s="5"/>
      <c r="G148" s="5"/>
      <c r="H148" s="5"/>
      <c r="I148" s="5"/>
      <c r="J148" s="5"/>
      <c r="K148" s="5"/>
      <c r="L148" s="5"/>
      <c r="M148" s="5"/>
      <c r="N148" s="5"/>
      <c r="O148" s="5"/>
      <c r="P148" s="5"/>
      <c r="Q148" s="5"/>
      <c r="R148" s="5"/>
      <c r="S148" s="5"/>
    </row>
    <row r="149" spans="1:19" x14ac:dyDescent="0.25">
      <c r="A149" s="194">
        <v>1</v>
      </c>
      <c r="B149" s="750" t="s">
        <v>413</v>
      </c>
      <c r="C149" s="5"/>
      <c r="D149" s="5"/>
      <c r="E149" s="5"/>
      <c r="F149" s="5"/>
      <c r="G149" s="5"/>
      <c r="H149" s="5"/>
      <c r="I149" s="5"/>
      <c r="J149" s="5"/>
      <c r="K149" s="5"/>
      <c r="L149" s="5"/>
      <c r="M149" s="5"/>
      <c r="N149" s="5"/>
      <c r="O149" s="5"/>
      <c r="P149" s="5"/>
      <c r="Q149" s="5"/>
      <c r="R149" s="5"/>
      <c r="S149" s="5"/>
    </row>
    <row r="150" spans="1:19" x14ac:dyDescent="0.25">
      <c r="A150" s="194">
        <v>2</v>
      </c>
      <c r="B150" s="750" t="s">
        <v>414</v>
      </c>
      <c r="C150" s="5"/>
      <c r="D150" s="5"/>
      <c r="E150" s="5"/>
      <c r="F150" s="5"/>
      <c r="G150" s="5"/>
      <c r="H150" s="5"/>
      <c r="I150" s="5"/>
      <c r="J150" s="5"/>
      <c r="K150" s="5"/>
      <c r="L150" s="5"/>
      <c r="M150" s="5"/>
      <c r="N150" s="5"/>
      <c r="O150" s="5"/>
      <c r="P150" s="5"/>
      <c r="Q150" s="5"/>
      <c r="R150" s="5"/>
      <c r="S150" s="5"/>
    </row>
    <row r="152" spans="1:19" ht="13" x14ac:dyDescent="0.3">
      <c r="A152" s="194" t="s">
        <v>422</v>
      </c>
      <c r="B152" s="2" t="s">
        <v>423</v>
      </c>
      <c r="C152" s="5"/>
      <c r="D152" s="5"/>
      <c r="E152" s="5"/>
      <c r="F152" s="5"/>
      <c r="G152" s="5"/>
      <c r="H152" s="5"/>
      <c r="I152" s="5"/>
      <c r="J152" s="5"/>
      <c r="K152" s="5"/>
      <c r="L152" s="5"/>
      <c r="M152" s="5"/>
      <c r="N152" s="5"/>
      <c r="O152" s="5"/>
      <c r="P152" s="5"/>
      <c r="Q152" s="5"/>
      <c r="R152" s="5"/>
      <c r="S152" s="5"/>
    </row>
    <row r="153" spans="1:19" x14ac:dyDescent="0.25">
      <c r="A153" s="194">
        <v>1</v>
      </c>
      <c r="B153" s="194" t="s">
        <v>424</v>
      </c>
      <c r="C153" s="5"/>
      <c r="D153" s="5"/>
      <c r="E153" s="5"/>
      <c r="F153" s="5"/>
      <c r="G153" s="5"/>
      <c r="H153" s="5"/>
      <c r="I153" s="5"/>
      <c r="J153" s="5"/>
      <c r="K153" s="5"/>
      <c r="L153" s="5"/>
      <c r="M153" s="5"/>
      <c r="N153" s="5"/>
      <c r="O153" s="5"/>
      <c r="P153" s="5"/>
      <c r="Q153" s="5"/>
      <c r="R153" s="5"/>
      <c r="S153" s="5"/>
    </row>
    <row r="154" spans="1:19" x14ac:dyDescent="0.25">
      <c r="A154" s="194">
        <v>2</v>
      </c>
      <c r="B154" s="194" t="s">
        <v>425</v>
      </c>
      <c r="C154" s="5"/>
      <c r="D154" s="5"/>
      <c r="E154" s="5"/>
      <c r="F154" s="5"/>
      <c r="G154" s="5"/>
      <c r="H154" s="5"/>
      <c r="I154" s="5"/>
      <c r="J154" s="5"/>
      <c r="K154" s="5"/>
      <c r="L154" s="5"/>
      <c r="M154" s="5"/>
      <c r="N154" s="5"/>
      <c r="O154" s="5"/>
      <c r="P154" s="5"/>
      <c r="Q154" s="5"/>
      <c r="R154" s="5"/>
      <c r="S154" s="5"/>
    </row>
    <row r="155" spans="1:19" x14ac:dyDescent="0.25">
      <c r="A155" s="194">
        <v>3</v>
      </c>
      <c r="B155" s="194" t="s">
        <v>426</v>
      </c>
      <c r="C155" s="5"/>
      <c r="D155" s="5"/>
      <c r="E155" s="5"/>
      <c r="F155" s="5"/>
      <c r="G155" s="5"/>
      <c r="H155" s="5"/>
      <c r="I155" s="5"/>
      <c r="J155" s="5"/>
      <c r="K155" s="5"/>
      <c r="L155" s="5"/>
      <c r="M155" s="5"/>
      <c r="N155" s="5"/>
      <c r="O155" s="5"/>
      <c r="P155" s="5"/>
      <c r="Q155" s="5"/>
      <c r="R155" s="5"/>
      <c r="S155" s="5"/>
    </row>
    <row r="157" spans="1:19" ht="13" x14ac:dyDescent="0.3">
      <c r="A157" s="194" t="s">
        <v>427</v>
      </c>
      <c r="B157" s="2" t="s">
        <v>428</v>
      </c>
      <c r="C157" s="5"/>
      <c r="D157" s="5"/>
      <c r="E157" s="5"/>
      <c r="F157" s="5"/>
      <c r="G157" s="5"/>
      <c r="H157" s="5"/>
      <c r="I157" s="5"/>
      <c r="J157" s="5"/>
      <c r="K157" s="5"/>
      <c r="L157" s="5"/>
      <c r="M157" s="5"/>
      <c r="N157" s="5"/>
      <c r="O157" s="5"/>
      <c r="P157" s="5"/>
      <c r="Q157" s="5"/>
      <c r="R157" s="5"/>
      <c r="S157" s="5"/>
    </row>
    <row r="158" spans="1:19" x14ac:dyDescent="0.25">
      <c r="A158" s="194">
        <v>1</v>
      </c>
      <c r="B158" s="194" t="s">
        <v>413</v>
      </c>
      <c r="C158" s="5"/>
      <c r="D158" s="5"/>
      <c r="E158" s="5"/>
      <c r="F158" s="5"/>
      <c r="G158" s="5"/>
      <c r="H158" s="5"/>
      <c r="I158" s="5"/>
      <c r="J158" s="5"/>
      <c r="K158" s="5"/>
      <c r="L158" s="5"/>
      <c r="M158" s="5"/>
      <c r="N158" s="5"/>
      <c r="O158" s="5"/>
      <c r="P158" s="5"/>
      <c r="Q158" s="5"/>
      <c r="R158" s="5"/>
      <c r="S158" s="5"/>
    </row>
    <row r="159" spans="1:19" x14ac:dyDescent="0.25">
      <c r="A159" s="194">
        <v>2</v>
      </c>
      <c r="B159" s="194" t="s">
        <v>414</v>
      </c>
      <c r="C159" s="5"/>
      <c r="D159" s="5"/>
      <c r="E159" s="5"/>
      <c r="F159" s="5"/>
      <c r="G159" s="5"/>
      <c r="H159" s="5"/>
      <c r="I159" s="5"/>
      <c r="J159" s="5"/>
      <c r="K159" s="5"/>
      <c r="L159" s="5"/>
      <c r="M159" s="5"/>
      <c r="N159" s="5"/>
      <c r="O159" s="5"/>
      <c r="P159" s="5"/>
      <c r="Q159" s="5"/>
      <c r="R159" s="5"/>
      <c r="S159" s="5"/>
    </row>
    <row r="161" spans="1:20" ht="13" x14ac:dyDescent="0.3">
      <c r="A161" s="194" t="s">
        <v>429</v>
      </c>
      <c r="B161" s="2" t="s">
        <v>430</v>
      </c>
      <c r="C161" s="5"/>
      <c r="D161" s="5"/>
      <c r="E161" s="5"/>
      <c r="F161" s="5"/>
      <c r="G161" s="5"/>
      <c r="H161" s="5"/>
      <c r="I161" s="5"/>
      <c r="J161" s="5"/>
      <c r="K161" s="5"/>
      <c r="L161" s="5"/>
      <c r="M161" s="5"/>
      <c r="N161" s="5"/>
      <c r="O161" s="5"/>
      <c r="P161" s="5"/>
      <c r="Q161" s="5"/>
      <c r="R161" s="5"/>
      <c r="S161" s="5"/>
    </row>
    <row r="162" spans="1:20" x14ac:dyDescent="0.25">
      <c r="A162" s="194">
        <v>1</v>
      </c>
      <c r="B162" s="194" t="s">
        <v>431</v>
      </c>
      <c r="C162" s="5"/>
      <c r="D162" s="5"/>
      <c r="E162" s="5"/>
      <c r="F162" s="5"/>
      <c r="G162" s="5"/>
      <c r="H162" s="5"/>
      <c r="I162" s="5"/>
      <c r="J162" s="5"/>
      <c r="K162" s="5"/>
      <c r="L162" s="5"/>
      <c r="M162" s="5"/>
      <c r="N162" s="5"/>
      <c r="O162" s="5"/>
      <c r="P162" s="5"/>
      <c r="Q162" s="5"/>
      <c r="R162" s="5"/>
      <c r="S162" s="5"/>
    </row>
    <row r="163" spans="1:20" x14ac:dyDescent="0.25">
      <c r="A163" s="194">
        <v>2</v>
      </c>
      <c r="B163" s="194" t="s">
        <v>432</v>
      </c>
      <c r="C163" s="194"/>
      <c r="D163" s="194"/>
      <c r="E163" s="194"/>
      <c r="F163" s="194"/>
      <c r="G163" s="194"/>
      <c r="H163" s="194"/>
      <c r="I163" s="194"/>
      <c r="J163" s="194"/>
      <c r="K163" s="194"/>
      <c r="L163" s="194"/>
      <c r="M163" s="194"/>
      <c r="N163" s="194"/>
      <c r="O163" s="194"/>
      <c r="P163" s="194"/>
      <c r="Q163" s="194"/>
      <c r="R163" s="194"/>
      <c r="S163" s="194"/>
    </row>
    <row r="164" spans="1:20" x14ac:dyDescent="0.25">
      <c r="A164" s="194">
        <v>3</v>
      </c>
      <c r="B164" s="194" t="s">
        <v>433</v>
      </c>
      <c r="C164" s="194"/>
      <c r="D164" s="194"/>
      <c r="E164" s="194"/>
      <c r="F164" s="194"/>
      <c r="G164" s="194"/>
      <c r="H164" s="194"/>
      <c r="I164" s="194"/>
      <c r="J164" s="194"/>
      <c r="K164" s="194"/>
      <c r="L164" s="194"/>
      <c r="M164" s="194"/>
      <c r="N164" s="194"/>
      <c r="O164" s="194"/>
      <c r="P164" s="194"/>
      <c r="Q164" s="194"/>
      <c r="R164" s="194"/>
      <c r="S164" s="194"/>
    </row>
    <row r="165" spans="1:20" x14ac:dyDescent="0.25">
      <c r="A165" s="194">
        <v>4</v>
      </c>
      <c r="B165" s="194" t="s">
        <v>434</v>
      </c>
      <c r="C165" s="194"/>
      <c r="D165" s="194"/>
      <c r="E165" s="194"/>
      <c r="F165" s="194"/>
      <c r="G165" s="194"/>
      <c r="H165" s="194"/>
      <c r="I165" s="194"/>
      <c r="J165" s="194"/>
      <c r="K165" s="194"/>
      <c r="L165" s="194"/>
      <c r="M165" s="194"/>
      <c r="N165" s="194"/>
      <c r="O165" s="194"/>
      <c r="P165" s="194"/>
      <c r="Q165" s="194"/>
      <c r="R165" s="194"/>
      <c r="S165" s="194"/>
    </row>
    <row r="166" spans="1:20" x14ac:dyDescent="0.25">
      <c r="A166" s="194">
        <v>5</v>
      </c>
      <c r="B166" s="194" t="s">
        <v>435</v>
      </c>
      <c r="C166" s="194"/>
      <c r="D166" s="194"/>
      <c r="E166" s="194"/>
      <c r="F166" s="194"/>
      <c r="G166" s="194"/>
      <c r="H166" s="194"/>
      <c r="I166" s="194"/>
      <c r="J166" s="194"/>
      <c r="K166" s="194"/>
      <c r="L166" s="194"/>
      <c r="M166" s="194"/>
      <c r="N166" s="194"/>
      <c r="O166" s="194"/>
      <c r="P166" s="194"/>
      <c r="Q166" s="194"/>
      <c r="R166" s="194"/>
      <c r="S166" s="194"/>
    </row>
    <row r="167" spans="1:20" x14ac:dyDescent="0.25">
      <c r="A167" s="194">
        <v>6</v>
      </c>
      <c r="B167" s="194" t="s">
        <v>436</v>
      </c>
      <c r="C167" s="194"/>
      <c r="D167" s="194"/>
      <c r="E167" s="194"/>
      <c r="F167" s="194"/>
      <c r="G167" s="194"/>
      <c r="H167" s="194"/>
      <c r="I167" s="194"/>
      <c r="J167" s="194"/>
      <c r="K167" s="194"/>
      <c r="L167" s="194"/>
      <c r="M167" s="194"/>
      <c r="N167" s="194"/>
      <c r="O167" s="194"/>
      <c r="P167" s="194"/>
      <c r="Q167" s="194"/>
      <c r="R167" s="194"/>
      <c r="S167" s="194"/>
      <c r="T167" s="194"/>
    </row>
    <row r="168" spans="1:20" x14ac:dyDescent="0.25">
      <c r="A168" s="194">
        <v>7</v>
      </c>
      <c r="B168" s="194" t="s">
        <v>437</v>
      </c>
      <c r="C168" s="194"/>
      <c r="D168" s="194"/>
      <c r="E168" s="194"/>
      <c r="F168" s="194"/>
      <c r="G168" s="194"/>
      <c r="H168" s="194"/>
      <c r="I168" s="194"/>
      <c r="J168" s="194"/>
      <c r="K168" s="194"/>
      <c r="L168" s="194"/>
      <c r="M168" s="194"/>
      <c r="N168" s="194"/>
      <c r="O168" s="194"/>
      <c r="P168" s="194"/>
      <c r="Q168" s="194"/>
      <c r="R168" s="194"/>
      <c r="S168" s="194"/>
    </row>
    <row r="169" spans="1:20" x14ac:dyDescent="0.25">
      <c r="A169" s="194">
        <v>8</v>
      </c>
      <c r="B169" s="194" t="s">
        <v>438</v>
      </c>
      <c r="C169" s="194"/>
      <c r="D169" s="194"/>
      <c r="E169" s="194"/>
      <c r="F169" s="194"/>
      <c r="G169" s="194"/>
      <c r="H169" s="194"/>
      <c r="I169" s="194"/>
      <c r="J169" s="194"/>
      <c r="K169" s="194"/>
      <c r="L169" s="194"/>
      <c r="M169" s="194"/>
      <c r="N169" s="194"/>
      <c r="O169" s="194"/>
      <c r="P169" s="194"/>
      <c r="Q169" s="194"/>
      <c r="R169" s="194"/>
      <c r="S169" s="194"/>
    </row>
    <row r="170" spans="1:20" x14ac:dyDescent="0.25">
      <c r="A170" s="194">
        <v>9</v>
      </c>
      <c r="B170" s="194" t="s">
        <v>439</v>
      </c>
      <c r="C170" s="194"/>
      <c r="D170" s="194"/>
      <c r="E170" s="194"/>
      <c r="F170" s="194"/>
      <c r="G170" s="194"/>
      <c r="H170" s="194"/>
      <c r="I170" s="194"/>
      <c r="J170" s="194"/>
      <c r="K170" s="194"/>
      <c r="L170" s="194"/>
      <c r="M170" s="194"/>
      <c r="N170" s="194"/>
      <c r="O170" s="194"/>
      <c r="P170" s="194"/>
      <c r="Q170" s="194"/>
      <c r="R170" s="194"/>
      <c r="S170" s="194"/>
    </row>
    <row r="171" spans="1:20" x14ac:dyDescent="0.25">
      <c r="A171" s="194">
        <v>10</v>
      </c>
      <c r="B171" s="194" t="s">
        <v>440</v>
      </c>
      <c r="C171" s="194"/>
      <c r="D171" s="194"/>
      <c r="E171" s="194"/>
      <c r="F171" s="194"/>
      <c r="G171" s="194"/>
      <c r="H171" s="194"/>
      <c r="I171" s="194"/>
      <c r="J171" s="194"/>
      <c r="K171" s="194"/>
      <c r="L171" s="194"/>
      <c r="M171" s="194"/>
      <c r="N171" s="194"/>
      <c r="O171" s="194"/>
      <c r="P171" s="194"/>
      <c r="Q171" s="194"/>
      <c r="R171" s="194"/>
      <c r="S171" s="194"/>
    </row>
    <row r="172" spans="1:20" x14ac:dyDescent="0.25">
      <c r="A172" s="194">
        <v>11</v>
      </c>
      <c r="B172" s="194" t="s">
        <v>441</v>
      </c>
      <c r="C172" s="194"/>
      <c r="D172" s="194"/>
      <c r="E172" s="194"/>
      <c r="F172" s="194"/>
      <c r="G172" s="194"/>
      <c r="H172" s="194"/>
      <c r="I172" s="194"/>
      <c r="J172" s="194"/>
      <c r="K172" s="194"/>
      <c r="L172" s="194"/>
      <c r="M172" s="194"/>
      <c r="N172" s="194"/>
      <c r="O172" s="194"/>
      <c r="P172" s="194"/>
      <c r="Q172" s="194"/>
      <c r="R172" s="194"/>
      <c r="S172" s="194"/>
    </row>
    <row r="173" spans="1:20" x14ac:dyDescent="0.25">
      <c r="A173" s="194">
        <v>12</v>
      </c>
      <c r="B173" s="194" t="s">
        <v>442</v>
      </c>
      <c r="C173" s="194"/>
      <c r="D173" s="194"/>
      <c r="E173" s="194"/>
      <c r="F173" s="194"/>
      <c r="G173" s="194"/>
      <c r="H173" s="194"/>
      <c r="I173" s="194"/>
      <c r="J173" s="194"/>
      <c r="K173" s="194"/>
      <c r="L173" s="194"/>
      <c r="M173" s="194"/>
      <c r="N173" s="194"/>
      <c r="O173" s="194"/>
      <c r="P173" s="194"/>
      <c r="Q173" s="194"/>
      <c r="R173" s="194"/>
      <c r="S173" s="194"/>
    </row>
    <row r="174" spans="1:20" x14ac:dyDescent="0.25">
      <c r="A174" s="194">
        <v>13</v>
      </c>
      <c r="B174" s="194" t="s">
        <v>443</v>
      </c>
      <c r="C174" s="194"/>
      <c r="D174" s="194"/>
      <c r="E174" s="194"/>
      <c r="F174" s="194"/>
      <c r="G174" s="194"/>
      <c r="H174" s="194"/>
      <c r="I174" s="194"/>
      <c r="J174" s="194"/>
      <c r="K174" s="194"/>
      <c r="L174" s="194"/>
      <c r="M174" s="194"/>
      <c r="N174" s="194"/>
      <c r="O174" s="194"/>
      <c r="P174" s="194"/>
      <c r="Q174" s="194"/>
      <c r="R174" s="194"/>
      <c r="S174" s="194"/>
    </row>
    <row r="175" spans="1:20" x14ac:dyDescent="0.25">
      <c r="A175" s="194">
        <v>14</v>
      </c>
      <c r="B175" s="194" t="s">
        <v>444</v>
      </c>
      <c r="C175" s="194"/>
      <c r="D175" s="194"/>
      <c r="E175" s="194"/>
      <c r="F175" s="194"/>
      <c r="G175" s="194"/>
      <c r="H175" s="194"/>
      <c r="I175" s="194"/>
      <c r="J175" s="194"/>
      <c r="K175" s="194"/>
      <c r="L175" s="194"/>
      <c r="M175" s="194"/>
      <c r="N175" s="194"/>
      <c r="O175" s="194"/>
      <c r="P175" s="194"/>
      <c r="Q175" s="194"/>
      <c r="R175" s="194"/>
      <c r="S175" s="194"/>
    </row>
    <row r="176" spans="1:20" x14ac:dyDescent="0.25">
      <c r="A176" s="194">
        <v>15</v>
      </c>
      <c r="B176" s="194" t="s">
        <v>445</v>
      </c>
      <c r="C176" s="194"/>
      <c r="D176" s="194"/>
      <c r="E176" s="194"/>
      <c r="F176" s="194"/>
      <c r="G176" s="194"/>
      <c r="H176" s="194"/>
      <c r="I176" s="194"/>
      <c r="J176" s="194"/>
      <c r="K176" s="194"/>
      <c r="L176" s="194"/>
      <c r="M176" s="194"/>
      <c r="N176" s="194"/>
      <c r="O176" s="194"/>
      <c r="P176" s="194"/>
      <c r="Q176" s="194"/>
      <c r="R176" s="194"/>
      <c r="S176" s="194"/>
    </row>
    <row r="177" spans="1:19" x14ac:dyDescent="0.25">
      <c r="A177" s="194">
        <v>16</v>
      </c>
      <c r="B177" s="194" t="s">
        <v>446</v>
      </c>
      <c r="C177" s="194"/>
      <c r="D177" s="194"/>
      <c r="E177" s="194"/>
      <c r="F177" s="194"/>
      <c r="G177" s="194"/>
      <c r="H177" s="194"/>
      <c r="I177" s="194"/>
      <c r="J177" s="194"/>
      <c r="K177" s="194"/>
      <c r="L177" s="194"/>
      <c r="M177" s="194"/>
      <c r="N177" s="194"/>
      <c r="O177" s="194"/>
      <c r="P177" s="194"/>
      <c r="Q177" s="194"/>
      <c r="R177" s="194"/>
      <c r="S177" s="194"/>
    </row>
    <row r="178" spans="1:19" x14ac:dyDescent="0.25">
      <c r="A178" s="194">
        <v>17</v>
      </c>
      <c r="B178" s="194" t="s">
        <v>447</v>
      </c>
      <c r="C178" s="194"/>
      <c r="D178" s="194"/>
      <c r="E178" s="194"/>
      <c r="F178" s="194"/>
      <c r="G178" s="194"/>
      <c r="H178" s="194"/>
      <c r="I178" s="194"/>
      <c r="J178" s="194"/>
      <c r="K178" s="194"/>
      <c r="L178" s="194"/>
      <c r="M178" s="194"/>
      <c r="N178" s="194"/>
      <c r="O178" s="194"/>
      <c r="P178" s="194"/>
      <c r="Q178" s="194"/>
      <c r="R178" s="194"/>
      <c r="S178" s="194"/>
    </row>
    <row r="179" spans="1:19" x14ac:dyDescent="0.25">
      <c r="A179" s="194">
        <v>18</v>
      </c>
      <c r="B179" s="194" t="s">
        <v>448</v>
      </c>
      <c r="C179" s="194"/>
      <c r="D179" s="194"/>
      <c r="E179" s="194"/>
      <c r="F179" s="5"/>
      <c r="G179" s="5"/>
      <c r="H179" s="5"/>
      <c r="I179" s="5"/>
      <c r="J179" s="5"/>
      <c r="K179" s="5"/>
      <c r="L179" s="5"/>
      <c r="M179" s="5"/>
      <c r="N179" s="5"/>
      <c r="O179" s="5"/>
      <c r="P179" s="5"/>
      <c r="Q179" s="5"/>
      <c r="R179" s="5"/>
      <c r="S179" s="5"/>
    </row>
    <row r="180" spans="1:19" x14ac:dyDescent="0.25">
      <c r="A180" s="194">
        <v>19</v>
      </c>
      <c r="B180" s="194" t="s">
        <v>296</v>
      </c>
      <c r="C180" s="194"/>
      <c r="D180" s="194"/>
      <c r="E180" s="194"/>
      <c r="F180" s="5"/>
      <c r="G180" s="5"/>
      <c r="H180" s="5"/>
      <c r="I180" s="5"/>
      <c r="J180" s="5"/>
      <c r="K180" s="5"/>
      <c r="L180" s="5"/>
      <c r="M180" s="5"/>
      <c r="N180" s="5"/>
      <c r="O180" s="5"/>
      <c r="P180" s="5"/>
      <c r="Q180" s="5"/>
      <c r="R180" s="5"/>
      <c r="S180" s="5"/>
    </row>
    <row r="182" spans="1:19" x14ac:dyDescent="0.25">
      <c r="A182" s="194" t="s">
        <v>449</v>
      </c>
      <c r="B182" s="194" t="s">
        <v>450</v>
      </c>
      <c r="C182" s="194" t="s">
        <v>451</v>
      </c>
      <c r="D182" s="194"/>
      <c r="E182" s="194"/>
      <c r="F182" s="5"/>
      <c r="G182" s="5"/>
      <c r="H182" s="5"/>
      <c r="I182" s="5"/>
      <c r="J182" s="5"/>
      <c r="K182" s="5"/>
      <c r="L182" s="5"/>
      <c r="M182" s="5"/>
      <c r="N182" s="5"/>
      <c r="O182" s="5"/>
      <c r="P182" s="5"/>
      <c r="Q182" s="5"/>
      <c r="R182" s="5"/>
      <c r="S182" s="5"/>
    </row>
    <row r="183" spans="1:19" x14ac:dyDescent="0.25">
      <c r="A183" s="194">
        <v>1</v>
      </c>
      <c r="B183" s="194" t="s">
        <v>452</v>
      </c>
      <c r="C183" s="751">
        <v>4.4999999999999998E-2</v>
      </c>
      <c r="D183" s="194"/>
      <c r="E183" s="47"/>
      <c r="F183" s="5"/>
      <c r="G183" s="5"/>
      <c r="H183" s="5"/>
      <c r="I183" s="5"/>
      <c r="J183" s="5"/>
      <c r="K183" s="5"/>
      <c r="L183" s="5"/>
      <c r="M183" s="5"/>
      <c r="N183" s="5"/>
      <c r="O183" s="5"/>
      <c r="P183" s="5"/>
      <c r="Q183" s="5"/>
      <c r="R183" s="5"/>
      <c r="S183" s="5"/>
    </row>
    <row r="184" spans="1:19" x14ac:dyDescent="0.25">
      <c r="A184" s="194">
        <v>2</v>
      </c>
      <c r="B184" s="194" t="s">
        <v>453</v>
      </c>
      <c r="C184" s="751">
        <v>4.4999999999999998E-2</v>
      </c>
      <c r="D184" s="194"/>
      <c r="E184" s="194"/>
      <c r="F184" s="5"/>
      <c r="G184" s="5"/>
      <c r="H184" s="5"/>
      <c r="I184" s="5"/>
      <c r="J184" s="5"/>
      <c r="K184" s="5"/>
      <c r="L184" s="5"/>
      <c r="M184" s="5"/>
      <c r="N184" s="5"/>
      <c r="O184" s="5"/>
      <c r="P184" s="5"/>
      <c r="Q184" s="5"/>
      <c r="R184" s="5"/>
      <c r="S184" s="5"/>
    </row>
    <row r="185" spans="1:19" x14ac:dyDescent="0.25">
      <c r="A185" s="194">
        <v>3</v>
      </c>
      <c r="B185" s="194" t="s">
        <v>454</v>
      </c>
      <c r="C185" s="751">
        <v>4.3999999999999997E-2</v>
      </c>
      <c r="D185" s="194"/>
      <c r="E185" s="194"/>
      <c r="F185" s="5"/>
      <c r="G185" s="5"/>
      <c r="H185" s="5"/>
      <c r="I185" s="5"/>
      <c r="J185" s="5"/>
      <c r="K185" s="5"/>
      <c r="L185" s="5"/>
      <c r="M185" s="5"/>
      <c r="N185" s="5"/>
      <c r="O185" s="5"/>
      <c r="P185" s="5"/>
      <c r="Q185" s="5"/>
      <c r="R185" s="5"/>
      <c r="S185" s="5"/>
    </row>
    <row r="186" spans="1:19" x14ac:dyDescent="0.25">
      <c r="A186" s="194">
        <v>4</v>
      </c>
      <c r="B186" s="194" t="s">
        <v>455</v>
      </c>
      <c r="C186" s="751">
        <v>4.3999999999999997E-2</v>
      </c>
      <c r="D186" s="194"/>
      <c r="E186" s="194"/>
      <c r="F186" s="5"/>
      <c r="G186" s="5"/>
      <c r="H186" s="5"/>
      <c r="I186" s="5"/>
      <c r="J186" s="5"/>
      <c r="K186" s="5"/>
      <c r="L186" s="5"/>
      <c r="M186" s="5"/>
      <c r="N186" s="5"/>
      <c r="O186" s="5"/>
      <c r="P186" s="5"/>
      <c r="Q186" s="5"/>
      <c r="R186" s="5"/>
      <c r="S186" s="5"/>
    </row>
    <row r="187" spans="1:19" x14ac:dyDescent="0.25">
      <c r="A187" s="194">
        <v>5</v>
      </c>
      <c r="B187" s="194" t="s">
        <v>456</v>
      </c>
      <c r="C187" s="751">
        <v>4.3999999999999997E-2</v>
      </c>
      <c r="D187" s="194"/>
      <c r="E187" s="194"/>
      <c r="F187" s="5"/>
      <c r="G187" s="5"/>
      <c r="H187" s="5"/>
      <c r="I187" s="5"/>
      <c r="J187" s="5"/>
      <c r="K187" s="5"/>
      <c r="L187" s="5"/>
      <c r="M187" s="5"/>
      <c r="N187" s="5"/>
      <c r="O187" s="5"/>
      <c r="P187" s="5"/>
      <c r="Q187" s="5"/>
      <c r="R187" s="5"/>
      <c r="S187" s="5"/>
    </row>
    <row r="188" spans="1:19" x14ac:dyDescent="0.25">
      <c r="A188" s="194">
        <v>6</v>
      </c>
      <c r="B188" s="194" t="s">
        <v>457</v>
      </c>
      <c r="C188" s="751">
        <v>4.8000000000000001E-2</v>
      </c>
      <c r="D188" s="194"/>
      <c r="E188" s="194"/>
      <c r="F188" s="5"/>
      <c r="G188" s="5"/>
      <c r="H188" s="5"/>
      <c r="I188" s="5"/>
      <c r="J188" s="5"/>
      <c r="K188" s="5"/>
      <c r="L188" s="5"/>
      <c r="M188" s="5"/>
      <c r="N188" s="5"/>
      <c r="O188" s="5"/>
      <c r="P188" s="5"/>
      <c r="Q188" s="5"/>
      <c r="R188" s="5"/>
      <c r="S188" s="5"/>
    </row>
    <row r="189" spans="1:19" x14ac:dyDescent="0.25">
      <c r="A189" s="194">
        <v>7</v>
      </c>
      <c r="B189" s="194" t="s">
        <v>296</v>
      </c>
      <c r="C189" s="194"/>
      <c r="D189" s="194"/>
      <c r="E189" s="194"/>
      <c r="F189" s="5"/>
      <c r="G189" s="5"/>
      <c r="H189" s="5"/>
      <c r="I189" s="5"/>
      <c r="J189" s="5"/>
      <c r="K189" s="5"/>
      <c r="L189" s="5"/>
      <c r="M189" s="5"/>
      <c r="N189" s="5"/>
      <c r="O189" s="5"/>
      <c r="P189" s="5"/>
      <c r="Q189" s="5"/>
      <c r="R189" s="5"/>
      <c r="S189" s="5"/>
    </row>
  </sheetData>
  <sheetProtection algorithmName="SHA-512" hashValue="pnpghyKXbzwl09iCYctHad9a/XVYf7wCqPKVeFETzZ89UzWoi+TyawejX9K+Qb12Xfg+guwpaB7dFDzMKi9PvQ==" saltValue="BQVEgSPCpB9PMJtK60Ql6A==" spinCount="100000" sheet="1" objects="1" scenarios="1"/>
  <phoneticPr fontId="18" type="noConversion"/>
  <printOptions gridLines="1"/>
  <pageMargins left="0.25" right="0.25" top="0.5" bottom="0.5" header="0.5" footer="0.25"/>
  <pageSetup fitToHeight="0" orientation="portrait" r:id="rId1"/>
  <headerFooter alignWithMargins="0">
    <oddFooter>&amp;L&amp;F, &amp;A&amp;R&amp;D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L32"/>
  <sheetViews>
    <sheetView workbookViewId="0">
      <selection activeCell="M5" sqref="M5"/>
    </sheetView>
  </sheetViews>
  <sheetFormatPr defaultColWidth="8.81640625" defaultRowHeight="12.5" x14ac:dyDescent="0.25"/>
  <cols>
    <col min="1" max="1" width="6.81640625" style="194" customWidth="1"/>
    <col min="2" max="2" width="19.453125" style="194" customWidth="1"/>
    <col min="3" max="3" width="8.453125" style="194" customWidth="1"/>
    <col min="4" max="4" width="8" style="194" customWidth="1"/>
    <col min="5" max="6" width="9.54296875" style="194" customWidth="1"/>
    <col min="7" max="7" width="8" style="194" customWidth="1"/>
    <col min="8" max="8" width="10" style="194" customWidth="1"/>
    <col min="9" max="9" width="7" style="194" customWidth="1"/>
    <col min="10" max="17" width="8.81640625" style="194" customWidth="1"/>
    <col min="18" max="16384" width="8.81640625" style="194"/>
  </cols>
  <sheetData>
    <row r="1" spans="1:12" ht="13" x14ac:dyDescent="0.3">
      <c r="A1" s="1" t="s">
        <v>458</v>
      </c>
    </row>
    <row r="3" spans="1:12" ht="13" x14ac:dyDescent="0.3">
      <c r="A3" s="1" t="s">
        <v>459</v>
      </c>
      <c r="B3" s="1"/>
      <c r="C3" s="1"/>
      <c r="D3" s="1"/>
      <c r="E3" s="1"/>
      <c r="F3" s="1"/>
      <c r="G3" s="1"/>
      <c r="H3" s="1"/>
      <c r="I3" s="1"/>
      <c r="J3" s="1"/>
      <c r="K3" s="1"/>
      <c r="L3" s="1"/>
    </row>
    <row r="4" spans="1:12" ht="13" x14ac:dyDescent="0.3">
      <c r="A4" s="1">
        <f>stminput1</f>
        <v>0</v>
      </c>
      <c r="B4" s="244" t="e">
        <f>LOOKUP($A4,$A7:$A23,B7:B23)</f>
        <v>#N/A</v>
      </c>
      <c r="C4" s="244" t="e">
        <f>LOOKUP($A4,$A7:$A23,C7:C23)</f>
        <v>#N/A</v>
      </c>
      <c r="D4" s="1" t="e">
        <f t="shared" ref="D4:K4" si="0">LOOKUP($A4,$A7:$A23,D7:D23)</f>
        <v>#N/A</v>
      </c>
      <c r="E4" s="245" t="e">
        <f t="shared" si="0"/>
        <v>#N/A</v>
      </c>
      <c r="F4" s="1" t="e">
        <f t="shared" si="0"/>
        <v>#N/A</v>
      </c>
      <c r="G4" s="46" t="e">
        <f t="shared" si="0"/>
        <v>#N/A</v>
      </c>
      <c r="H4" s="246"/>
      <c r="I4" s="1" t="e">
        <f t="shared" si="0"/>
        <v>#N/A</v>
      </c>
      <c r="J4" s="247" t="e">
        <f t="shared" si="0"/>
        <v>#N/A</v>
      </c>
      <c r="K4" s="247" t="e">
        <f t="shared" si="0"/>
        <v>#N/A</v>
      </c>
      <c r="L4" s="1"/>
    </row>
    <row r="6" spans="1:12" s="248" customFormat="1" ht="38" x14ac:dyDescent="0.3">
      <c r="B6" s="249" t="s">
        <v>460</v>
      </c>
      <c r="C6" s="248" t="s">
        <v>461</v>
      </c>
      <c r="D6" s="248" t="s">
        <v>462</v>
      </c>
      <c r="E6" s="248" t="s">
        <v>463</v>
      </c>
      <c r="F6" s="248" t="s">
        <v>464</v>
      </c>
      <c r="G6" s="250" t="s">
        <v>465</v>
      </c>
      <c r="I6" s="248" t="s">
        <v>466</v>
      </c>
      <c r="J6" s="250" t="s">
        <v>467</v>
      </c>
      <c r="K6" s="250" t="s">
        <v>468</v>
      </c>
    </row>
    <row r="7" spans="1:12" x14ac:dyDescent="0.25">
      <c r="A7" s="194">
        <v>1</v>
      </c>
      <c r="B7" s="194" t="s">
        <v>469</v>
      </c>
      <c r="C7" s="251">
        <v>0.8</v>
      </c>
      <c r="D7" s="194">
        <v>0.1</v>
      </c>
      <c r="E7" s="252">
        <f>ngsulfur</f>
        <v>7.0967437470559683E-7</v>
      </c>
      <c r="F7" s="253">
        <f t="shared" ref="F7:F14" si="1">E7*2*2000/I7</f>
        <v>5.8513618677087924E-4</v>
      </c>
      <c r="G7" s="254">
        <f>co2gas</f>
        <v>116.9</v>
      </c>
      <c r="H7" s="255"/>
      <c r="I7" s="194">
        <f>2000*ngbtu/(ngdensity*1000000)</f>
        <v>4.8513449740443608</v>
      </c>
      <c r="J7" s="194">
        <v>2.2040000000000002E-3</v>
      </c>
      <c r="K7" s="194">
        <v>2.2040000000000002E-4</v>
      </c>
    </row>
    <row r="8" spans="1:12" x14ac:dyDescent="0.25">
      <c r="A8" s="194">
        <v>2</v>
      </c>
      <c r="B8" s="194" t="s">
        <v>470</v>
      </c>
      <c r="C8" s="251">
        <v>0.8</v>
      </c>
      <c r="D8" s="194">
        <v>0.15</v>
      </c>
      <c r="E8" s="252">
        <v>4.8700000000000002E-4</v>
      </c>
      <c r="F8" s="256">
        <f t="shared" si="1"/>
        <v>5.1086266390614227E-2</v>
      </c>
      <c r="G8" s="254">
        <f>co2oil</f>
        <v>163.1</v>
      </c>
      <c r="H8" s="255"/>
      <c r="I8" s="194">
        <f>Factors!$A$16*42*2000/(Factors!$A$17*1000000)</f>
        <v>38.131578947368418</v>
      </c>
      <c r="J8" s="194">
        <v>6.6120000000000007E-3</v>
      </c>
      <c r="K8" s="194">
        <v>1.3224000000000001E-3</v>
      </c>
    </row>
    <row r="9" spans="1:12" x14ac:dyDescent="0.25">
      <c r="A9" s="194">
        <v>3</v>
      </c>
      <c r="B9" s="194" t="s">
        <v>471</v>
      </c>
      <c r="C9" s="251">
        <v>0.83</v>
      </c>
      <c r="D9" s="194">
        <v>0.2</v>
      </c>
      <c r="E9" s="252">
        <v>1.4610000000000001E-3</v>
      </c>
      <c r="F9" s="256">
        <f t="shared" si="1"/>
        <v>0.15352095238095237</v>
      </c>
      <c r="G9" s="254">
        <f>co2oil</f>
        <v>163.1</v>
      </c>
      <c r="H9" s="255"/>
      <c r="I9" s="194">
        <f>Factors!$A$19*42*2000/(Factors!$A$20*1000000)</f>
        <v>38.066465256797585</v>
      </c>
      <c r="J9" s="194">
        <v>6.6120000000000007E-3</v>
      </c>
      <c r="K9" s="194">
        <v>1.3224000000000001E-3</v>
      </c>
    </row>
    <row r="10" spans="1:12" x14ac:dyDescent="0.25">
      <c r="A10" s="194">
        <v>4</v>
      </c>
      <c r="B10" s="194" t="s">
        <v>472</v>
      </c>
      <c r="C10" s="251">
        <v>0.85</v>
      </c>
      <c r="D10" s="194">
        <v>0.4</v>
      </c>
      <c r="E10" s="252">
        <v>0.01</v>
      </c>
      <c r="F10" s="256">
        <f t="shared" si="1"/>
        <v>1.9034023316678563</v>
      </c>
      <c r="G10" s="254">
        <f>co2coal</f>
        <v>207.1</v>
      </c>
      <c r="H10" s="255"/>
      <c r="I10" s="194">
        <f>Factors!$A$55</f>
        <v>21.015000000000001</v>
      </c>
      <c r="J10" s="194">
        <v>2.4244000000000002E-2</v>
      </c>
      <c r="K10" s="194">
        <v>3.5264000000000003E-3</v>
      </c>
    </row>
    <row r="11" spans="1:12" x14ac:dyDescent="0.25">
      <c r="A11" s="194">
        <v>5</v>
      </c>
      <c r="B11" s="194" t="s">
        <v>473</v>
      </c>
      <c r="C11" s="251">
        <v>0.8</v>
      </c>
      <c r="D11" s="194">
        <v>0.05</v>
      </c>
      <c r="E11" s="252">
        <f>ngsulfur</f>
        <v>7.0967437470559683E-7</v>
      </c>
      <c r="F11" s="253">
        <f t="shared" si="1"/>
        <v>5.8513618677087924E-4</v>
      </c>
      <c r="G11" s="254">
        <f>co2gas</f>
        <v>116.9</v>
      </c>
      <c r="H11" s="255"/>
      <c r="I11" s="194">
        <f>2000*ngbtu/(ngdensity*1000000)</f>
        <v>4.8513449740443608</v>
      </c>
      <c r="J11" s="194">
        <v>2.2040000000000002E-3</v>
      </c>
      <c r="K11" s="194">
        <v>2.2040000000000002E-4</v>
      </c>
    </row>
    <row r="12" spans="1:12" x14ac:dyDescent="0.25">
      <c r="A12" s="194">
        <v>6</v>
      </c>
      <c r="B12" s="194" t="s">
        <v>474</v>
      </c>
      <c r="C12" s="251">
        <v>0.8</v>
      </c>
      <c r="D12" s="194">
        <v>0.05</v>
      </c>
      <c r="E12" s="252">
        <v>4.8700000000000002E-4</v>
      </c>
      <c r="F12" s="256">
        <f t="shared" si="1"/>
        <v>5.1086266390614227E-2</v>
      </c>
      <c r="G12" s="254">
        <f>co2oil</f>
        <v>163.1</v>
      </c>
      <c r="H12" s="255"/>
      <c r="I12" s="194">
        <f>Factors!$A$16*42*2000/(Factors!$A$17*1000000)</f>
        <v>38.131578947368418</v>
      </c>
      <c r="J12" s="194">
        <v>6.6120000000000007E-3</v>
      </c>
      <c r="K12" s="194">
        <v>1.3224000000000001E-3</v>
      </c>
    </row>
    <row r="13" spans="1:12" x14ac:dyDescent="0.25">
      <c r="A13" s="194">
        <v>7</v>
      </c>
      <c r="B13" s="194" t="s">
        <v>475</v>
      </c>
      <c r="C13" s="251">
        <v>0.83</v>
      </c>
      <c r="D13" s="194">
        <v>0.1</v>
      </c>
      <c r="E13" s="252">
        <v>9.7400000000000004E-4</v>
      </c>
      <c r="F13" s="256">
        <f t="shared" si="1"/>
        <v>0.1023473015873016</v>
      </c>
      <c r="G13" s="254">
        <f>co2oil</f>
        <v>163.1</v>
      </c>
      <c r="H13" s="255"/>
      <c r="I13" s="194">
        <f>Factors!$A$19*42*2000/(Factors!$A$20*1000000)</f>
        <v>38.066465256797585</v>
      </c>
      <c r="J13" s="194">
        <v>6.6120000000000007E-3</v>
      </c>
      <c r="K13" s="194">
        <v>1.3224000000000001E-3</v>
      </c>
    </row>
    <row r="14" spans="1:12" x14ac:dyDescent="0.25">
      <c r="A14" s="194">
        <v>8</v>
      </c>
      <c r="B14" s="194" t="s">
        <v>476</v>
      </c>
      <c r="C14" s="251">
        <v>0.85</v>
      </c>
      <c r="D14" s="194">
        <v>0.1</v>
      </c>
      <c r="E14" s="252">
        <v>0.01</v>
      </c>
      <c r="F14" s="256">
        <f t="shared" si="1"/>
        <v>1.9034023316678563</v>
      </c>
      <c r="G14" s="254">
        <f>co2coal</f>
        <v>207.1</v>
      </c>
      <c r="H14" s="255"/>
      <c r="I14" s="194">
        <f>Factors!$A$55</f>
        <v>21.015000000000001</v>
      </c>
      <c r="J14" s="194">
        <v>2.4244000000000002E-2</v>
      </c>
      <c r="K14" s="194">
        <v>3.5264000000000003E-3</v>
      </c>
    </row>
    <row r="15" spans="1:12" x14ac:dyDescent="0.25">
      <c r="A15" s="194">
        <v>9</v>
      </c>
      <c r="B15" s="194" t="s">
        <v>340</v>
      </c>
      <c r="C15" s="251">
        <v>1.2</v>
      </c>
      <c r="D15" s="194">
        <v>0</v>
      </c>
      <c r="E15" s="252">
        <v>0</v>
      </c>
      <c r="F15" s="256">
        <v>0</v>
      </c>
      <c r="G15" s="254">
        <v>0</v>
      </c>
      <c r="H15" s="255"/>
      <c r="I15" s="194">
        <v>0</v>
      </c>
      <c r="J15" s="194">
        <v>0</v>
      </c>
      <c r="K15" s="194">
        <v>0</v>
      </c>
    </row>
    <row r="16" spans="1:12" x14ac:dyDescent="0.25">
      <c r="A16" s="194">
        <v>10</v>
      </c>
      <c r="B16" s="194" t="s">
        <v>477</v>
      </c>
      <c r="C16" s="251">
        <v>0.8</v>
      </c>
      <c r="D16" s="194">
        <v>0.1</v>
      </c>
      <c r="E16" s="252">
        <f>ngsulfur</f>
        <v>7.0967437470559683E-7</v>
      </c>
      <c r="F16" s="253">
        <v>5.8400000000045037E-4</v>
      </c>
      <c r="G16" s="254">
        <f>co2propane</f>
        <v>139</v>
      </c>
      <c r="H16" s="255"/>
      <c r="I16" s="194">
        <f>(Factors!A45/propDensity*2000)/1000000</f>
        <v>43.61904761904762</v>
      </c>
      <c r="J16" s="194">
        <v>2.2040000000000002E-3</v>
      </c>
      <c r="K16" s="194">
        <v>2.2040000000000002E-4</v>
      </c>
    </row>
    <row r="17" spans="1:11" x14ac:dyDescent="0.25">
      <c r="A17" s="194">
        <v>11</v>
      </c>
      <c r="B17" s="194" t="s">
        <v>478</v>
      </c>
      <c r="C17" s="251">
        <v>0.8</v>
      </c>
      <c r="D17" s="194">
        <v>0.1</v>
      </c>
      <c r="E17" s="252">
        <f>ngsulfur</f>
        <v>7.0967437470559683E-7</v>
      </c>
      <c r="F17" s="253">
        <v>5.8400000000045037E-4</v>
      </c>
      <c r="G17" s="254">
        <f>co2propane</f>
        <v>139</v>
      </c>
      <c r="H17" s="255"/>
      <c r="I17" s="194">
        <f>(Factors!A45/propDensity*2000)/1000000</f>
        <v>43.61904761904762</v>
      </c>
      <c r="J17" s="194">
        <v>2.2040000000000002E-3</v>
      </c>
      <c r="K17" s="194">
        <v>2.2040000000000002E-4</v>
      </c>
    </row>
    <row r="18" spans="1:11" x14ac:dyDescent="0.25">
      <c r="A18" s="194">
        <v>12</v>
      </c>
      <c r="B18" s="194" t="s">
        <v>285</v>
      </c>
      <c r="C18" s="251">
        <v>0.8</v>
      </c>
      <c r="D18" s="194">
        <f>stmnoxinput</f>
        <v>0</v>
      </c>
      <c r="E18" s="252">
        <f>stmsulfurinput1</f>
        <v>0</v>
      </c>
      <c r="F18" s="256">
        <v>0</v>
      </c>
      <c r="G18" s="254">
        <v>160</v>
      </c>
      <c r="H18" s="255"/>
      <c r="I18" s="194">
        <f>Factors!$A$19*42*2000/(Factors!$A$20*1000000)</f>
        <v>38.066465256797585</v>
      </c>
      <c r="J18" s="194">
        <v>6.6120000000000007E-3</v>
      </c>
      <c r="K18" s="194">
        <v>1.3224000000000001E-3</v>
      </c>
    </row>
    <row r="19" spans="1:11" x14ac:dyDescent="0.25">
      <c r="F19" s="253"/>
    </row>
    <row r="22" spans="1:11" x14ac:dyDescent="0.25">
      <c r="A22" s="194" t="s">
        <v>479</v>
      </c>
    </row>
    <row r="23" spans="1:11" x14ac:dyDescent="0.25">
      <c r="A23" s="194">
        <f>chpfuelinput</f>
        <v>0</v>
      </c>
      <c r="B23" s="194" t="e">
        <f t="shared" ref="B23:I23" si="2">LOOKUP($A23,$A26:$A32,B26:B32)</f>
        <v>#N/A</v>
      </c>
      <c r="C23" s="257" t="e">
        <f t="shared" si="2"/>
        <v>#N/A</v>
      </c>
      <c r="D23" s="258" t="e">
        <f t="shared" si="2"/>
        <v>#N/A</v>
      </c>
      <c r="E23" s="259" t="e">
        <f t="shared" si="2"/>
        <v>#N/A</v>
      </c>
      <c r="F23" s="260" t="e">
        <f t="shared" si="2"/>
        <v>#N/A</v>
      </c>
      <c r="G23" s="261" t="e">
        <f t="shared" si="2"/>
        <v>#N/A</v>
      </c>
      <c r="H23" s="262" t="e">
        <f t="shared" si="2"/>
        <v>#N/A</v>
      </c>
      <c r="I23" s="262" t="e">
        <f t="shared" si="2"/>
        <v>#N/A</v>
      </c>
    </row>
    <row r="25" spans="1:11" ht="37.5" x14ac:dyDescent="0.25">
      <c r="C25" s="248" t="s">
        <v>461</v>
      </c>
      <c r="D25" s="248" t="s">
        <v>462</v>
      </c>
      <c r="E25" s="248" t="s">
        <v>480</v>
      </c>
      <c r="F25" s="248" t="s">
        <v>464</v>
      </c>
      <c r="G25" s="248" t="s">
        <v>465</v>
      </c>
      <c r="H25" s="250" t="s">
        <v>467</v>
      </c>
      <c r="I25" s="250" t="s">
        <v>468</v>
      </c>
    </row>
    <row r="26" spans="1:11" x14ac:dyDescent="0.25">
      <c r="A26" s="194">
        <v>1</v>
      </c>
      <c r="B26" s="194" t="s">
        <v>401</v>
      </c>
      <c r="C26" s="257">
        <v>0.8</v>
      </c>
      <c r="D26" s="194">
        <v>0.1</v>
      </c>
      <c r="E26" s="259">
        <v>9.9999999999999995E-7</v>
      </c>
      <c r="F26" s="194">
        <v>5.8399999999999999E-4</v>
      </c>
      <c r="G26" s="194">
        <f>co2gas</f>
        <v>116.9</v>
      </c>
      <c r="H26" s="194">
        <f>ch4gas</f>
        <v>2.2040000000000002E-3</v>
      </c>
      <c r="I26" s="194">
        <f>n2ogas</f>
        <v>2.2040000000000002E-4</v>
      </c>
    </row>
    <row r="27" spans="1:11" x14ac:dyDescent="0.25">
      <c r="A27" s="194">
        <v>2</v>
      </c>
      <c r="B27" s="194" t="s">
        <v>402</v>
      </c>
      <c r="C27" s="257">
        <v>0.8</v>
      </c>
      <c r="D27" s="194">
        <v>0.15</v>
      </c>
      <c r="E27" s="259">
        <v>4.8700000000000002E-4</v>
      </c>
      <c r="F27" s="194">
        <v>0.05</v>
      </c>
      <c r="G27" s="194">
        <f>co2oil</f>
        <v>163.1</v>
      </c>
      <c r="H27" s="194">
        <f>ch4oil</f>
        <v>6.6120000000000007E-3</v>
      </c>
      <c r="I27" s="194">
        <f>n2ooil</f>
        <v>1.3224000000000001E-3</v>
      </c>
    </row>
    <row r="28" spans="1:11" x14ac:dyDescent="0.25">
      <c r="A28" s="194">
        <v>3</v>
      </c>
      <c r="B28" s="194" t="s">
        <v>403</v>
      </c>
      <c r="C28" s="257">
        <v>0.8</v>
      </c>
      <c r="D28" s="194">
        <v>0.15</v>
      </c>
      <c r="E28" s="259">
        <v>4.8700000000000002E-4</v>
      </c>
      <c r="F28" s="194">
        <v>0.05</v>
      </c>
      <c r="G28" s="194">
        <f>co2oil</f>
        <v>163.1</v>
      </c>
      <c r="H28" s="194">
        <f>ch4oil</f>
        <v>6.6120000000000007E-3</v>
      </c>
      <c r="I28" s="194">
        <f>n2ooil</f>
        <v>1.3224000000000001E-3</v>
      </c>
    </row>
    <row r="29" spans="1:11" x14ac:dyDescent="0.25">
      <c r="A29" s="194">
        <v>4</v>
      </c>
      <c r="B29" s="194" t="s">
        <v>259</v>
      </c>
      <c r="C29" s="257">
        <v>0.85</v>
      </c>
      <c r="D29" s="194">
        <v>0.1</v>
      </c>
      <c r="E29" s="259">
        <v>0.01</v>
      </c>
      <c r="F29" s="194">
        <v>1.9</v>
      </c>
      <c r="G29" s="194">
        <f>co2coal</f>
        <v>207.1</v>
      </c>
      <c r="H29" s="194">
        <f>ch4coal</f>
        <v>2.4244000000000002E-2</v>
      </c>
      <c r="I29" s="194">
        <f>n2ocoal</f>
        <v>3.5264000000000003E-3</v>
      </c>
    </row>
    <row r="30" spans="1:11" x14ac:dyDescent="0.25">
      <c r="A30" s="194">
        <v>5</v>
      </c>
      <c r="B30" s="194" t="s">
        <v>404</v>
      </c>
      <c r="C30" s="257">
        <v>0.8</v>
      </c>
      <c r="D30" s="194">
        <v>0.1</v>
      </c>
      <c r="E30" s="259">
        <v>9.9999999999999995E-7</v>
      </c>
      <c r="F30" s="194">
        <v>5.8399999999999999E-4</v>
      </c>
      <c r="G30" s="194">
        <f>co2gas</f>
        <v>116.9</v>
      </c>
      <c r="H30" s="194">
        <f>ch4gas</f>
        <v>2.2040000000000002E-3</v>
      </c>
      <c r="I30" s="194">
        <f>n2ogas</f>
        <v>2.2040000000000002E-4</v>
      </c>
    </row>
    <row r="31" spans="1:11" x14ac:dyDescent="0.25">
      <c r="A31" s="194">
        <v>6</v>
      </c>
      <c r="B31" s="194" t="s">
        <v>405</v>
      </c>
      <c r="C31" s="257">
        <v>0.83</v>
      </c>
      <c r="D31" s="194">
        <v>0.16500000000000001</v>
      </c>
      <c r="E31" s="259">
        <v>1.0000000000000001E-5</v>
      </c>
      <c r="F31" s="194">
        <v>8.2500000000000004E-3</v>
      </c>
      <c r="G31" s="194">
        <f>co2wood</f>
        <v>206.7</v>
      </c>
      <c r="H31" s="194">
        <f>CH4wood</f>
        <v>7.0000000000000007E-2</v>
      </c>
      <c r="I31" s="194">
        <f>N2Owood</f>
        <v>8.9999999999999993E-3</v>
      </c>
    </row>
    <row r="32" spans="1:11" x14ac:dyDescent="0.25">
      <c r="A32" s="194">
        <v>7</v>
      </c>
      <c r="B32" s="194" t="s">
        <v>285</v>
      </c>
      <c r="C32" s="257">
        <v>0.8</v>
      </c>
      <c r="D32" s="194">
        <v>0.1</v>
      </c>
      <c r="E32" s="259">
        <v>9.9999999999999995E-7</v>
      </c>
      <c r="F32" s="194">
        <v>0</v>
      </c>
      <c r="G32" s="194">
        <f>co2input</f>
        <v>0</v>
      </c>
      <c r="H32" s="194">
        <v>0</v>
      </c>
      <c r="I32" s="194">
        <v>0</v>
      </c>
    </row>
  </sheetData>
  <phoneticPr fontId="18" type="noConversion"/>
  <printOptions gridLines="1"/>
  <pageMargins left="0.75" right="0.75" top="1" bottom="1" header="0.5" footer="0.5"/>
  <pageSetup orientation="portrait" r:id="rId1"/>
  <headerFooter alignWithMargins="0"/>
  <ignoredErrors>
    <ignoredError sqref="B4:K32" evalError="1"/>
  </ignoredError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
  <dimension ref="A1:AS231"/>
  <sheetViews>
    <sheetView workbookViewId="0"/>
  </sheetViews>
  <sheetFormatPr defaultColWidth="9.1796875" defaultRowHeight="12.5" x14ac:dyDescent="0.25"/>
  <cols>
    <col min="1" max="1" width="14.453125" style="3" customWidth="1"/>
    <col min="2" max="2" width="12.54296875" style="3" customWidth="1"/>
    <col min="3" max="3" width="12.453125" style="3" customWidth="1"/>
    <col min="4" max="7" width="10.54296875" style="3" customWidth="1"/>
    <col min="8" max="8" width="11.453125" style="3" customWidth="1"/>
    <col min="9" max="9" width="11.81640625" style="3" customWidth="1"/>
    <col min="10" max="10" width="11.453125" style="3" customWidth="1"/>
    <col min="11" max="11" width="11.1796875" style="3" customWidth="1"/>
    <col min="12" max="14" width="11" style="3" customWidth="1"/>
    <col min="15" max="16" width="10.453125" style="3" customWidth="1"/>
    <col min="17" max="17" width="9.453125" style="3" customWidth="1"/>
    <col min="18" max="19" width="10.453125" style="3" customWidth="1"/>
    <col min="20" max="23" width="9.453125" style="3" customWidth="1"/>
    <col min="24" max="24" width="10.453125" style="3" customWidth="1"/>
    <col min="25" max="27" width="9.453125" style="3" customWidth="1"/>
    <col min="28" max="28" width="10.453125" style="3" customWidth="1"/>
    <col min="29" max="33" width="9.453125" style="3" customWidth="1"/>
    <col min="34" max="45" width="9.1796875" style="3"/>
    <col min="46" max="16384" width="9.1796875" style="5"/>
  </cols>
  <sheetData>
    <row r="1" spans="1:45" ht="13" x14ac:dyDescent="0.3">
      <c r="A1" s="1" t="s">
        <v>481</v>
      </c>
      <c r="B1" s="1"/>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row>
    <row r="2" spans="1:45" ht="13.5" thickBot="1" x14ac:dyDescent="0.35">
      <c r="A2" s="1"/>
      <c r="B2" s="1"/>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row>
    <row r="3" spans="1:45" ht="13" x14ac:dyDescent="0.3">
      <c r="A3" s="1"/>
      <c r="B3" s="116" t="s">
        <v>482</v>
      </c>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row>
    <row r="4" spans="1:45" ht="13.5" thickBot="1" x14ac:dyDescent="0.35">
      <c r="A4" s="1"/>
      <c r="B4" s="265" t="s">
        <v>483</v>
      </c>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row>
    <row r="5" spans="1:45" x14ac:dyDescent="0.25">
      <c r="A5" s="194"/>
      <c r="B5" s="752">
        <f>chptechinput</f>
        <v>0</v>
      </c>
      <c r="C5" s="194">
        <v>1</v>
      </c>
      <c r="D5" s="194">
        <v>2</v>
      </c>
      <c r="E5" s="194">
        <v>3</v>
      </c>
      <c r="F5" s="194">
        <v>4</v>
      </c>
      <c r="G5" s="194">
        <v>5</v>
      </c>
      <c r="H5" s="194">
        <v>6</v>
      </c>
      <c r="I5" s="194">
        <v>7</v>
      </c>
      <c r="J5" s="194">
        <v>8</v>
      </c>
      <c r="K5" s="194">
        <v>9</v>
      </c>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row>
    <row r="6" spans="1:45" s="48" customFormat="1" x14ac:dyDescent="0.25">
      <c r="A6" s="250"/>
      <c r="B6" s="753" t="e">
        <f t="shared" ref="B6:B11" si="0">LOOKUP(B$5,C$5:W$5,C6:W6)</f>
        <v>#N/A</v>
      </c>
      <c r="C6" s="194" t="str">
        <f>B30</f>
        <v>Recip Rich Burn</v>
      </c>
      <c r="D6" s="194" t="str">
        <f>B54</f>
        <v>Recip Lean Burn</v>
      </c>
      <c r="E6" s="194" t="str">
        <f>B78</f>
        <v>Recip Diesel</v>
      </c>
      <c r="F6" s="194" t="str">
        <f>B102</f>
        <v>Microturbine</v>
      </c>
      <c r="G6" s="194" t="str">
        <f>B126</f>
        <v>Combustion Turbine</v>
      </c>
      <c r="H6" s="194" t="str">
        <f t="shared" ref="H6:H11" si="1">B150</f>
        <v>Boiler / Steam Turbine</v>
      </c>
      <c r="I6" s="194" t="str">
        <f t="shared" ref="I6:I11" si="2">B174</f>
        <v>Fuel Cell</v>
      </c>
      <c r="J6" s="194" t="str">
        <f t="shared" ref="J6:J11" si="3">B198</f>
        <v>Other</v>
      </c>
      <c r="K6" s="750" t="s">
        <v>287</v>
      </c>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0"/>
      <c r="AL6" s="250"/>
      <c r="AM6" s="250"/>
      <c r="AN6" s="250"/>
      <c r="AO6" s="250"/>
      <c r="AP6" s="250"/>
      <c r="AQ6" s="250"/>
      <c r="AR6" s="250"/>
      <c r="AS6" s="250"/>
    </row>
    <row r="7" spans="1:45" s="49" customFormat="1" x14ac:dyDescent="0.25">
      <c r="A7" s="754" t="s">
        <v>484</v>
      </c>
      <c r="B7" s="755" t="e">
        <f t="shared" si="0"/>
        <v>#N/A</v>
      </c>
      <c r="C7" s="194">
        <f>B31</f>
        <v>0</v>
      </c>
      <c r="D7" s="194">
        <f>B55</f>
        <v>0</v>
      </c>
      <c r="E7" s="194">
        <f>B79</f>
        <v>0</v>
      </c>
      <c r="F7" s="194">
        <f>B103</f>
        <v>0</v>
      </c>
      <c r="G7" s="194">
        <f>B127</f>
        <v>0</v>
      </c>
      <c r="H7" s="756">
        <f t="shared" si="1"/>
        <v>0</v>
      </c>
      <c r="I7" s="194">
        <f t="shared" si="2"/>
        <v>0</v>
      </c>
      <c r="J7" s="194">
        <f t="shared" si="3"/>
        <v>0</v>
      </c>
      <c r="K7" s="757">
        <f>chpcapinput</f>
        <v>0</v>
      </c>
      <c r="L7" s="757"/>
      <c r="M7" s="757"/>
      <c r="N7" s="757"/>
      <c r="O7" s="757"/>
      <c r="P7" s="757"/>
      <c r="Q7" s="757"/>
      <c r="R7" s="757"/>
      <c r="S7" s="757"/>
      <c r="T7" s="757"/>
      <c r="U7" s="757"/>
      <c r="V7" s="757"/>
      <c r="W7" s="757"/>
      <c r="X7" s="757"/>
      <c r="Y7" s="757"/>
      <c r="Z7" s="757"/>
      <c r="AA7" s="757"/>
      <c r="AB7" s="757"/>
      <c r="AC7" s="757"/>
      <c r="AD7" s="757"/>
      <c r="AE7" s="757"/>
      <c r="AF7" s="757"/>
      <c r="AG7" s="757"/>
      <c r="AH7" s="757"/>
      <c r="AI7" s="757"/>
      <c r="AJ7" s="757"/>
      <c r="AK7" s="757"/>
      <c r="AL7" s="757"/>
      <c r="AM7" s="757"/>
      <c r="AN7" s="757"/>
      <c r="AO7" s="757"/>
      <c r="AP7" s="757"/>
      <c r="AQ7" s="757"/>
      <c r="AR7" s="757"/>
      <c r="AS7" s="757"/>
    </row>
    <row r="8" spans="1:45" s="49" customFormat="1" x14ac:dyDescent="0.25">
      <c r="A8" s="754" t="s">
        <v>485</v>
      </c>
      <c r="B8" s="755" t="e">
        <f t="shared" si="0"/>
        <v>#N/A</v>
      </c>
      <c r="C8" s="194">
        <f>B32</f>
        <v>5</v>
      </c>
      <c r="D8" s="194">
        <f>B56</f>
        <v>500</v>
      </c>
      <c r="E8" s="194">
        <f>B80</f>
        <v>90</v>
      </c>
      <c r="F8" s="194">
        <f>B104</f>
        <v>30</v>
      </c>
      <c r="G8" s="194">
        <f>B128</f>
        <v>1000</v>
      </c>
      <c r="H8" s="756">
        <f t="shared" si="1"/>
        <v>100</v>
      </c>
      <c r="I8" s="194">
        <f t="shared" si="2"/>
        <v>5</v>
      </c>
      <c r="J8" s="194">
        <f t="shared" si="3"/>
        <v>0</v>
      </c>
      <c r="K8" s="757">
        <v>50</v>
      </c>
      <c r="L8" s="757"/>
      <c r="M8" s="757"/>
      <c r="N8" s="757"/>
      <c r="O8" s="757"/>
      <c r="P8" s="757"/>
      <c r="Q8" s="757"/>
      <c r="R8" s="757"/>
      <c r="S8" s="757"/>
      <c r="T8" s="757"/>
      <c r="U8" s="757"/>
      <c r="V8" s="757"/>
      <c r="W8" s="757"/>
      <c r="X8" s="757"/>
      <c r="Y8" s="757"/>
      <c r="Z8" s="757"/>
      <c r="AA8" s="757"/>
      <c r="AB8" s="757"/>
      <c r="AC8" s="757"/>
      <c r="AD8" s="757"/>
      <c r="AE8" s="757"/>
      <c r="AF8" s="757"/>
      <c r="AG8" s="757"/>
      <c r="AH8" s="757"/>
      <c r="AI8" s="757"/>
      <c r="AJ8" s="757"/>
      <c r="AK8" s="757"/>
      <c r="AL8" s="757"/>
      <c r="AM8" s="757"/>
      <c r="AN8" s="757"/>
      <c r="AO8" s="757"/>
      <c r="AP8" s="757"/>
      <c r="AQ8" s="757"/>
      <c r="AR8" s="757"/>
      <c r="AS8" s="757"/>
    </row>
    <row r="9" spans="1:45" s="49" customFormat="1" x14ac:dyDescent="0.25">
      <c r="A9" s="754" t="s">
        <v>486</v>
      </c>
      <c r="B9" s="755" t="e">
        <f t="shared" si="0"/>
        <v>#N/A</v>
      </c>
      <c r="C9" s="194">
        <f>B33</f>
        <v>1200</v>
      </c>
      <c r="D9" s="194">
        <f>B57</f>
        <v>5000</v>
      </c>
      <c r="E9" s="194">
        <f>B81</f>
        <v>1600</v>
      </c>
      <c r="F9" s="194">
        <f>B105</f>
        <v>1000</v>
      </c>
      <c r="G9" s="194">
        <f>B129</f>
        <v>40000</v>
      </c>
      <c r="H9" s="756">
        <f t="shared" si="1"/>
        <v>15000</v>
      </c>
      <c r="I9" s="194">
        <f t="shared" si="2"/>
        <v>3000</v>
      </c>
      <c r="J9" s="194">
        <f t="shared" si="3"/>
        <v>0</v>
      </c>
      <c r="K9" s="757">
        <v>10000</v>
      </c>
      <c r="L9" s="757"/>
      <c r="M9" s="757"/>
      <c r="N9" s="757"/>
      <c r="O9" s="757"/>
      <c r="P9" s="757"/>
      <c r="Q9" s="757"/>
      <c r="R9" s="757"/>
      <c r="S9" s="757"/>
      <c r="T9" s="757"/>
      <c r="U9" s="757"/>
      <c r="V9" s="757"/>
      <c r="W9" s="757"/>
      <c r="X9" s="757"/>
      <c r="Y9" s="757"/>
      <c r="Z9" s="757"/>
      <c r="AA9" s="757"/>
      <c r="AB9" s="757"/>
      <c r="AC9" s="757"/>
      <c r="AD9" s="757"/>
      <c r="AE9" s="757"/>
      <c r="AF9" s="757"/>
      <c r="AG9" s="757"/>
      <c r="AH9" s="757"/>
      <c r="AI9" s="757"/>
      <c r="AJ9" s="757"/>
      <c r="AK9" s="757"/>
      <c r="AL9" s="757"/>
      <c r="AM9" s="757"/>
      <c r="AN9" s="757"/>
      <c r="AO9" s="757"/>
      <c r="AP9" s="757"/>
      <c r="AQ9" s="757"/>
      <c r="AR9" s="757"/>
      <c r="AS9" s="757"/>
    </row>
    <row r="10" spans="1:45" x14ac:dyDescent="0.25">
      <c r="A10" s="194" t="s">
        <v>487</v>
      </c>
      <c r="B10" s="758" t="e">
        <f t="shared" si="0"/>
        <v>#N/A</v>
      </c>
      <c r="C10" s="256" t="str">
        <f t="shared" ref="C10:C23" si="4">B34</f>
        <v>Catalyst</v>
      </c>
      <c r="D10" s="256">
        <f t="shared" ref="D10:D23" si="5">B58</f>
        <v>0</v>
      </c>
      <c r="E10" s="256">
        <f t="shared" ref="E10:E23" si="6">B82</f>
        <v>0</v>
      </c>
      <c r="F10" s="256" t="e">
        <f t="shared" ref="F10:F23" si="7">B106</f>
        <v>#N/A</v>
      </c>
      <c r="G10" s="256">
        <f t="shared" ref="G10:G23" si="8">B130</f>
        <v>0</v>
      </c>
      <c r="H10" s="256">
        <f t="shared" si="1"/>
        <v>0</v>
      </c>
      <c r="I10" s="256" t="str">
        <f t="shared" si="2"/>
        <v>ClearEdge SOFC</v>
      </c>
      <c r="J10" s="256">
        <f t="shared" si="3"/>
        <v>0</v>
      </c>
      <c r="K10" s="194"/>
      <c r="L10" s="194"/>
      <c r="M10" s="194"/>
      <c r="N10" s="194"/>
      <c r="O10" s="194"/>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row>
    <row r="11" spans="1:45" x14ac:dyDescent="0.25">
      <c r="A11" s="194" t="s">
        <v>488</v>
      </c>
      <c r="B11" s="753" t="e">
        <f t="shared" si="0"/>
        <v>#N/A</v>
      </c>
      <c r="C11" s="194" t="str">
        <f t="shared" si="4"/>
        <v>Natural Gas</v>
      </c>
      <c r="D11" s="194" t="str">
        <f t="shared" si="5"/>
        <v>Natural Gas</v>
      </c>
      <c r="E11" s="194" t="str">
        <f t="shared" si="6"/>
        <v>Diesel</v>
      </c>
      <c r="F11" s="194" t="str">
        <f t="shared" si="7"/>
        <v>Natural gas</v>
      </c>
      <c r="G11" s="194" t="str">
        <f t="shared" si="8"/>
        <v>Natural gas</v>
      </c>
      <c r="H11" s="194" t="str">
        <f t="shared" si="1"/>
        <v>Natural Gas</v>
      </c>
      <c r="I11" s="194" t="str">
        <f t="shared" si="2"/>
        <v>Natural Gas</v>
      </c>
      <c r="J11" s="194" t="e">
        <f t="shared" si="3"/>
        <v>#N/A</v>
      </c>
      <c r="K11" s="194" t="s">
        <v>489</v>
      </c>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row>
    <row r="12" spans="1:45" x14ac:dyDescent="0.25">
      <c r="A12" s="194"/>
      <c r="B12" s="753"/>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row>
    <row r="13" spans="1:45" x14ac:dyDescent="0.25">
      <c r="A13" s="194" t="s">
        <v>490</v>
      </c>
      <c r="B13" s="759" t="e">
        <f t="shared" ref="B13:B23" si="9">LOOKUP(B$5,C$5:W$5,C13:W13)</f>
        <v>#N/A</v>
      </c>
      <c r="C13" s="251">
        <f t="shared" si="4"/>
        <v>0.22999662959218065</v>
      </c>
      <c r="D13" s="251">
        <f t="shared" si="5"/>
        <v>0.34959016393442621</v>
      </c>
      <c r="E13" s="251">
        <f t="shared" si="6"/>
        <v>0.29279176201372997</v>
      </c>
      <c r="F13" s="251">
        <f t="shared" si="7"/>
        <v>0.22536327608982826</v>
      </c>
      <c r="G13" s="251">
        <f t="shared" si="8"/>
        <v>0.21398557541549074</v>
      </c>
      <c r="H13" s="251">
        <f>B157</f>
        <v>0</v>
      </c>
      <c r="I13" s="251">
        <f t="shared" ref="I13:I23" si="10">B181</f>
        <v>0.30008795074758138</v>
      </c>
      <c r="J13" s="251">
        <f t="shared" ref="J13:J23" si="11">B205</f>
        <v>0</v>
      </c>
      <c r="K13" s="257">
        <v>0</v>
      </c>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row>
    <row r="14" spans="1:45" x14ac:dyDescent="0.25">
      <c r="A14" s="194" t="s">
        <v>142</v>
      </c>
      <c r="B14" s="755" t="e">
        <f t="shared" si="9"/>
        <v>#N/A</v>
      </c>
      <c r="C14" s="747">
        <f t="shared" si="4"/>
        <v>14835</v>
      </c>
      <c r="D14" s="747">
        <f t="shared" si="5"/>
        <v>9760</v>
      </c>
      <c r="E14" s="747">
        <f t="shared" si="6"/>
        <v>11653.333333333334</v>
      </c>
      <c r="F14" s="747">
        <f t="shared" si="7"/>
        <v>15140</v>
      </c>
      <c r="G14" s="747">
        <f t="shared" si="8"/>
        <v>15945</v>
      </c>
      <c r="H14" s="747">
        <f>B158</f>
        <v>0</v>
      </c>
      <c r="I14" s="747">
        <f t="shared" si="10"/>
        <v>11370</v>
      </c>
      <c r="J14" s="747">
        <f t="shared" si="11"/>
        <v>0</v>
      </c>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row>
    <row r="15" spans="1:45" x14ac:dyDescent="0.25">
      <c r="A15" s="194" t="s">
        <v>491</v>
      </c>
      <c r="B15" s="755" t="e">
        <f t="shared" si="9"/>
        <v>#N/A</v>
      </c>
      <c r="C15" s="747">
        <f t="shared" si="4"/>
        <v>13425.339366515836</v>
      </c>
      <c r="D15" s="747">
        <f t="shared" si="5"/>
        <v>8832.5791855203624</v>
      </c>
      <c r="E15" s="747">
        <f t="shared" si="6"/>
        <v>10614.470284237726</v>
      </c>
      <c r="F15" s="747">
        <f t="shared" si="7"/>
        <v>13701.357466063349</v>
      </c>
      <c r="G15" s="747">
        <f t="shared" si="8"/>
        <v>14429.864253393665</v>
      </c>
      <c r="H15" s="747">
        <f>B159</f>
        <v>0</v>
      </c>
      <c r="I15" s="747">
        <f t="shared" si="10"/>
        <v>10289.592760180996</v>
      </c>
      <c r="J15" s="747">
        <f t="shared" si="11"/>
        <v>0</v>
      </c>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row>
    <row r="16" spans="1:45" x14ac:dyDescent="0.25">
      <c r="A16" s="194" t="s">
        <v>492</v>
      </c>
      <c r="B16" s="753" t="e">
        <f t="shared" si="9"/>
        <v>#N/A</v>
      </c>
      <c r="C16" s="194">
        <f t="shared" si="4"/>
        <v>0.4</v>
      </c>
      <c r="D16" s="194">
        <f t="shared" si="5"/>
        <v>0.79</v>
      </c>
      <c r="E16" s="194">
        <f t="shared" si="6"/>
        <v>0.66</v>
      </c>
      <c r="F16" s="194">
        <f t="shared" si="7"/>
        <v>0.51</v>
      </c>
      <c r="G16" s="194">
        <f t="shared" si="8"/>
        <v>0.44</v>
      </c>
      <c r="H16" s="194">
        <f>B160</f>
        <v>0</v>
      </c>
      <c r="I16" s="194">
        <f t="shared" si="10"/>
        <v>0.85</v>
      </c>
      <c r="J16" s="194">
        <f t="shared" si="11"/>
        <v>0</v>
      </c>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row>
    <row r="17" spans="1:45" x14ac:dyDescent="0.25">
      <c r="A17" s="194" t="s">
        <v>493</v>
      </c>
      <c r="B17" s="758" t="e">
        <f t="shared" si="9"/>
        <v>#N/A</v>
      </c>
      <c r="C17" s="194">
        <f t="shared" si="4"/>
        <v>0</v>
      </c>
      <c r="D17" s="194">
        <f t="shared" si="5"/>
        <v>0</v>
      </c>
      <c r="E17" s="194">
        <f t="shared" si="6"/>
        <v>0</v>
      </c>
      <c r="F17" s="194">
        <f t="shared" si="7"/>
        <v>12</v>
      </c>
      <c r="G17" s="194">
        <f t="shared" si="8"/>
        <v>42</v>
      </c>
      <c r="H17" s="760">
        <f t="shared" ref="H17:H23" si="12">B161</f>
        <v>0</v>
      </c>
      <c r="I17" s="194">
        <f t="shared" si="10"/>
        <v>3</v>
      </c>
      <c r="J17" s="194">
        <f t="shared" si="11"/>
        <v>0</v>
      </c>
      <c r="K17" s="194">
        <v>0</v>
      </c>
      <c r="L17" s="194"/>
      <c r="M17" s="194"/>
      <c r="N17" s="194"/>
      <c r="O17" s="194"/>
      <c r="P17" s="194"/>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row>
    <row r="18" spans="1:45" x14ac:dyDescent="0.25">
      <c r="A18" s="194" t="s">
        <v>494</v>
      </c>
      <c r="B18" s="758" t="e">
        <f t="shared" si="9"/>
        <v>#N/A</v>
      </c>
      <c r="C18" s="194">
        <f t="shared" si="4"/>
        <v>0.15</v>
      </c>
      <c r="D18" s="194">
        <f t="shared" si="5"/>
        <v>0.7</v>
      </c>
      <c r="E18" s="194">
        <f t="shared" si="6"/>
        <v>3</v>
      </c>
      <c r="F18" s="194">
        <f t="shared" si="7"/>
        <v>0</v>
      </c>
      <c r="G18" s="194">
        <f t="shared" si="8"/>
        <v>0</v>
      </c>
      <c r="H18" s="760">
        <f t="shared" si="12"/>
        <v>0</v>
      </c>
      <c r="I18" s="194">
        <f t="shared" si="10"/>
        <v>0</v>
      </c>
      <c r="J18" s="194">
        <f t="shared" si="11"/>
        <v>0</v>
      </c>
      <c r="K18" s="194">
        <v>0</v>
      </c>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row>
    <row r="19" spans="1:45" x14ac:dyDescent="0.25">
      <c r="A19" s="194" t="s">
        <v>462</v>
      </c>
      <c r="B19" s="761" t="e">
        <f t="shared" si="9"/>
        <v>#N/A</v>
      </c>
      <c r="C19" s="762">
        <f t="shared" si="4"/>
        <v>3.144590495449949E-2</v>
      </c>
      <c r="D19" s="762">
        <f t="shared" si="5"/>
        <v>0.22305327868852454</v>
      </c>
      <c r="E19" s="762">
        <f t="shared" si="6"/>
        <v>0.80062929061784893</v>
      </c>
      <c r="F19" s="762">
        <f t="shared" si="7"/>
        <v>4.2272126816380449E-2</v>
      </c>
      <c r="G19" s="762">
        <f t="shared" si="8"/>
        <v>0.15441176470588236</v>
      </c>
      <c r="H19" s="762" t="e">
        <f t="shared" si="12"/>
        <v>#N/A</v>
      </c>
      <c r="I19" s="762">
        <f t="shared" si="10"/>
        <v>2.6385224274406332E-3</v>
      </c>
      <c r="J19" s="762">
        <f t="shared" si="11"/>
        <v>0</v>
      </c>
      <c r="K19" s="194">
        <v>0</v>
      </c>
      <c r="L19" s="194"/>
      <c r="M19" s="194"/>
      <c r="N19" s="194"/>
      <c r="O19" s="194"/>
      <c r="P19" s="194"/>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row>
    <row r="20" spans="1:45" x14ac:dyDescent="0.25">
      <c r="A20" s="194" t="s">
        <v>226</v>
      </c>
      <c r="B20" s="758" t="e">
        <f t="shared" si="9"/>
        <v>#N/A</v>
      </c>
      <c r="C20" s="256">
        <f t="shared" si="4"/>
        <v>0.46649999999999997</v>
      </c>
      <c r="D20" s="256">
        <f t="shared" si="5"/>
        <v>2.1769999999999996</v>
      </c>
      <c r="E20" s="256">
        <f t="shared" si="6"/>
        <v>9.33</v>
      </c>
      <c r="F20" s="256">
        <f t="shared" si="7"/>
        <v>0.64</v>
      </c>
      <c r="G20" s="256">
        <f t="shared" si="8"/>
        <v>2.462095588235294</v>
      </c>
      <c r="H20" s="256">
        <f t="shared" si="12"/>
        <v>0</v>
      </c>
      <c r="I20" s="256">
        <f t="shared" si="10"/>
        <v>0.03</v>
      </c>
      <c r="J20" s="256">
        <f t="shared" si="11"/>
        <v>0</v>
      </c>
      <c r="K20" s="194">
        <v>0</v>
      </c>
      <c r="L20" s="194"/>
      <c r="M20" s="194"/>
      <c r="N20" s="194"/>
      <c r="O20" s="194"/>
      <c r="P20" s="194"/>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row>
    <row r="21" spans="1:45" x14ac:dyDescent="0.25">
      <c r="A21" s="194" t="s">
        <v>464</v>
      </c>
      <c r="B21" s="763" t="e">
        <f t="shared" si="9"/>
        <v>#N/A</v>
      </c>
      <c r="C21" s="764">
        <f t="shared" si="4"/>
        <v>5.9999999999999995E-4</v>
      </c>
      <c r="D21" s="764">
        <f t="shared" si="5"/>
        <v>5.9999999999999995E-4</v>
      </c>
      <c r="E21" s="764">
        <f t="shared" si="6"/>
        <v>0</v>
      </c>
      <c r="F21" s="764">
        <f t="shared" si="7"/>
        <v>0</v>
      </c>
      <c r="G21" s="764">
        <f t="shared" si="8"/>
        <v>5.9999999999999995E-4</v>
      </c>
      <c r="H21" s="764" t="e">
        <f t="shared" si="12"/>
        <v>#N/A</v>
      </c>
      <c r="I21" s="764">
        <f t="shared" si="10"/>
        <v>1E-4</v>
      </c>
      <c r="J21" s="764">
        <f t="shared" si="11"/>
        <v>0</v>
      </c>
      <c r="K21" s="194">
        <v>0</v>
      </c>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row>
    <row r="22" spans="1:45" x14ac:dyDescent="0.25">
      <c r="A22" s="194" t="s">
        <v>227</v>
      </c>
      <c r="B22" s="763" t="e">
        <f t="shared" si="9"/>
        <v>#N/A</v>
      </c>
      <c r="C22" s="764">
        <f t="shared" si="4"/>
        <v>8.9009999999999992E-3</v>
      </c>
      <c r="D22" s="764">
        <f t="shared" si="5"/>
        <v>5.8560000000000001E-3</v>
      </c>
      <c r="E22" s="764">
        <f t="shared" si="6"/>
        <v>0</v>
      </c>
      <c r="F22" s="764">
        <f t="shared" si="7"/>
        <v>0</v>
      </c>
      <c r="G22" s="764">
        <f t="shared" si="8"/>
        <v>9.5669999999999991E-3</v>
      </c>
      <c r="H22" s="764">
        <f t="shared" si="12"/>
        <v>0</v>
      </c>
      <c r="I22" s="764">
        <f t="shared" si="10"/>
        <v>1.137E-3</v>
      </c>
      <c r="J22" s="764">
        <f t="shared" si="11"/>
        <v>0</v>
      </c>
      <c r="K22" s="194">
        <v>0</v>
      </c>
      <c r="L22" s="194"/>
      <c r="M22" s="194"/>
      <c r="N22" s="194"/>
      <c r="O22" s="194"/>
      <c r="P22" s="194"/>
      <c r="Q22" s="194"/>
      <c r="R22" s="194"/>
      <c r="S22" s="194"/>
      <c r="T22" s="194"/>
      <c r="U22" s="194"/>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row>
    <row r="23" spans="1:45" ht="13" thickBot="1" x14ac:dyDescent="0.3">
      <c r="A23" s="194" t="s">
        <v>228</v>
      </c>
      <c r="B23" s="765" t="e">
        <f t="shared" si="9"/>
        <v>#N/A</v>
      </c>
      <c r="C23" s="766">
        <f t="shared" si="4"/>
        <v>1734.2114999999999</v>
      </c>
      <c r="D23" s="766">
        <f t="shared" si="5"/>
        <v>1140.944</v>
      </c>
      <c r="E23" s="766">
        <f t="shared" si="6"/>
        <v>0</v>
      </c>
      <c r="F23" s="766">
        <f t="shared" si="7"/>
        <v>0</v>
      </c>
      <c r="G23" s="766">
        <f t="shared" si="8"/>
        <v>0</v>
      </c>
      <c r="H23" s="766">
        <f t="shared" si="12"/>
        <v>0</v>
      </c>
      <c r="I23" s="766">
        <f t="shared" si="10"/>
        <v>1360</v>
      </c>
      <c r="J23" s="766">
        <f t="shared" si="11"/>
        <v>0</v>
      </c>
      <c r="K23" s="194">
        <v>0</v>
      </c>
      <c r="L23" s="194"/>
      <c r="M23" s="194"/>
      <c r="N23" s="194"/>
      <c r="O23" s="194"/>
      <c r="P23" s="766"/>
      <c r="Q23" s="756"/>
      <c r="R23" s="756"/>
      <c r="S23" s="756"/>
      <c r="T23" s="194"/>
      <c r="U23" s="194"/>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row>
    <row r="26" spans="1:45" ht="13" thickBot="1" x14ac:dyDescent="0.3">
      <c r="A26" s="194"/>
      <c r="B26" s="194"/>
      <c r="C26" s="194"/>
      <c r="D26" s="194"/>
      <c r="E26" s="194"/>
      <c r="F26" s="194"/>
      <c r="G26" s="194"/>
      <c r="H26" s="194"/>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row>
    <row r="27" spans="1:45" ht="13" x14ac:dyDescent="0.3">
      <c r="A27" s="1"/>
      <c r="B27" s="117" t="s">
        <v>495</v>
      </c>
      <c r="C27" s="194"/>
      <c r="D27" s="194"/>
      <c r="E27" s="194"/>
      <c r="F27" s="194"/>
      <c r="G27" s="194"/>
      <c r="H27" s="194"/>
      <c r="I27" s="194"/>
      <c r="J27" s="194"/>
      <c r="K27" s="194"/>
      <c r="L27" s="194"/>
      <c r="M27" s="194"/>
      <c r="N27" s="194"/>
      <c r="O27" s="194"/>
      <c r="P27" s="194"/>
      <c r="Q27" s="194"/>
      <c r="R27" s="194"/>
      <c r="S27" s="194"/>
      <c r="T27" s="194"/>
      <c r="U27" s="194"/>
      <c r="V27" s="194"/>
      <c r="W27" s="194"/>
      <c r="X27" s="194"/>
      <c r="Y27" s="194"/>
      <c r="Z27" s="194"/>
      <c r="AA27" s="194"/>
      <c r="AB27" s="194"/>
      <c r="AC27" s="194"/>
      <c r="AD27" s="194"/>
      <c r="AE27" s="194"/>
      <c r="AF27" s="194"/>
      <c r="AG27" s="194"/>
      <c r="AH27" s="194"/>
      <c r="AI27" s="194"/>
      <c r="AJ27" s="194"/>
      <c r="AK27" s="194"/>
      <c r="AL27" s="194"/>
      <c r="AM27" s="194"/>
      <c r="AN27" s="194"/>
      <c r="AO27" s="194"/>
      <c r="AP27" s="194"/>
      <c r="AQ27" s="194"/>
      <c r="AR27" s="194"/>
      <c r="AS27" s="194"/>
    </row>
    <row r="28" spans="1:45" ht="13" x14ac:dyDescent="0.3">
      <c r="A28" s="1"/>
      <c r="B28" s="753" t="s">
        <v>496</v>
      </c>
      <c r="C28" s="194"/>
      <c r="D28" s="194"/>
      <c r="E28" s="194"/>
      <c r="F28" s="194"/>
      <c r="G28" s="194"/>
      <c r="H28" s="194"/>
      <c r="I28" s="194"/>
      <c r="J28" s="194"/>
      <c r="K28" s="194"/>
      <c r="L28" s="194"/>
      <c r="M28" s="194"/>
      <c r="N28" s="194"/>
      <c r="O28" s="194"/>
      <c r="P28" s="194"/>
      <c r="Q28" s="194"/>
      <c r="R28" s="194"/>
      <c r="S28" s="194"/>
      <c r="T28" s="194"/>
      <c r="U28" s="194"/>
      <c r="V28" s="194"/>
      <c r="W28" s="194"/>
      <c r="X28" s="194"/>
      <c r="Y28" s="194"/>
      <c r="Z28" s="194"/>
      <c r="AA28" s="194"/>
      <c r="AB28" s="194"/>
      <c r="AC28" s="194"/>
      <c r="AD28" s="194"/>
      <c r="AE28" s="194"/>
      <c r="AF28" s="194"/>
      <c r="AG28" s="194"/>
      <c r="AH28" s="194"/>
      <c r="AI28" s="194"/>
      <c r="AJ28" s="194"/>
      <c r="AK28" s="194"/>
      <c r="AL28" s="194"/>
      <c r="AM28" s="194"/>
      <c r="AN28" s="194"/>
      <c r="AO28" s="194"/>
      <c r="AP28" s="194"/>
      <c r="AQ28" s="194"/>
      <c r="AR28" s="194"/>
      <c r="AS28" s="194"/>
    </row>
    <row r="29" spans="1:45" x14ac:dyDescent="0.25">
      <c r="A29" s="194"/>
      <c r="B29" s="753">
        <f>IF(chptechinput=1,1,0)</f>
        <v>0</v>
      </c>
      <c r="C29" s="194">
        <v>1</v>
      </c>
      <c r="D29" s="194">
        <v>1</v>
      </c>
      <c r="E29" s="194">
        <v>1</v>
      </c>
      <c r="F29" s="194">
        <v>1</v>
      </c>
      <c r="G29" s="194">
        <v>1</v>
      </c>
      <c r="H29" s="194">
        <v>1</v>
      </c>
      <c r="I29" s="194">
        <v>1</v>
      </c>
      <c r="J29" s="194"/>
      <c r="K29" s="194"/>
      <c r="L29" s="194"/>
      <c r="M29" s="194"/>
      <c r="N29" s="194"/>
      <c r="O29" s="194"/>
      <c r="P29" s="194"/>
      <c r="Q29" s="194"/>
      <c r="R29" s="194"/>
      <c r="S29" s="194"/>
      <c r="T29" s="194"/>
      <c r="U29" s="194"/>
      <c r="V29" s="194"/>
      <c r="W29" s="194"/>
      <c r="X29" s="194"/>
      <c r="Y29" s="194"/>
      <c r="Z29" s="194"/>
      <c r="AA29" s="194"/>
      <c r="AB29" s="194"/>
      <c r="AC29" s="194"/>
      <c r="AD29" s="194"/>
      <c r="AE29" s="194"/>
      <c r="AF29" s="194"/>
      <c r="AG29" s="194"/>
      <c r="AH29" s="194"/>
      <c r="AI29" s="194"/>
      <c r="AJ29" s="194"/>
      <c r="AK29" s="194"/>
      <c r="AL29" s="194"/>
      <c r="AM29" s="194"/>
      <c r="AN29" s="194"/>
      <c r="AO29" s="194"/>
      <c r="AP29" s="5"/>
      <c r="AQ29" s="5"/>
      <c r="AR29" s="5"/>
      <c r="AS29" s="5"/>
    </row>
    <row r="30" spans="1:45" s="48" customFormat="1" x14ac:dyDescent="0.25">
      <c r="A30" s="250"/>
      <c r="B30" s="753" t="str">
        <f>IF(B$31*chptechcaplow&lt;B$32,C30,IF(B$31*chptechcaphigh&gt;B$33,I30,LOOKUP(B$31,C$31:T$31,C30:T30)))</f>
        <v>Recip Rich Burn</v>
      </c>
      <c r="C30" s="194" t="s">
        <v>496</v>
      </c>
      <c r="D30" s="194" t="s">
        <v>496</v>
      </c>
      <c r="E30" s="194" t="s">
        <v>496</v>
      </c>
      <c r="F30" s="194" t="s">
        <v>496</v>
      </c>
      <c r="G30" s="194" t="s">
        <v>496</v>
      </c>
      <c r="H30" s="194" t="s">
        <v>496</v>
      </c>
      <c r="I30" s="194" t="s">
        <v>496</v>
      </c>
      <c r="J30" s="250"/>
      <c r="K30" s="250"/>
      <c r="L30" s="250"/>
      <c r="M30" s="250"/>
      <c r="N30" s="194"/>
      <c r="O30" s="194"/>
      <c r="P30" s="194"/>
      <c r="Q30" s="194"/>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row>
    <row r="31" spans="1:45" s="49" customFormat="1" x14ac:dyDescent="0.25">
      <c r="A31" s="754" t="s">
        <v>484</v>
      </c>
      <c r="B31" s="755">
        <f>chpcapinput</f>
        <v>0</v>
      </c>
      <c r="C31" s="767">
        <v>5</v>
      </c>
      <c r="D31" s="767">
        <v>50</v>
      </c>
      <c r="E31" s="767">
        <v>100</v>
      </c>
      <c r="F31" s="767">
        <v>150</v>
      </c>
      <c r="G31" s="767">
        <v>300</v>
      </c>
      <c r="H31" s="767">
        <v>800</v>
      </c>
      <c r="I31" s="768">
        <v>1200</v>
      </c>
      <c r="J31" s="769"/>
      <c r="K31" s="769"/>
      <c r="L31" s="769"/>
      <c r="M31" s="769"/>
      <c r="N31" s="194"/>
      <c r="O31" s="194"/>
      <c r="P31" s="194"/>
      <c r="Q31" s="194"/>
      <c r="R31" s="769"/>
      <c r="S31" s="757"/>
      <c r="T31" s="757"/>
      <c r="U31" s="757"/>
      <c r="V31" s="757"/>
      <c r="W31" s="757"/>
      <c r="X31" s="757"/>
      <c r="Y31" s="757"/>
      <c r="Z31" s="757"/>
      <c r="AA31" s="757"/>
      <c r="AB31" s="757"/>
      <c r="AC31" s="757"/>
      <c r="AD31" s="757"/>
      <c r="AE31" s="757"/>
      <c r="AF31" s="757"/>
      <c r="AG31" s="757"/>
      <c r="AH31" s="757"/>
      <c r="AI31" s="757"/>
      <c r="AJ31" s="757"/>
      <c r="AK31" s="757"/>
      <c r="AL31" s="757"/>
      <c r="AM31" s="757"/>
      <c r="AN31" s="757"/>
      <c r="AO31" s="757"/>
    </row>
    <row r="32" spans="1:45" s="49" customFormat="1" x14ac:dyDescent="0.25">
      <c r="A32" s="754" t="s">
        <v>485</v>
      </c>
      <c r="B32" s="755">
        <f>chptechcaplow*MIN(C31:AW31)</f>
        <v>5</v>
      </c>
      <c r="C32" s="770"/>
      <c r="D32" s="770"/>
      <c r="E32" s="770"/>
      <c r="F32" s="770"/>
      <c r="G32" s="770"/>
      <c r="H32" s="770"/>
      <c r="I32" s="770"/>
      <c r="J32" s="769"/>
      <c r="K32" s="769"/>
      <c r="L32" s="769"/>
      <c r="M32" s="769"/>
      <c r="N32" s="194"/>
      <c r="O32" s="194"/>
      <c r="P32" s="194"/>
      <c r="Q32" s="194"/>
      <c r="R32" s="769"/>
      <c r="S32" s="757"/>
      <c r="T32" s="757"/>
      <c r="U32" s="757"/>
      <c r="V32" s="757"/>
      <c r="W32" s="757"/>
      <c r="X32" s="757"/>
      <c r="Y32" s="757"/>
      <c r="Z32" s="757"/>
      <c r="AA32" s="757"/>
      <c r="AB32" s="757"/>
      <c r="AC32" s="757"/>
      <c r="AD32" s="757"/>
      <c r="AE32" s="757"/>
      <c r="AF32" s="757"/>
      <c r="AG32" s="757"/>
      <c r="AH32" s="757"/>
      <c r="AI32" s="757"/>
      <c r="AJ32" s="757"/>
      <c r="AK32" s="757"/>
      <c r="AL32" s="757"/>
      <c r="AM32" s="757"/>
      <c r="AN32" s="757"/>
      <c r="AO32" s="757"/>
    </row>
    <row r="33" spans="1:45" s="49" customFormat="1" x14ac:dyDescent="0.25">
      <c r="A33" s="754" t="s">
        <v>486</v>
      </c>
      <c r="B33" s="755">
        <f>chptechcaphigh*MAX(C31:AW31)</f>
        <v>1200</v>
      </c>
      <c r="C33" s="770"/>
      <c r="D33" s="770"/>
      <c r="E33" s="770"/>
      <c r="F33" s="770"/>
      <c r="G33" s="770"/>
      <c r="H33" s="770"/>
      <c r="I33" s="770"/>
      <c r="J33" s="769"/>
      <c r="K33" s="769"/>
      <c r="L33" s="769"/>
      <c r="M33" s="769"/>
      <c r="N33" s="194"/>
      <c r="O33" s="194"/>
      <c r="P33" s="194"/>
      <c r="Q33" s="194"/>
      <c r="R33" s="769"/>
      <c r="S33" s="757"/>
      <c r="T33" s="757"/>
      <c r="U33" s="757"/>
      <c r="V33" s="757"/>
      <c r="W33" s="757"/>
      <c r="X33" s="757"/>
      <c r="Y33" s="757"/>
      <c r="Z33" s="757"/>
      <c r="AA33" s="757"/>
      <c r="AB33" s="757"/>
      <c r="AC33" s="757"/>
      <c r="AD33" s="757"/>
      <c r="AE33" s="757"/>
      <c r="AF33" s="757"/>
      <c r="AG33" s="757"/>
      <c r="AH33" s="757"/>
      <c r="AI33" s="757"/>
      <c r="AJ33" s="757"/>
      <c r="AK33" s="757"/>
      <c r="AL33" s="757"/>
      <c r="AM33" s="757"/>
      <c r="AN33" s="757"/>
      <c r="AO33" s="757"/>
    </row>
    <row r="34" spans="1:45" x14ac:dyDescent="0.25">
      <c r="A34" s="194" t="s">
        <v>487</v>
      </c>
      <c r="B34" s="771" t="s">
        <v>497</v>
      </c>
      <c r="C34" s="194" t="s">
        <v>497</v>
      </c>
      <c r="D34" s="194" t="s">
        <v>497</v>
      </c>
      <c r="E34" s="194" t="s">
        <v>497</v>
      </c>
      <c r="F34" s="194" t="s">
        <v>497</v>
      </c>
      <c r="G34" s="194" t="s">
        <v>497</v>
      </c>
      <c r="H34" s="194" t="s">
        <v>497</v>
      </c>
      <c r="I34" s="194" t="s">
        <v>497</v>
      </c>
      <c r="J34" s="194"/>
      <c r="K34" s="194"/>
      <c r="L34" s="194"/>
      <c r="M34" s="194"/>
      <c r="N34" s="194"/>
      <c r="O34" s="194"/>
      <c r="P34" s="194"/>
      <c r="Q34" s="194"/>
      <c r="R34" s="194"/>
      <c r="S34" s="194"/>
      <c r="T34" s="194"/>
      <c r="U34" s="194"/>
      <c r="V34" s="194"/>
      <c r="W34" s="194"/>
      <c r="X34" s="194"/>
      <c r="Y34" s="194"/>
      <c r="Z34" s="194"/>
      <c r="AA34" s="194"/>
      <c r="AB34" s="194"/>
      <c r="AC34" s="194"/>
      <c r="AD34" s="194"/>
      <c r="AE34" s="194"/>
      <c r="AF34" s="194"/>
      <c r="AG34" s="194"/>
      <c r="AH34" s="194"/>
      <c r="AI34" s="194"/>
      <c r="AJ34" s="194"/>
      <c r="AK34" s="194"/>
      <c r="AL34" s="194"/>
      <c r="AM34" s="194"/>
      <c r="AN34" s="194"/>
      <c r="AO34" s="194"/>
      <c r="AP34" s="5"/>
      <c r="AQ34" s="5"/>
      <c r="AR34" s="5"/>
      <c r="AS34" s="5"/>
    </row>
    <row r="35" spans="1:45" x14ac:dyDescent="0.25">
      <c r="A35" s="194" t="s">
        <v>488</v>
      </c>
      <c r="B35" s="771" t="s">
        <v>401</v>
      </c>
      <c r="C35" s="194" t="s">
        <v>401</v>
      </c>
      <c r="D35" s="194" t="s">
        <v>401</v>
      </c>
      <c r="E35" s="194" t="s">
        <v>401</v>
      </c>
      <c r="F35" s="194" t="s">
        <v>401</v>
      </c>
      <c r="G35" s="194" t="s">
        <v>401</v>
      </c>
      <c r="H35" s="194" t="s">
        <v>401</v>
      </c>
      <c r="I35" s="194" t="s">
        <v>401</v>
      </c>
      <c r="J35" s="194"/>
      <c r="K35" s="194"/>
      <c r="L35" s="194"/>
      <c r="M35" s="194"/>
      <c r="N35" s="194"/>
      <c r="O35" s="194"/>
      <c r="P35" s="194"/>
      <c r="Q35" s="194"/>
      <c r="R35" s="194"/>
      <c r="S35" s="194"/>
      <c r="T35" s="194"/>
      <c r="U35" s="194"/>
      <c r="V35" s="194"/>
      <c r="W35" s="194"/>
      <c r="X35" s="194"/>
      <c r="Y35" s="194"/>
      <c r="Z35" s="194"/>
      <c r="AA35" s="194"/>
      <c r="AB35" s="194"/>
      <c r="AC35" s="194"/>
      <c r="AD35" s="194"/>
      <c r="AE35" s="194"/>
      <c r="AF35" s="194"/>
      <c r="AG35" s="194"/>
      <c r="AH35" s="194"/>
      <c r="AI35" s="194"/>
      <c r="AJ35" s="194"/>
      <c r="AK35" s="194"/>
      <c r="AL35" s="194"/>
      <c r="AM35" s="194"/>
      <c r="AN35" s="194"/>
      <c r="AO35" s="194"/>
      <c r="AP35" s="5"/>
      <c r="AQ35" s="5"/>
      <c r="AR35" s="5"/>
      <c r="AS35" s="5"/>
    </row>
    <row r="36" spans="1:45" x14ac:dyDescent="0.25">
      <c r="A36" s="194"/>
      <c r="B36" s="771"/>
      <c r="C36" s="194"/>
      <c r="D36" s="194"/>
      <c r="E36" s="194"/>
      <c r="F36" s="194"/>
      <c r="G36" s="194"/>
      <c r="H36" s="194"/>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5"/>
      <c r="AQ36" s="5"/>
      <c r="AR36" s="5"/>
      <c r="AS36" s="5"/>
    </row>
    <row r="37" spans="1:45" x14ac:dyDescent="0.25">
      <c r="A37" s="194" t="s">
        <v>490</v>
      </c>
      <c r="B37" s="772">
        <f t="shared" ref="B37:B47" si="13">IF(B$31*chptechcaplow&lt;B$32,C37,IF(B$31*chptechcaphigh&gt;B$33,I37,LOOKUP(B$31,C$31:T$31,C37:T37)))</f>
        <v>0.22999662959218065</v>
      </c>
      <c r="C37" s="773">
        <f t="shared" ref="C37:I37" si="14">3412/C38</f>
        <v>0.22999662959218065</v>
      </c>
      <c r="D37" s="773">
        <f t="shared" si="14"/>
        <v>0.27875816993464053</v>
      </c>
      <c r="E37" s="773">
        <f t="shared" si="14"/>
        <v>0.28433333333333333</v>
      </c>
      <c r="F37" s="773">
        <f t="shared" si="14"/>
        <v>0.30409982174688055</v>
      </c>
      <c r="G37" s="773">
        <f t="shared" si="14"/>
        <v>0.31766129783074204</v>
      </c>
      <c r="H37" s="773">
        <f t="shared" si="14"/>
        <v>0.32495238095238094</v>
      </c>
      <c r="I37" s="773">
        <f t="shared" si="14"/>
        <v>0.33569460842188115</v>
      </c>
      <c r="J37" s="194"/>
      <c r="K37" s="194"/>
      <c r="L37" s="194"/>
      <c r="M37" s="194"/>
      <c r="N37" s="194"/>
      <c r="O37" s="194"/>
      <c r="P37" s="194"/>
      <c r="Q37" s="194"/>
      <c r="R37" s="194"/>
      <c r="S37" s="194"/>
      <c r="T37" s="194"/>
      <c r="U37" s="194"/>
      <c r="V37" s="194"/>
      <c r="W37" s="194"/>
      <c r="X37" s="194"/>
      <c r="Y37" s="194"/>
      <c r="Z37" s="194"/>
      <c r="AA37" s="194"/>
      <c r="AB37" s="194"/>
      <c r="AC37" s="194"/>
      <c r="AD37" s="194"/>
      <c r="AE37" s="194"/>
      <c r="AF37" s="194"/>
      <c r="AG37" s="194"/>
      <c r="AH37" s="194"/>
      <c r="AI37" s="194"/>
      <c r="AJ37" s="194"/>
      <c r="AK37" s="194"/>
      <c r="AL37" s="194"/>
      <c r="AM37" s="194"/>
      <c r="AN37" s="194"/>
      <c r="AO37" s="194"/>
      <c r="AP37" s="5"/>
      <c r="AQ37" s="5"/>
      <c r="AR37" s="5"/>
      <c r="AS37" s="5"/>
    </row>
    <row r="38" spans="1:45" x14ac:dyDescent="0.25">
      <c r="A38" s="194" t="s">
        <v>142</v>
      </c>
      <c r="B38" s="755">
        <f t="shared" si="13"/>
        <v>14835</v>
      </c>
      <c r="C38" s="767">
        <v>14835</v>
      </c>
      <c r="D38" s="767">
        <v>12240</v>
      </c>
      <c r="E38" s="767">
        <v>12000</v>
      </c>
      <c r="F38" s="767">
        <v>11220</v>
      </c>
      <c r="G38" s="767">
        <v>10741</v>
      </c>
      <c r="H38" s="767">
        <v>10500</v>
      </c>
      <c r="I38" s="768">
        <v>10164</v>
      </c>
      <c r="J38" s="194"/>
      <c r="K38" s="194"/>
      <c r="L38" s="194"/>
      <c r="M38" s="194"/>
      <c r="N38" s="194"/>
      <c r="O38" s="194"/>
      <c r="P38" s="194"/>
      <c r="Q38" s="194"/>
      <c r="R38" s="194"/>
      <c r="S38" s="194"/>
      <c r="T38" s="194"/>
      <c r="U38" s="194"/>
      <c r="V38" s="194"/>
      <c r="W38" s="194"/>
      <c r="X38" s="194"/>
      <c r="Y38" s="194"/>
      <c r="Z38" s="194"/>
      <c r="AA38" s="194"/>
      <c r="AB38" s="194"/>
      <c r="AC38" s="194"/>
      <c r="AD38" s="194"/>
      <c r="AE38" s="194"/>
      <c r="AF38" s="194"/>
      <c r="AG38" s="194"/>
      <c r="AH38" s="194"/>
      <c r="AI38" s="194"/>
      <c r="AJ38" s="194"/>
      <c r="AK38" s="194"/>
      <c r="AL38" s="194"/>
      <c r="AM38" s="194"/>
      <c r="AN38" s="194"/>
      <c r="AO38" s="194"/>
      <c r="AP38" s="5"/>
      <c r="AQ38" s="5"/>
      <c r="AR38" s="5"/>
      <c r="AS38" s="5"/>
    </row>
    <row r="39" spans="1:45" x14ac:dyDescent="0.25">
      <c r="A39" s="194" t="s">
        <v>491</v>
      </c>
      <c r="B39" s="755">
        <f t="shared" si="13"/>
        <v>13425.339366515836</v>
      </c>
      <c r="C39" s="767">
        <f>C38/1.105</f>
        <v>13425.339366515836</v>
      </c>
      <c r="D39" s="767">
        <f>D38/1.105</f>
        <v>11076.923076923076</v>
      </c>
      <c r="E39" s="767">
        <f>E38/1.105</f>
        <v>10859.728506787331</v>
      </c>
      <c r="F39" s="767">
        <f>F38/1.105</f>
        <v>10153.846153846154</v>
      </c>
      <c r="G39" s="767">
        <f>G38*0.91</f>
        <v>9774.31</v>
      </c>
      <c r="H39" s="767">
        <f>H38*0.91</f>
        <v>9555</v>
      </c>
      <c r="I39" s="767">
        <f>I38*0.91</f>
        <v>9249.24</v>
      </c>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5"/>
      <c r="AQ39" s="5"/>
      <c r="AR39" s="5"/>
      <c r="AS39" s="5"/>
    </row>
    <row r="40" spans="1:45" x14ac:dyDescent="0.25">
      <c r="A40" s="194" t="s">
        <v>492</v>
      </c>
      <c r="B40" s="753">
        <f t="shared" si="13"/>
        <v>0.4</v>
      </c>
      <c r="C40" s="774">
        <v>0.4</v>
      </c>
      <c r="D40" s="774">
        <v>0.63</v>
      </c>
      <c r="E40" s="774">
        <v>0.52</v>
      </c>
      <c r="F40" s="774">
        <v>0.69</v>
      </c>
      <c r="G40" s="774">
        <v>0.71</v>
      </c>
      <c r="H40" s="774">
        <v>0.72</v>
      </c>
      <c r="I40" s="774">
        <v>0.75</v>
      </c>
      <c r="J40" s="194"/>
      <c r="K40" s="194"/>
      <c r="L40" s="194"/>
      <c r="M40" s="194"/>
      <c r="N40" s="194"/>
      <c r="O40" s="194"/>
      <c r="P40" s="194"/>
      <c r="Q40" s="194"/>
      <c r="R40" s="194"/>
      <c r="S40" s="194"/>
      <c r="T40" s="194"/>
      <c r="U40" s="194"/>
      <c r="V40" s="194"/>
      <c r="W40" s="194"/>
      <c r="X40" s="194"/>
      <c r="Y40" s="194"/>
      <c r="Z40" s="194"/>
      <c r="AA40" s="194"/>
      <c r="AB40" s="194"/>
      <c r="AC40" s="194"/>
      <c r="AD40" s="194"/>
      <c r="AE40" s="194"/>
      <c r="AF40" s="194"/>
      <c r="AG40" s="194"/>
      <c r="AH40" s="194"/>
      <c r="AI40" s="194"/>
      <c r="AJ40" s="194"/>
      <c r="AK40" s="194"/>
      <c r="AL40" s="194"/>
      <c r="AM40" s="194"/>
      <c r="AN40" s="194"/>
      <c r="AO40" s="194"/>
      <c r="AP40" s="5"/>
      <c r="AQ40" s="5"/>
      <c r="AR40" s="5"/>
      <c r="AS40" s="5"/>
    </row>
    <row r="41" spans="1:45" x14ac:dyDescent="0.25">
      <c r="A41" s="194" t="s">
        <v>493</v>
      </c>
      <c r="B41" s="758">
        <f t="shared" si="13"/>
        <v>0</v>
      </c>
      <c r="C41" s="194"/>
      <c r="D41" s="194"/>
      <c r="E41" s="194"/>
      <c r="F41" s="194"/>
      <c r="G41" s="194"/>
      <c r="H41" s="194"/>
      <c r="I41" s="194"/>
      <c r="J41" s="194"/>
      <c r="K41" s="194"/>
      <c r="L41" s="194"/>
      <c r="M41" s="194"/>
      <c r="N41" s="194"/>
      <c r="O41" s="194"/>
      <c r="P41" s="194"/>
      <c r="Q41" s="194"/>
      <c r="R41" s="194"/>
      <c r="S41" s="194"/>
      <c r="T41" s="194"/>
      <c r="U41" s="194"/>
      <c r="V41" s="194"/>
      <c r="W41" s="194"/>
      <c r="X41" s="194"/>
      <c r="Y41" s="194"/>
      <c r="Z41" s="194"/>
      <c r="AA41" s="194"/>
      <c r="AB41" s="194"/>
      <c r="AC41" s="194"/>
      <c r="AD41" s="194"/>
      <c r="AE41" s="194"/>
      <c r="AF41" s="194"/>
      <c r="AG41" s="194"/>
      <c r="AH41" s="194"/>
      <c r="AI41" s="194"/>
      <c r="AJ41" s="194"/>
      <c r="AK41" s="194"/>
      <c r="AL41" s="194"/>
      <c r="AM41" s="194"/>
      <c r="AN41" s="194"/>
      <c r="AO41" s="194"/>
      <c r="AP41" s="5"/>
      <c r="AQ41" s="5"/>
      <c r="AR41" s="5"/>
      <c r="AS41" s="5"/>
    </row>
    <row r="42" spans="1:45" x14ac:dyDescent="0.25">
      <c r="A42" s="194" t="s">
        <v>494</v>
      </c>
      <c r="B42" s="758">
        <f t="shared" si="13"/>
        <v>0.15</v>
      </c>
      <c r="C42" s="774">
        <v>0.15</v>
      </c>
      <c r="D42" s="774">
        <v>0.15</v>
      </c>
      <c r="E42" s="774">
        <v>0.15</v>
      </c>
      <c r="F42" s="774">
        <v>0.15</v>
      </c>
      <c r="G42" s="774">
        <v>0.15</v>
      </c>
      <c r="H42" s="774">
        <v>0.15</v>
      </c>
      <c r="I42" s="774">
        <v>0.15</v>
      </c>
      <c r="J42" s="194"/>
      <c r="K42" s="194"/>
      <c r="L42" s="194"/>
      <c r="M42" s="194"/>
      <c r="N42" s="194"/>
      <c r="O42" s="194"/>
      <c r="P42" s="194"/>
      <c r="Q42" s="194"/>
      <c r="R42" s="194"/>
      <c r="S42" s="194"/>
      <c r="T42" s="194"/>
      <c r="U42" s="194"/>
      <c r="V42" s="194"/>
      <c r="W42" s="194"/>
      <c r="X42" s="194"/>
      <c r="Y42" s="194"/>
      <c r="Z42" s="194"/>
      <c r="AA42" s="194"/>
      <c r="AB42" s="194"/>
      <c r="AC42" s="194"/>
      <c r="AD42" s="194"/>
      <c r="AE42" s="194"/>
      <c r="AF42" s="194"/>
      <c r="AG42" s="194"/>
      <c r="AH42" s="194"/>
      <c r="AI42" s="194"/>
      <c r="AJ42" s="194"/>
      <c r="AK42" s="194"/>
      <c r="AL42" s="194"/>
      <c r="AM42" s="194"/>
      <c r="AN42" s="194"/>
      <c r="AO42" s="194"/>
      <c r="AP42" s="5"/>
      <c r="AQ42" s="5"/>
      <c r="AR42" s="5"/>
      <c r="AS42" s="5"/>
    </row>
    <row r="43" spans="1:45" x14ac:dyDescent="0.25">
      <c r="A43" s="194" t="s">
        <v>462</v>
      </c>
      <c r="B43" s="761">
        <f t="shared" si="13"/>
        <v>3.144590495449949E-2</v>
      </c>
      <c r="C43" s="762">
        <f t="shared" ref="C43:I43" si="15">C44*1000/C38</f>
        <v>3.144590495449949E-2</v>
      </c>
      <c r="D43" s="762">
        <f t="shared" si="15"/>
        <v>3.8112745098039212E-2</v>
      </c>
      <c r="E43" s="762">
        <f t="shared" si="15"/>
        <v>3.8874999999999993E-2</v>
      </c>
      <c r="F43" s="762">
        <f t="shared" si="15"/>
        <v>4.1577540106951867E-2</v>
      </c>
      <c r="G43" s="762">
        <f t="shared" si="15"/>
        <v>4.3431710269062465E-2</v>
      </c>
      <c r="H43" s="762">
        <f t="shared" si="15"/>
        <v>4.4428571428571421E-2</v>
      </c>
      <c r="I43" s="762">
        <f t="shared" si="15"/>
        <v>4.5897284533648164E-2</v>
      </c>
      <c r="J43" s="194"/>
      <c r="K43" s="194"/>
      <c r="L43" s="194"/>
      <c r="M43" s="194"/>
      <c r="N43" s="194"/>
      <c r="O43" s="194"/>
      <c r="P43" s="194"/>
      <c r="Q43" s="194"/>
      <c r="R43" s="194"/>
      <c r="S43" s="194"/>
      <c r="T43" s="194"/>
      <c r="U43" s="194"/>
      <c r="V43" s="194"/>
      <c r="W43" s="194"/>
      <c r="X43" s="194"/>
      <c r="Y43" s="194"/>
      <c r="Z43" s="194"/>
      <c r="AA43" s="194"/>
      <c r="AB43" s="194"/>
      <c r="AC43" s="194"/>
      <c r="AD43" s="194"/>
      <c r="AE43" s="194"/>
      <c r="AF43" s="194"/>
      <c r="AG43" s="194"/>
      <c r="AH43" s="194"/>
      <c r="AI43" s="194"/>
      <c r="AJ43" s="194"/>
      <c r="AK43" s="194"/>
      <c r="AL43" s="194"/>
      <c r="AM43" s="194"/>
      <c r="AN43" s="194"/>
      <c r="AO43" s="194"/>
      <c r="AP43" s="5"/>
      <c r="AQ43" s="5"/>
      <c r="AR43" s="5"/>
      <c r="AS43" s="5"/>
    </row>
    <row r="44" spans="1:45" x14ac:dyDescent="0.25">
      <c r="A44" s="194" t="s">
        <v>226</v>
      </c>
      <c r="B44" s="758">
        <f t="shared" si="13"/>
        <v>0.46649999999999997</v>
      </c>
      <c r="C44" s="775">
        <f t="shared" ref="C44:I44" si="16">C42*gmhphrlbMWh</f>
        <v>0.46649999999999997</v>
      </c>
      <c r="D44" s="775">
        <f t="shared" si="16"/>
        <v>0.46649999999999997</v>
      </c>
      <c r="E44" s="775">
        <f t="shared" si="16"/>
        <v>0.46649999999999997</v>
      </c>
      <c r="F44" s="775">
        <f t="shared" si="16"/>
        <v>0.46649999999999997</v>
      </c>
      <c r="G44" s="775">
        <f t="shared" si="16"/>
        <v>0.46649999999999997</v>
      </c>
      <c r="H44" s="775">
        <f t="shared" si="16"/>
        <v>0.46649999999999997</v>
      </c>
      <c r="I44" s="775">
        <f t="shared" si="16"/>
        <v>0.46649999999999997</v>
      </c>
      <c r="J44" s="194"/>
      <c r="K44" s="194"/>
      <c r="L44" s="194"/>
      <c r="M44" s="194"/>
      <c r="N44" s="194"/>
      <c r="O44" s="194"/>
      <c r="P44" s="194"/>
      <c r="Q44" s="194"/>
      <c r="R44" s="194"/>
      <c r="S44" s="194"/>
      <c r="T44" s="194"/>
      <c r="U44" s="194"/>
      <c r="V44" s="194"/>
      <c r="W44" s="194"/>
      <c r="X44" s="194"/>
      <c r="Y44" s="194"/>
      <c r="Z44" s="194"/>
      <c r="AA44" s="194"/>
      <c r="AB44" s="194"/>
      <c r="AC44" s="194"/>
      <c r="AD44" s="194"/>
      <c r="AE44" s="194"/>
      <c r="AF44" s="194"/>
      <c r="AG44" s="194"/>
      <c r="AH44" s="194"/>
      <c r="AI44" s="194"/>
      <c r="AJ44" s="194"/>
      <c r="AK44" s="194"/>
      <c r="AL44" s="194"/>
      <c r="AM44" s="194"/>
      <c r="AN44" s="194"/>
      <c r="AO44" s="194"/>
      <c r="AP44" s="5"/>
      <c r="AQ44" s="5"/>
      <c r="AR44" s="5"/>
      <c r="AS44" s="5"/>
    </row>
    <row r="45" spans="1:45" x14ac:dyDescent="0.25">
      <c r="A45" s="194" t="s">
        <v>464</v>
      </c>
      <c r="B45" s="763">
        <f t="shared" si="13"/>
        <v>5.9999999999999995E-4</v>
      </c>
      <c r="C45" s="776">
        <v>5.9999999999999995E-4</v>
      </c>
      <c r="D45" s="776">
        <v>5.9999999999999995E-4</v>
      </c>
      <c r="E45" s="776">
        <v>5.9999999999999995E-4</v>
      </c>
      <c r="F45" s="776">
        <v>5.9999999999999995E-4</v>
      </c>
      <c r="G45" s="776">
        <v>5.9999999999999995E-4</v>
      </c>
      <c r="H45" s="776">
        <v>5.9999999999999995E-4</v>
      </c>
      <c r="I45" s="777">
        <f>0.000584/1.03</f>
        <v>5.669902912621359E-4</v>
      </c>
      <c r="J45" s="194"/>
      <c r="K45" s="194"/>
      <c r="L45" s="194"/>
      <c r="M45" s="194"/>
      <c r="N45" s="194"/>
      <c r="O45" s="194"/>
      <c r="P45" s="194"/>
      <c r="Q45" s="194"/>
      <c r="R45" s="194"/>
      <c r="S45" s="194"/>
      <c r="T45" s="194"/>
      <c r="U45" s="194"/>
      <c r="V45" s="194"/>
      <c r="W45" s="194"/>
      <c r="X45" s="194"/>
      <c r="Y45" s="194"/>
      <c r="Z45" s="194"/>
      <c r="AA45" s="194"/>
      <c r="AB45" s="194"/>
      <c r="AC45" s="194"/>
      <c r="AD45" s="194"/>
      <c r="AE45" s="194"/>
      <c r="AF45" s="194"/>
      <c r="AG45" s="194"/>
      <c r="AH45" s="194"/>
      <c r="AI45" s="194"/>
      <c r="AJ45" s="194"/>
      <c r="AK45" s="194"/>
      <c r="AL45" s="194"/>
      <c r="AM45" s="194"/>
      <c r="AN45" s="194"/>
      <c r="AO45" s="194"/>
      <c r="AP45" s="5"/>
      <c r="AQ45" s="5"/>
      <c r="AR45" s="5"/>
      <c r="AS45" s="5"/>
    </row>
    <row r="46" spans="1:45" x14ac:dyDescent="0.25">
      <c r="A46" s="194" t="s">
        <v>227</v>
      </c>
      <c r="B46" s="763">
        <f t="shared" si="13"/>
        <v>8.9009999999999992E-3</v>
      </c>
      <c r="C46" s="764">
        <f t="shared" ref="C46:I46" si="17">C45*C38/1000</f>
        <v>8.9009999999999992E-3</v>
      </c>
      <c r="D46" s="764">
        <f t="shared" si="17"/>
        <v>7.3439999999999998E-3</v>
      </c>
      <c r="E46" s="764">
        <f t="shared" si="17"/>
        <v>7.1999999999999989E-3</v>
      </c>
      <c r="F46" s="764">
        <f t="shared" si="17"/>
        <v>6.7319999999999993E-3</v>
      </c>
      <c r="G46" s="764">
        <f t="shared" si="17"/>
        <v>6.4445999999999991E-3</v>
      </c>
      <c r="H46" s="764">
        <f t="shared" si="17"/>
        <v>6.3E-3</v>
      </c>
      <c r="I46" s="764">
        <f t="shared" si="17"/>
        <v>5.7628893203883489E-3</v>
      </c>
      <c r="J46" s="194"/>
      <c r="K46" s="194"/>
      <c r="L46" s="194"/>
      <c r="M46" s="194"/>
      <c r="N46" s="194"/>
      <c r="O46" s="194"/>
      <c r="P46" s="194"/>
      <c r="Q46" s="194"/>
      <c r="R46" s="194"/>
      <c r="S46" s="194"/>
      <c r="T46" s="194"/>
      <c r="U46" s="194"/>
      <c r="V46" s="194"/>
      <c r="W46" s="194"/>
      <c r="X46" s="194"/>
      <c r="Y46" s="194"/>
      <c r="Z46" s="194"/>
      <c r="AA46" s="194"/>
      <c r="AB46" s="194"/>
      <c r="AC46" s="194"/>
      <c r="AD46" s="194"/>
      <c r="AE46" s="194"/>
      <c r="AF46" s="194"/>
      <c r="AG46" s="194"/>
      <c r="AH46" s="194"/>
      <c r="AI46" s="194"/>
      <c r="AJ46" s="194"/>
      <c r="AK46" s="194"/>
      <c r="AL46" s="194"/>
      <c r="AM46" s="194"/>
      <c r="AN46" s="194"/>
      <c r="AO46" s="194"/>
      <c r="AP46" s="5"/>
      <c r="AQ46" s="5"/>
      <c r="AR46" s="5"/>
      <c r="AS46" s="5"/>
    </row>
    <row r="47" spans="1:45" ht="13" thickBot="1" x14ac:dyDescent="0.3">
      <c r="A47" s="194" t="s">
        <v>228</v>
      </c>
      <c r="B47" s="765">
        <f t="shared" si="13"/>
        <v>1734.2114999999999</v>
      </c>
      <c r="C47" s="766">
        <f t="shared" ref="C47:I47" si="18">co2gas*C38/1000</f>
        <v>1734.2114999999999</v>
      </c>
      <c r="D47" s="766">
        <f t="shared" si="18"/>
        <v>1430.856</v>
      </c>
      <c r="E47" s="766">
        <f t="shared" si="18"/>
        <v>1402.8</v>
      </c>
      <c r="F47" s="766">
        <f t="shared" si="18"/>
        <v>1311.6179999999999</v>
      </c>
      <c r="G47" s="766">
        <f t="shared" si="18"/>
        <v>1255.6229000000001</v>
      </c>
      <c r="H47" s="766">
        <f t="shared" si="18"/>
        <v>1227.45</v>
      </c>
      <c r="I47" s="766">
        <f t="shared" si="18"/>
        <v>1188.1716000000001</v>
      </c>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c r="AN47" s="194"/>
      <c r="AO47" s="194"/>
      <c r="AP47" s="5"/>
      <c r="AQ47" s="5"/>
      <c r="AR47" s="5"/>
      <c r="AS47" s="5"/>
    </row>
    <row r="50" spans="1:45" ht="13" thickBot="1" x14ac:dyDescent="0.3">
      <c r="A50" s="194"/>
      <c r="B50" s="194"/>
      <c r="C50" s="194"/>
      <c r="D50" s="194"/>
      <c r="E50" s="194"/>
      <c r="F50" s="194"/>
      <c r="G50" s="194"/>
      <c r="H50" s="194"/>
      <c r="I50" s="194"/>
      <c r="J50" s="194"/>
      <c r="K50" s="194"/>
      <c r="L50" s="194"/>
      <c r="M50" s="194"/>
      <c r="N50" s="194"/>
      <c r="O50" s="194"/>
      <c r="P50" s="194"/>
      <c r="Q50" s="194"/>
      <c r="R50" s="194"/>
      <c r="S50" s="194"/>
      <c r="T50" s="194"/>
      <c r="U50" s="194"/>
      <c r="V50" s="194"/>
      <c r="W50" s="194"/>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row>
    <row r="51" spans="1:45" ht="13" x14ac:dyDescent="0.3">
      <c r="A51" s="1"/>
      <c r="B51" s="117" t="s">
        <v>495</v>
      </c>
      <c r="C51" s="194"/>
      <c r="D51" s="194"/>
      <c r="E51" s="194"/>
      <c r="F51" s="194"/>
      <c r="G51" s="194"/>
      <c r="H51" s="194"/>
      <c r="I51" s="194"/>
      <c r="J51" s="194"/>
      <c r="K51" s="194"/>
      <c r="L51" s="194"/>
      <c r="M51" s="194"/>
      <c r="N51" s="194"/>
      <c r="O51" s="194"/>
      <c r="P51" s="194"/>
      <c r="Q51" s="194"/>
      <c r="R51" s="194"/>
      <c r="S51" s="194"/>
      <c r="T51" s="194"/>
      <c r="U51" s="194"/>
      <c r="V51" s="194"/>
      <c r="W51" s="194"/>
      <c r="X51" s="194"/>
      <c r="Y51" s="194"/>
      <c r="Z51" s="194"/>
      <c r="AA51" s="194"/>
      <c r="AB51" s="194"/>
      <c r="AC51" s="194"/>
      <c r="AD51" s="194"/>
      <c r="AE51" s="194"/>
      <c r="AF51" s="194"/>
      <c r="AG51" s="194"/>
      <c r="AH51" s="194"/>
      <c r="AI51" s="194"/>
      <c r="AJ51" s="194"/>
      <c r="AK51" s="194"/>
      <c r="AL51" s="194"/>
      <c r="AM51" s="194"/>
      <c r="AN51" s="194"/>
      <c r="AO51" s="194"/>
      <c r="AP51" s="194"/>
      <c r="AQ51" s="194"/>
      <c r="AR51" s="194"/>
      <c r="AS51" s="194"/>
    </row>
    <row r="52" spans="1:45" ht="13" x14ac:dyDescent="0.3">
      <c r="A52" s="1"/>
      <c r="B52" s="753" t="s">
        <v>498</v>
      </c>
      <c r="C52" s="194"/>
      <c r="D52" s="194"/>
      <c r="E52" s="194"/>
      <c r="F52" s="194"/>
      <c r="G52" s="194"/>
      <c r="H52" s="194"/>
      <c r="I52" s="194"/>
      <c r="J52" s="194"/>
      <c r="K52" s="194"/>
      <c r="L52" s="194"/>
      <c r="M52" s="194"/>
      <c r="N52" s="194"/>
      <c r="O52" s="194"/>
      <c r="P52" s="194"/>
      <c r="Q52" s="194"/>
      <c r="R52" s="194"/>
      <c r="S52" s="194"/>
      <c r="T52" s="194"/>
      <c r="U52" s="194"/>
      <c r="V52" s="194"/>
      <c r="W52" s="194"/>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row>
    <row r="53" spans="1:45" x14ac:dyDescent="0.25">
      <c r="A53" s="194"/>
      <c r="B53" s="753">
        <f>IF(chptechinput=2,2,0)</f>
        <v>0</v>
      </c>
      <c r="C53" s="194">
        <v>2</v>
      </c>
      <c r="D53" s="194">
        <v>2</v>
      </c>
      <c r="E53" s="194">
        <v>2</v>
      </c>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194"/>
      <c r="AH53" s="194"/>
      <c r="AI53" s="194"/>
      <c r="AJ53" s="194"/>
      <c r="AK53" s="194"/>
      <c r="AL53" s="194"/>
      <c r="AM53" s="194"/>
      <c r="AN53" s="194"/>
      <c r="AO53" s="5"/>
      <c r="AP53" s="5"/>
      <c r="AQ53" s="5"/>
      <c r="AR53" s="5"/>
      <c r="AS53" s="5"/>
    </row>
    <row r="54" spans="1:45" s="48" customFormat="1" x14ac:dyDescent="0.25">
      <c r="A54" s="250"/>
      <c r="B54" s="753" t="str">
        <f>IF(B$55*chptechcaplow&lt;B$56,C54,IF(B$55*chptechcaphigh&gt;B$57,E54,LOOKUP(B$55,C$55:S$55,C54:S54)))</f>
        <v>Recip Lean Burn</v>
      </c>
      <c r="C54" s="194" t="s">
        <v>498</v>
      </c>
      <c r="D54" s="194" t="s">
        <v>498</v>
      </c>
      <c r="E54" s="194" t="s">
        <v>498</v>
      </c>
      <c r="F54" s="250"/>
      <c r="G54" s="250"/>
      <c r="H54" s="250"/>
      <c r="I54" s="194"/>
      <c r="J54" s="194"/>
      <c r="K54" s="194"/>
      <c r="L54" s="250"/>
      <c r="M54" s="250"/>
      <c r="N54" s="194"/>
      <c r="O54" s="194"/>
      <c r="P54" s="250"/>
      <c r="Q54" s="250"/>
      <c r="R54" s="250"/>
      <c r="S54" s="250"/>
      <c r="T54" s="250"/>
      <c r="U54" s="250"/>
      <c r="V54" s="250"/>
      <c r="W54" s="250"/>
      <c r="X54" s="250"/>
      <c r="Y54" s="250"/>
      <c r="Z54" s="250"/>
      <c r="AA54" s="250"/>
      <c r="AB54" s="250"/>
      <c r="AC54" s="250"/>
      <c r="AD54" s="250"/>
      <c r="AE54" s="250"/>
      <c r="AF54" s="250"/>
      <c r="AG54" s="250"/>
      <c r="AH54" s="250"/>
      <c r="AI54" s="250"/>
      <c r="AJ54" s="250"/>
      <c r="AK54" s="250"/>
      <c r="AL54" s="250"/>
      <c r="AM54" s="250"/>
      <c r="AN54" s="250"/>
    </row>
    <row r="55" spans="1:45" s="49" customFormat="1" x14ac:dyDescent="0.25">
      <c r="A55" s="754" t="s">
        <v>484</v>
      </c>
      <c r="B55" s="755">
        <f>chpcapinput</f>
        <v>0</v>
      </c>
      <c r="C55" s="747">
        <v>500</v>
      </c>
      <c r="D55" s="747">
        <v>3000</v>
      </c>
      <c r="E55" s="747">
        <v>5000</v>
      </c>
      <c r="F55" s="757"/>
      <c r="G55" s="757"/>
      <c r="H55" s="757"/>
      <c r="I55" s="194"/>
      <c r="J55" s="194"/>
      <c r="K55" s="194"/>
      <c r="L55" s="757"/>
      <c r="M55" s="757"/>
      <c r="N55" s="194"/>
      <c r="O55" s="194"/>
      <c r="P55" s="757"/>
      <c r="Q55" s="757"/>
      <c r="R55" s="757"/>
      <c r="S55" s="757"/>
      <c r="T55" s="757"/>
      <c r="U55" s="757"/>
      <c r="V55" s="757"/>
      <c r="W55" s="757"/>
      <c r="X55" s="757"/>
      <c r="Y55" s="757"/>
      <c r="Z55" s="757"/>
      <c r="AA55" s="757"/>
      <c r="AB55" s="757"/>
      <c r="AC55" s="757"/>
      <c r="AD55" s="757"/>
      <c r="AE55" s="757"/>
      <c r="AF55" s="757"/>
      <c r="AG55" s="757"/>
      <c r="AH55" s="757"/>
      <c r="AI55" s="757"/>
      <c r="AJ55" s="757"/>
      <c r="AK55" s="757"/>
      <c r="AL55" s="757"/>
      <c r="AM55" s="757"/>
      <c r="AN55" s="757"/>
    </row>
    <row r="56" spans="1:45" s="49" customFormat="1" x14ac:dyDescent="0.25">
      <c r="A56" s="754" t="s">
        <v>485</v>
      </c>
      <c r="B56" s="755">
        <f>chptechcaplow*MIN(C55:AV55)</f>
        <v>500</v>
      </c>
      <c r="C56" s="747"/>
      <c r="D56" s="747"/>
      <c r="E56" s="747"/>
      <c r="F56" s="757"/>
      <c r="G56" s="757"/>
      <c r="H56" s="757"/>
      <c r="I56" s="194"/>
      <c r="J56" s="194"/>
      <c r="K56" s="194"/>
      <c r="L56" s="757"/>
      <c r="M56" s="757"/>
      <c r="N56" s="194"/>
      <c r="O56" s="194"/>
      <c r="P56" s="757"/>
      <c r="Q56" s="757"/>
      <c r="R56" s="757"/>
      <c r="S56" s="757"/>
      <c r="T56" s="757"/>
      <c r="U56" s="757"/>
      <c r="V56" s="757"/>
      <c r="W56" s="757"/>
      <c r="X56" s="757"/>
      <c r="Y56" s="757"/>
      <c r="Z56" s="757"/>
      <c r="AA56" s="757"/>
      <c r="AB56" s="757"/>
      <c r="AC56" s="757"/>
      <c r="AD56" s="757"/>
      <c r="AE56" s="757"/>
      <c r="AF56" s="757"/>
      <c r="AG56" s="757"/>
      <c r="AH56" s="757"/>
      <c r="AI56" s="757"/>
      <c r="AJ56" s="757"/>
      <c r="AK56" s="757"/>
      <c r="AL56" s="757"/>
      <c r="AM56" s="757"/>
      <c r="AN56" s="757"/>
    </row>
    <row r="57" spans="1:45" s="49" customFormat="1" x14ac:dyDescent="0.25">
      <c r="A57" s="754" t="s">
        <v>486</v>
      </c>
      <c r="B57" s="755">
        <f>chptechcaphigh*MAX(C55:AV55)</f>
        <v>5000</v>
      </c>
      <c r="C57" s="747"/>
      <c r="D57" s="747"/>
      <c r="E57" s="747"/>
      <c r="F57" s="757"/>
      <c r="G57" s="757"/>
      <c r="H57" s="757"/>
      <c r="I57" s="194"/>
      <c r="J57" s="194"/>
      <c r="K57" s="194"/>
      <c r="L57" s="757"/>
      <c r="M57" s="757"/>
      <c r="N57" s="194"/>
      <c r="O57" s="194"/>
      <c r="P57" s="757"/>
      <c r="Q57" s="757"/>
      <c r="R57" s="757"/>
      <c r="S57" s="757"/>
      <c r="T57" s="757"/>
      <c r="U57" s="757"/>
      <c r="V57" s="757"/>
      <c r="W57" s="757"/>
      <c r="X57" s="757"/>
      <c r="Y57" s="757"/>
      <c r="Z57" s="757"/>
      <c r="AA57" s="757"/>
      <c r="AB57" s="757"/>
      <c r="AC57" s="757"/>
      <c r="AD57" s="757"/>
      <c r="AE57" s="757"/>
      <c r="AF57" s="757"/>
      <c r="AG57" s="757"/>
      <c r="AH57" s="757"/>
      <c r="AI57" s="757"/>
      <c r="AJ57" s="757"/>
      <c r="AK57" s="757"/>
      <c r="AL57" s="757"/>
      <c r="AM57" s="757"/>
      <c r="AN57" s="757"/>
    </row>
    <row r="58" spans="1:45" x14ac:dyDescent="0.25">
      <c r="A58" s="194" t="s">
        <v>487</v>
      </c>
      <c r="B58" s="771">
        <f>IF(B$55*chptechcaplow&lt;B$56,C58,IF(B$55*chptechcaphigh&gt;B$57,E58,LOOKUP(B$55,C$55:S$55,C58:S58)))</f>
        <v>0</v>
      </c>
      <c r="C58" s="194"/>
      <c r="D58" s="194"/>
      <c r="E58" s="194"/>
      <c r="F58" s="194"/>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4"/>
      <c r="AE58" s="194"/>
      <c r="AF58" s="194"/>
      <c r="AG58" s="194"/>
      <c r="AH58" s="194"/>
      <c r="AI58" s="194"/>
      <c r="AJ58" s="194"/>
      <c r="AK58" s="194"/>
      <c r="AL58" s="194"/>
      <c r="AM58" s="194"/>
      <c r="AN58" s="194"/>
      <c r="AO58" s="5"/>
      <c r="AP58" s="5"/>
      <c r="AQ58" s="5"/>
      <c r="AR58" s="5"/>
      <c r="AS58" s="5"/>
    </row>
    <row r="59" spans="1:45" x14ac:dyDescent="0.25">
      <c r="A59" s="194" t="s">
        <v>488</v>
      </c>
      <c r="B59" s="771" t="str">
        <f>IF(B$55*chptechcaplow&lt;B$56,C59,IF(B$55*chptechcaphigh&gt;B$57,E59,LOOKUP(B$55,C$55:S$55,C59:S59)))</f>
        <v>Natural Gas</v>
      </c>
      <c r="C59" s="194" t="s">
        <v>401</v>
      </c>
      <c r="D59" s="194" t="s">
        <v>401</v>
      </c>
      <c r="E59" s="194" t="s">
        <v>401</v>
      </c>
      <c r="F59" s="194"/>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4"/>
      <c r="AE59" s="194"/>
      <c r="AF59" s="194"/>
      <c r="AG59" s="194"/>
      <c r="AH59" s="194"/>
      <c r="AI59" s="194"/>
      <c r="AJ59" s="194"/>
      <c r="AK59" s="194"/>
      <c r="AL59" s="194"/>
      <c r="AM59" s="194"/>
      <c r="AN59" s="194"/>
      <c r="AO59" s="5"/>
      <c r="AP59" s="5"/>
      <c r="AQ59" s="5"/>
      <c r="AR59" s="5"/>
      <c r="AS59" s="5"/>
    </row>
    <row r="60" spans="1:45" x14ac:dyDescent="0.25">
      <c r="A60" s="194"/>
      <c r="B60" s="771"/>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5"/>
      <c r="AP60" s="5"/>
      <c r="AQ60" s="5"/>
      <c r="AR60" s="5"/>
      <c r="AS60" s="5"/>
    </row>
    <row r="61" spans="1:45" x14ac:dyDescent="0.25">
      <c r="A61" s="194" t="s">
        <v>490</v>
      </c>
      <c r="B61" s="772">
        <f t="shared" ref="B61:B71" si="19">IF(B$55*chptechcaplow&lt;B$56,C61,IF(B$55*chptechcaphigh&gt;B$57,E61,LOOKUP(B$55,C$55:S$55,C61:S61)))</f>
        <v>0.34959016393442621</v>
      </c>
      <c r="C61" s="778">
        <f>3412/C62</f>
        <v>0.34959016393442621</v>
      </c>
      <c r="D61" s="778">
        <f>3412/D62</f>
        <v>0.35946059839865152</v>
      </c>
      <c r="E61" s="778">
        <f>3412/E62</f>
        <v>0.38958666362183147</v>
      </c>
      <c r="F61" s="194"/>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4"/>
      <c r="AE61" s="194"/>
      <c r="AF61" s="194"/>
      <c r="AG61" s="194"/>
      <c r="AH61" s="194"/>
      <c r="AI61" s="194"/>
      <c r="AJ61" s="194"/>
      <c r="AK61" s="194"/>
      <c r="AL61" s="194"/>
      <c r="AM61" s="194"/>
      <c r="AN61" s="194"/>
      <c r="AO61" s="5"/>
      <c r="AP61" s="5"/>
      <c r="AQ61" s="5"/>
      <c r="AR61" s="5"/>
      <c r="AS61" s="5"/>
    </row>
    <row r="62" spans="1:45" x14ac:dyDescent="0.25">
      <c r="A62" s="194" t="s">
        <v>142</v>
      </c>
      <c r="B62" s="755">
        <f t="shared" si="19"/>
        <v>9760</v>
      </c>
      <c r="C62" s="767">
        <v>9760</v>
      </c>
      <c r="D62" s="767">
        <v>9492</v>
      </c>
      <c r="E62" s="767">
        <v>8758</v>
      </c>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c r="AO62" s="5"/>
      <c r="AP62" s="5"/>
      <c r="AQ62" s="5"/>
      <c r="AR62" s="5"/>
      <c r="AS62" s="5"/>
    </row>
    <row r="63" spans="1:45" x14ac:dyDescent="0.25">
      <c r="A63" s="194" t="s">
        <v>491</v>
      </c>
      <c r="B63" s="755">
        <f t="shared" si="19"/>
        <v>8832.5791855203624</v>
      </c>
      <c r="C63" s="767">
        <f>C62/1.105</f>
        <v>8832.5791855203624</v>
      </c>
      <c r="D63" s="767">
        <f>D62/1.105</f>
        <v>8590.0452488687788</v>
      </c>
      <c r="E63" s="767">
        <f>E62/1.105</f>
        <v>7925.7918552036199</v>
      </c>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5"/>
      <c r="AP63" s="5"/>
      <c r="AQ63" s="5"/>
      <c r="AR63" s="5"/>
      <c r="AS63" s="5"/>
    </row>
    <row r="64" spans="1:45" x14ac:dyDescent="0.25">
      <c r="A64" s="194" t="s">
        <v>492</v>
      </c>
      <c r="B64" s="753">
        <f t="shared" si="19"/>
        <v>0.79</v>
      </c>
      <c r="C64" s="774">
        <v>0.79</v>
      </c>
      <c r="D64" s="774">
        <v>0.97</v>
      </c>
      <c r="E64" s="774">
        <v>1.1200000000000001</v>
      </c>
      <c r="F64" s="194"/>
      <c r="G64" s="194"/>
      <c r="H64" s="194"/>
      <c r="I64" s="194"/>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5"/>
      <c r="AP64" s="5"/>
      <c r="AQ64" s="5"/>
      <c r="AR64" s="5"/>
      <c r="AS64" s="5"/>
    </row>
    <row r="65" spans="1:45" x14ac:dyDescent="0.25">
      <c r="A65" s="194" t="s">
        <v>493</v>
      </c>
      <c r="B65" s="758">
        <f t="shared" si="19"/>
        <v>0</v>
      </c>
      <c r="C65" s="194"/>
      <c r="D65" s="194"/>
      <c r="E65" s="194"/>
      <c r="F65" s="194"/>
      <c r="G65" s="194"/>
      <c r="H65" s="194"/>
      <c r="I65" s="194"/>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5"/>
      <c r="AP65" s="5"/>
      <c r="AQ65" s="5"/>
      <c r="AR65" s="5"/>
      <c r="AS65" s="5"/>
    </row>
    <row r="66" spans="1:45" x14ac:dyDescent="0.25">
      <c r="A66" s="194" t="s">
        <v>494</v>
      </c>
      <c r="B66" s="758">
        <f t="shared" si="19"/>
        <v>0.7</v>
      </c>
      <c r="C66" s="774">
        <v>0.7</v>
      </c>
      <c r="D66" s="774">
        <v>0.7</v>
      </c>
      <c r="E66" s="774">
        <v>0.5</v>
      </c>
      <c r="F66" s="194"/>
      <c r="G66" s="194"/>
      <c r="H66" s="194"/>
      <c r="I66" s="194"/>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5"/>
      <c r="AP66" s="5"/>
      <c r="AQ66" s="5"/>
      <c r="AR66" s="5"/>
      <c r="AS66" s="5"/>
    </row>
    <row r="67" spans="1:45" x14ac:dyDescent="0.25">
      <c r="A67" s="194" t="s">
        <v>462</v>
      </c>
      <c r="B67" s="761">
        <f t="shared" si="19"/>
        <v>0.22305327868852454</v>
      </c>
      <c r="C67" s="762">
        <f>C68*1000/C62</f>
        <v>0.22305327868852454</v>
      </c>
      <c r="D67" s="762">
        <f>D68*1000/D62</f>
        <v>0.22935103244837754</v>
      </c>
      <c r="E67" s="762">
        <f>E68*1000/E62</f>
        <v>0.1775519525005709</v>
      </c>
      <c r="F67" s="194"/>
      <c r="G67" s="194"/>
      <c r="H67" s="194"/>
      <c r="I67" s="194"/>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5"/>
      <c r="AP67" s="5"/>
      <c r="AQ67" s="5"/>
      <c r="AR67" s="5"/>
      <c r="AS67" s="5"/>
    </row>
    <row r="68" spans="1:45" x14ac:dyDescent="0.25">
      <c r="A68" s="194" t="s">
        <v>226</v>
      </c>
      <c r="B68" s="758">
        <f t="shared" si="19"/>
        <v>2.1769999999999996</v>
      </c>
      <c r="C68" s="256">
        <f>C66*gmhphrlbMWh</f>
        <v>2.1769999999999996</v>
      </c>
      <c r="D68" s="256">
        <f>D66*gmhphrlbMWh</f>
        <v>2.1769999999999996</v>
      </c>
      <c r="E68" s="256">
        <f>E66*gmhphrlbMWh</f>
        <v>1.5549999999999999</v>
      </c>
      <c r="F68" s="194"/>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5"/>
      <c r="AP68" s="5"/>
      <c r="AQ68" s="5"/>
      <c r="AR68" s="5"/>
      <c r="AS68" s="5"/>
    </row>
    <row r="69" spans="1:45" x14ac:dyDescent="0.25">
      <c r="A69" s="194" t="s">
        <v>464</v>
      </c>
      <c r="B69" s="763">
        <f t="shared" si="19"/>
        <v>5.9999999999999995E-4</v>
      </c>
      <c r="C69" s="776">
        <v>5.9999999999999995E-4</v>
      </c>
      <c r="D69" s="776">
        <v>5.9999999999999995E-4</v>
      </c>
      <c r="E69" s="776">
        <v>5.9999999999999995E-4</v>
      </c>
      <c r="F69" s="194"/>
      <c r="G69" s="194"/>
      <c r="H69" s="194"/>
      <c r="I69" s="194"/>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5"/>
      <c r="AP69" s="5"/>
      <c r="AQ69" s="5"/>
      <c r="AR69" s="5"/>
      <c r="AS69" s="5"/>
    </row>
    <row r="70" spans="1:45" x14ac:dyDescent="0.25">
      <c r="A70" s="194" t="s">
        <v>227</v>
      </c>
      <c r="B70" s="763">
        <f t="shared" si="19"/>
        <v>5.8560000000000001E-3</v>
      </c>
      <c r="C70" s="764">
        <f>C69*C62/1000</f>
        <v>5.8560000000000001E-3</v>
      </c>
      <c r="D70" s="764">
        <f>D69*D62/1000</f>
        <v>5.6952000000000001E-3</v>
      </c>
      <c r="E70" s="764">
        <f>E69*E62/1000</f>
        <v>5.2547999999999996E-3</v>
      </c>
      <c r="F70" s="194"/>
      <c r="G70" s="194"/>
      <c r="H70" s="194"/>
      <c r="I70" s="194"/>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5"/>
      <c r="AP70" s="5"/>
      <c r="AQ70" s="5"/>
      <c r="AR70" s="5"/>
      <c r="AS70" s="5"/>
    </row>
    <row r="71" spans="1:45" ht="13" thickBot="1" x14ac:dyDescent="0.3">
      <c r="A71" s="194" t="s">
        <v>228</v>
      </c>
      <c r="B71" s="765">
        <f t="shared" si="19"/>
        <v>1140.944</v>
      </c>
      <c r="C71" s="766">
        <f>co2gas*C62/1000</f>
        <v>1140.944</v>
      </c>
      <c r="D71" s="766">
        <f>co2gas*D62/1000</f>
        <v>1109.6148000000001</v>
      </c>
      <c r="E71" s="766">
        <f>co2gas*E62/1000</f>
        <v>1023.8102000000001</v>
      </c>
      <c r="F71" s="194"/>
      <c r="G71" s="194"/>
      <c r="H71" s="194"/>
      <c r="I71" s="194"/>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5"/>
      <c r="AP71" s="5"/>
      <c r="AQ71" s="5"/>
      <c r="AR71" s="5"/>
      <c r="AS71" s="5"/>
    </row>
    <row r="74" spans="1:45" ht="13" thickBot="1" x14ac:dyDescent="0.3">
      <c r="A74" s="194"/>
      <c r="B74" s="194"/>
      <c r="C74" s="194"/>
      <c r="D74" s="194"/>
      <c r="E74" s="194"/>
      <c r="F74" s="194"/>
      <c r="G74" s="194"/>
      <c r="H74" s="194"/>
      <c r="I74" s="194"/>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row>
    <row r="75" spans="1:45" ht="13" x14ac:dyDescent="0.3">
      <c r="A75" s="1"/>
      <c r="B75" s="116" t="s">
        <v>495</v>
      </c>
      <c r="C75" s="194"/>
      <c r="D75" s="194"/>
      <c r="E75" s="194"/>
      <c r="F75" s="194"/>
      <c r="G75" s="194"/>
      <c r="H75" s="194"/>
      <c r="I75" s="194"/>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row>
    <row r="76" spans="1:45" ht="13.5" thickBot="1" x14ac:dyDescent="0.35">
      <c r="A76" s="1"/>
      <c r="B76" s="265" t="s">
        <v>499</v>
      </c>
      <c r="C76" s="194"/>
      <c r="D76" s="194"/>
      <c r="E76" s="194"/>
      <c r="F76" s="194"/>
      <c r="G76" s="194"/>
      <c r="H76" s="194"/>
      <c r="I76" s="194"/>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row>
    <row r="77" spans="1:45" x14ac:dyDescent="0.25">
      <c r="A77" s="194"/>
      <c r="B77" s="752">
        <f>IF(chptechinput=3,3,0)</f>
        <v>0</v>
      </c>
      <c r="C77" s="194">
        <v>3</v>
      </c>
      <c r="D77" s="194">
        <v>3</v>
      </c>
      <c r="E77" s="194">
        <v>3</v>
      </c>
      <c r="F77" s="194">
        <v>3</v>
      </c>
      <c r="G77" s="194">
        <v>3</v>
      </c>
      <c r="H77" s="194">
        <v>3</v>
      </c>
      <c r="I77" s="194">
        <v>3</v>
      </c>
      <c r="J77" s="194"/>
      <c r="K77" s="194"/>
      <c r="L77" s="194"/>
      <c r="M77" s="194"/>
      <c r="N77" s="194"/>
      <c r="O77" s="194"/>
      <c r="P77" s="194"/>
      <c r="Q77" s="194"/>
      <c r="R77" s="194"/>
      <c r="S77" s="194"/>
      <c r="T77" s="194"/>
      <c r="U77" s="194"/>
      <c r="V77" s="5"/>
      <c r="W77" s="5"/>
      <c r="X77" s="5"/>
      <c r="Y77" s="5"/>
      <c r="Z77" s="5"/>
      <c r="AA77" s="5"/>
      <c r="AB77" s="5"/>
      <c r="AC77" s="5"/>
      <c r="AD77" s="5"/>
      <c r="AE77" s="5"/>
      <c r="AF77" s="5"/>
      <c r="AG77" s="5"/>
      <c r="AH77" s="5"/>
      <c r="AI77" s="5"/>
      <c r="AJ77" s="5"/>
      <c r="AK77" s="5"/>
      <c r="AL77" s="5"/>
      <c r="AM77" s="5"/>
      <c r="AN77" s="5"/>
      <c r="AO77" s="5"/>
      <c r="AP77" s="5"/>
      <c r="AQ77" s="5"/>
      <c r="AR77" s="5"/>
      <c r="AS77" s="5"/>
    </row>
    <row r="78" spans="1:45" s="48" customFormat="1" x14ac:dyDescent="0.25">
      <c r="A78" s="250"/>
      <c r="B78" s="753" t="str">
        <f>IF(B$79*chptechcaplow&lt;B$80,C78,IF(B$79*chptechcaphigh&gt;B$81,I78,LOOKUP(B$79,C$79:C$79,C78:C78)))</f>
        <v>Recip Diesel</v>
      </c>
      <c r="C78" s="194" t="s">
        <v>499</v>
      </c>
      <c r="D78" s="194" t="s">
        <v>499</v>
      </c>
      <c r="E78" s="194" t="s">
        <v>499</v>
      </c>
      <c r="F78" s="194" t="s">
        <v>499</v>
      </c>
      <c r="G78" s="194" t="s">
        <v>499</v>
      </c>
      <c r="H78" s="194" t="s">
        <v>499</v>
      </c>
      <c r="I78" s="194" t="s">
        <v>499</v>
      </c>
      <c r="J78" s="250"/>
      <c r="K78" s="250"/>
      <c r="L78" s="250"/>
      <c r="M78" s="250"/>
      <c r="N78" s="250"/>
      <c r="O78" s="250"/>
      <c r="P78" s="250"/>
      <c r="Q78" s="250"/>
      <c r="R78" s="250"/>
      <c r="S78" s="250"/>
      <c r="T78" s="250"/>
      <c r="U78" s="250"/>
    </row>
    <row r="79" spans="1:45" s="49" customFormat="1" x14ac:dyDescent="0.25">
      <c r="A79" s="754" t="s">
        <v>484</v>
      </c>
      <c r="B79" s="755">
        <f>chpcapinput</f>
        <v>0</v>
      </c>
      <c r="C79" s="774">
        <v>90</v>
      </c>
      <c r="D79" s="774">
        <v>160</v>
      </c>
      <c r="E79" s="774">
        <v>320</v>
      </c>
      <c r="F79" s="779">
        <v>545</v>
      </c>
      <c r="G79" s="779">
        <v>680</v>
      </c>
      <c r="H79" s="779">
        <v>1100</v>
      </c>
      <c r="I79" s="779">
        <v>1600</v>
      </c>
      <c r="J79" s="757"/>
      <c r="K79" s="757"/>
      <c r="L79" s="757"/>
      <c r="M79" s="757"/>
      <c r="N79" s="757"/>
      <c r="O79" s="757"/>
      <c r="P79" s="757"/>
      <c r="Q79" s="757"/>
      <c r="R79" s="757"/>
      <c r="S79" s="757"/>
      <c r="T79" s="757"/>
      <c r="U79" s="757"/>
    </row>
    <row r="80" spans="1:45" s="49" customFormat="1" x14ac:dyDescent="0.25">
      <c r="A80" s="754" t="s">
        <v>485</v>
      </c>
      <c r="B80" s="755">
        <f>chptechcaplow*MIN(C79:AC79)</f>
        <v>90</v>
      </c>
      <c r="C80" s="747"/>
      <c r="D80" s="757"/>
      <c r="E80" s="757"/>
      <c r="F80" s="757"/>
      <c r="G80" s="757"/>
      <c r="H80" s="757"/>
      <c r="I80" s="757"/>
      <c r="J80" s="757"/>
      <c r="K80" s="757"/>
      <c r="L80" s="757"/>
      <c r="M80" s="757"/>
      <c r="N80" s="757"/>
      <c r="O80" s="757"/>
      <c r="P80" s="757"/>
      <c r="Q80" s="757"/>
      <c r="R80" s="757"/>
      <c r="S80" s="757"/>
      <c r="T80" s="757"/>
      <c r="U80" s="757"/>
    </row>
    <row r="81" spans="1:45" s="49" customFormat="1" x14ac:dyDescent="0.25">
      <c r="A81" s="754" t="s">
        <v>486</v>
      </c>
      <c r="B81" s="755">
        <f>chptechcaphigh*MAX(C79:AC79)</f>
        <v>1600</v>
      </c>
      <c r="C81" s="747"/>
      <c r="D81" s="757"/>
      <c r="E81" s="757"/>
      <c r="F81" s="757"/>
      <c r="G81" s="757"/>
      <c r="H81" s="757"/>
      <c r="I81" s="757"/>
      <c r="J81" s="757"/>
      <c r="K81" s="757"/>
      <c r="L81" s="757"/>
      <c r="M81" s="757"/>
      <c r="N81" s="757"/>
      <c r="O81" s="757"/>
      <c r="P81" s="757"/>
      <c r="Q81" s="757"/>
      <c r="R81" s="757"/>
      <c r="S81" s="757"/>
      <c r="T81" s="757"/>
      <c r="U81" s="757"/>
    </row>
    <row r="82" spans="1:45" x14ac:dyDescent="0.25">
      <c r="A82" s="194" t="s">
        <v>487</v>
      </c>
      <c r="B82" s="771">
        <f>IF(B$79*chptechcaplow&lt;B$80,C82,IF(B$79*chptechcaphigh&gt;B$81,I82,LOOKUP(B$79,C$79:C$79,C82:C82)))</f>
        <v>0</v>
      </c>
      <c r="C82" s="194"/>
      <c r="D82" s="194"/>
      <c r="E82" s="194"/>
      <c r="F82" s="194"/>
      <c r="G82" s="194"/>
      <c r="H82" s="194"/>
      <c r="I82" s="194"/>
      <c r="J82" s="194"/>
      <c r="K82" s="194"/>
      <c r="L82" s="194"/>
      <c r="M82" s="194"/>
      <c r="N82" s="194"/>
      <c r="O82" s="194"/>
      <c r="P82" s="194"/>
      <c r="Q82" s="194"/>
      <c r="R82" s="194"/>
      <c r="S82" s="194"/>
      <c r="T82" s="194"/>
      <c r="U82" s="194"/>
      <c r="V82" s="5"/>
      <c r="W82" s="5"/>
      <c r="X82" s="5"/>
      <c r="Y82" s="5"/>
      <c r="Z82" s="5"/>
      <c r="AA82" s="5"/>
      <c r="AB82" s="5"/>
      <c r="AC82" s="5"/>
      <c r="AD82" s="5"/>
      <c r="AE82" s="5"/>
      <c r="AF82" s="5"/>
      <c r="AG82" s="5"/>
      <c r="AH82" s="5"/>
      <c r="AI82" s="5"/>
      <c r="AJ82" s="5"/>
      <c r="AK82" s="5"/>
      <c r="AL82" s="5"/>
      <c r="AM82" s="5"/>
      <c r="AN82" s="5"/>
      <c r="AO82" s="5"/>
      <c r="AP82" s="5"/>
      <c r="AQ82" s="5"/>
      <c r="AR82" s="5"/>
      <c r="AS82" s="5"/>
    </row>
    <row r="83" spans="1:45" x14ac:dyDescent="0.25">
      <c r="A83" s="194" t="s">
        <v>488</v>
      </c>
      <c r="B83" s="771" t="str">
        <f>IF(B$79*chptechcaplow&lt;B$80,C83,IF(B$79*chptechcaphigh&gt;B$81,I83,LOOKUP(B$79,C$79:C$79,C83:C83)))</f>
        <v>Diesel</v>
      </c>
      <c r="C83" s="194" t="s">
        <v>500</v>
      </c>
      <c r="D83" s="194" t="s">
        <v>500</v>
      </c>
      <c r="E83" s="194" t="s">
        <v>500</v>
      </c>
      <c r="F83" s="194" t="s">
        <v>500</v>
      </c>
      <c r="G83" s="194" t="s">
        <v>500</v>
      </c>
      <c r="H83" s="194" t="s">
        <v>500</v>
      </c>
      <c r="I83" s="194" t="s">
        <v>500</v>
      </c>
      <c r="J83" s="194"/>
      <c r="K83" s="194"/>
      <c r="L83" s="194"/>
      <c r="M83" s="194"/>
      <c r="N83" s="194"/>
      <c r="O83" s="194"/>
      <c r="P83" s="194"/>
      <c r="Q83" s="194"/>
      <c r="R83" s="194"/>
      <c r="S83" s="194"/>
      <c r="T83" s="194"/>
      <c r="U83" s="194"/>
      <c r="V83" s="5"/>
      <c r="W83" s="5"/>
      <c r="X83" s="5"/>
      <c r="Y83" s="5"/>
      <c r="Z83" s="5"/>
      <c r="AA83" s="5"/>
      <c r="AB83" s="5"/>
      <c r="AC83" s="5"/>
      <c r="AD83" s="5"/>
      <c r="AE83" s="5"/>
      <c r="AF83" s="5"/>
      <c r="AG83" s="5"/>
      <c r="AH83" s="5"/>
      <c r="AI83" s="5"/>
      <c r="AJ83" s="5"/>
      <c r="AK83" s="5"/>
      <c r="AL83" s="5"/>
      <c r="AM83" s="5"/>
      <c r="AN83" s="5"/>
      <c r="AO83" s="5"/>
      <c r="AP83" s="5"/>
      <c r="AQ83" s="5"/>
      <c r="AR83" s="5"/>
      <c r="AS83" s="5"/>
    </row>
    <row r="84" spans="1:45" x14ac:dyDescent="0.25">
      <c r="A84" s="194"/>
      <c r="B84" s="772"/>
      <c r="C84" s="194"/>
      <c r="D84" s="194"/>
      <c r="E84" s="194"/>
      <c r="F84" s="194"/>
      <c r="G84" s="194"/>
      <c r="H84" s="194"/>
      <c r="I84" s="194"/>
      <c r="J84" s="194"/>
      <c r="K84" s="194"/>
      <c r="L84" s="194"/>
      <c r="M84" s="194"/>
      <c r="N84" s="194"/>
      <c r="O84" s="194"/>
      <c r="P84" s="194"/>
      <c r="Q84" s="194"/>
      <c r="R84" s="194"/>
      <c r="S84" s="194"/>
      <c r="T84" s="194"/>
      <c r="U84" s="194"/>
      <c r="V84" s="5"/>
      <c r="W84" s="5"/>
      <c r="X84" s="5"/>
      <c r="Y84" s="5"/>
      <c r="Z84" s="5"/>
      <c r="AA84" s="5"/>
      <c r="AB84" s="5"/>
      <c r="AC84" s="5"/>
      <c r="AD84" s="5"/>
      <c r="AE84" s="5"/>
      <c r="AF84" s="5"/>
      <c r="AG84" s="5"/>
      <c r="AH84" s="5"/>
      <c r="AI84" s="5"/>
      <c r="AJ84" s="5"/>
      <c r="AK84" s="5"/>
      <c r="AL84" s="5"/>
      <c r="AM84" s="5"/>
      <c r="AN84" s="5"/>
      <c r="AO84" s="5"/>
      <c r="AP84" s="5"/>
      <c r="AQ84" s="5"/>
      <c r="AR84" s="5"/>
      <c r="AS84" s="5"/>
    </row>
    <row r="85" spans="1:45" x14ac:dyDescent="0.25">
      <c r="A85" s="194" t="s">
        <v>490</v>
      </c>
      <c r="B85" s="772">
        <f t="shared" ref="B85:B95" si="20">IF(B$79*chptechcaplow&lt;B$80,C85,IF(B$79*chptechcaphigh&gt;B$81,I85,LOOKUP(B$79,C$79:C$79,C85:C85)))</f>
        <v>0.29279176201372997</v>
      </c>
      <c r="C85" s="778">
        <f>3412/C86</f>
        <v>0.29279176201372997</v>
      </c>
      <c r="D85" s="778">
        <f t="shared" ref="D85:I85" si="21">3412/D86</f>
        <v>0.31396365309408786</v>
      </c>
      <c r="E85" s="778">
        <f t="shared" si="21"/>
        <v>0.34701245868293923</v>
      </c>
      <c r="F85" s="778">
        <f t="shared" si="21"/>
        <v>0.33107930064451802</v>
      </c>
      <c r="G85" s="778">
        <f t="shared" si="21"/>
        <v>0.34311742088139602</v>
      </c>
      <c r="H85" s="778">
        <f t="shared" si="21"/>
        <v>0.3536684193663896</v>
      </c>
      <c r="I85" s="778">
        <f t="shared" si="21"/>
        <v>0.35415774655197019</v>
      </c>
      <c r="J85" s="194"/>
      <c r="K85" s="194"/>
      <c r="L85" s="194"/>
      <c r="M85" s="194"/>
      <c r="N85" s="194"/>
      <c r="O85" s="194"/>
      <c r="P85" s="194"/>
      <c r="Q85" s="194"/>
      <c r="R85" s="194"/>
      <c r="S85" s="194"/>
      <c r="T85" s="194"/>
      <c r="U85" s="194"/>
      <c r="V85" s="5"/>
      <c r="W85" s="5"/>
      <c r="X85" s="5"/>
      <c r="Y85" s="5"/>
      <c r="Z85" s="5"/>
      <c r="AA85" s="5"/>
      <c r="AB85" s="5"/>
      <c r="AC85" s="5"/>
      <c r="AD85" s="5"/>
      <c r="AE85" s="5"/>
      <c r="AF85" s="5"/>
      <c r="AG85" s="5"/>
      <c r="AH85" s="5"/>
      <c r="AI85" s="5"/>
      <c r="AJ85" s="5"/>
      <c r="AK85" s="5"/>
      <c r="AL85" s="5"/>
      <c r="AM85" s="5"/>
      <c r="AN85" s="5"/>
      <c r="AO85" s="5"/>
      <c r="AP85" s="5"/>
      <c r="AQ85" s="5"/>
      <c r="AR85" s="5"/>
      <c r="AS85" s="5"/>
    </row>
    <row r="86" spans="1:45" x14ac:dyDescent="0.25">
      <c r="A86" s="194" t="s">
        <v>142</v>
      </c>
      <c r="B86" s="755">
        <f t="shared" si="20"/>
        <v>11653.333333333334</v>
      </c>
      <c r="C86" s="768">
        <v>11653.333333333334</v>
      </c>
      <c r="D86" s="768">
        <v>10867.5</v>
      </c>
      <c r="E86" s="768">
        <v>9832.5</v>
      </c>
      <c r="F86" s="768">
        <v>10305.688073394496</v>
      </c>
      <c r="G86" s="768">
        <v>9944.1176470588234</v>
      </c>
      <c r="H86" s="768">
        <v>9647.454545454546</v>
      </c>
      <c r="I86" s="768">
        <v>9634.125</v>
      </c>
      <c r="J86" s="194"/>
      <c r="K86" s="194"/>
      <c r="L86" s="194"/>
      <c r="M86" s="194"/>
      <c r="N86" s="194"/>
      <c r="O86" s="194"/>
      <c r="P86" s="194"/>
      <c r="Q86" s="194"/>
      <c r="R86" s="194"/>
      <c r="S86" s="194"/>
      <c r="T86" s="194"/>
      <c r="U86" s="194"/>
      <c r="V86" s="5"/>
      <c r="W86" s="5"/>
      <c r="X86" s="5"/>
      <c r="Y86" s="5"/>
      <c r="Z86" s="5"/>
      <c r="AA86" s="5"/>
      <c r="AB86" s="5"/>
      <c r="AC86" s="5"/>
      <c r="AD86" s="5"/>
      <c r="AE86" s="5"/>
      <c r="AF86" s="5"/>
      <c r="AG86" s="5"/>
      <c r="AH86" s="5"/>
      <c r="AI86" s="5"/>
      <c r="AJ86" s="5"/>
      <c r="AK86" s="5"/>
      <c r="AL86" s="5"/>
      <c r="AM86" s="5"/>
      <c r="AN86" s="5"/>
      <c r="AO86" s="5"/>
      <c r="AP86" s="5"/>
      <c r="AQ86" s="5"/>
      <c r="AR86" s="5"/>
      <c r="AS86" s="5"/>
    </row>
    <row r="87" spans="1:45" x14ac:dyDescent="0.25">
      <c r="A87" s="194" t="s">
        <v>491</v>
      </c>
      <c r="B87" s="755">
        <f t="shared" si="20"/>
        <v>10614.470284237726</v>
      </c>
      <c r="C87" s="747">
        <f t="shared" ref="C87:I87" si="22">C86*ppmbtudlhv/ppmbtud</f>
        <v>10614.470284237726</v>
      </c>
      <c r="D87" s="747">
        <f t="shared" si="22"/>
        <v>9898.6918604651164</v>
      </c>
      <c r="E87" s="747">
        <f t="shared" si="22"/>
        <v>8955.959302325582</v>
      </c>
      <c r="F87" s="747">
        <f t="shared" si="22"/>
        <v>9386.9639428205683</v>
      </c>
      <c r="G87" s="747">
        <f t="shared" si="22"/>
        <v>9057.626538987688</v>
      </c>
      <c r="H87" s="747">
        <f t="shared" si="22"/>
        <v>8787.4101479915444</v>
      </c>
      <c r="I87" s="747">
        <f t="shared" si="22"/>
        <v>8775.2688953488378</v>
      </c>
      <c r="J87" s="194"/>
      <c r="K87" s="194"/>
      <c r="L87" s="194"/>
      <c r="M87" s="194"/>
      <c r="N87" s="194"/>
      <c r="O87" s="194"/>
      <c r="P87" s="194"/>
      <c r="Q87" s="194"/>
      <c r="R87" s="194"/>
      <c r="S87" s="194"/>
      <c r="T87" s="194"/>
      <c r="U87" s="194"/>
      <c r="V87" s="5"/>
      <c r="W87" s="5"/>
      <c r="X87" s="5"/>
      <c r="Y87" s="5"/>
      <c r="Z87" s="5"/>
      <c r="AA87" s="5"/>
      <c r="AB87" s="5"/>
      <c r="AC87" s="5"/>
      <c r="AD87" s="5"/>
      <c r="AE87" s="5"/>
      <c r="AF87" s="5"/>
      <c r="AG87" s="5"/>
      <c r="AH87" s="5"/>
      <c r="AI87" s="5"/>
      <c r="AJ87" s="5"/>
      <c r="AK87" s="5"/>
      <c r="AL87" s="5"/>
      <c r="AM87" s="5"/>
      <c r="AN87" s="5"/>
      <c r="AO87" s="5"/>
      <c r="AP87" s="5"/>
      <c r="AQ87" s="5"/>
      <c r="AR87" s="5"/>
      <c r="AS87" s="5"/>
    </row>
    <row r="88" spans="1:45" x14ac:dyDescent="0.25">
      <c r="A88" s="194" t="s">
        <v>492</v>
      </c>
      <c r="B88" s="753">
        <f t="shared" si="20"/>
        <v>0.66</v>
      </c>
      <c r="C88" s="774">
        <v>0.66</v>
      </c>
      <c r="D88" s="774">
        <v>0.7</v>
      </c>
      <c r="E88" s="774">
        <v>0.7</v>
      </c>
      <c r="F88" s="774">
        <v>0.72</v>
      </c>
      <c r="G88" s="774">
        <v>0.72</v>
      </c>
      <c r="H88" s="774">
        <v>0.84</v>
      </c>
      <c r="I88" s="774">
        <v>0.84</v>
      </c>
      <c r="J88" s="194"/>
      <c r="K88" s="194"/>
      <c r="L88" s="194"/>
      <c r="M88" s="194"/>
      <c r="N88" s="194"/>
      <c r="O88" s="194"/>
      <c r="P88" s="194"/>
      <c r="Q88" s="194"/>
      <c r="R88" s="194"/>
      <c r="S88" s="194"/>
      <c r="T88" s="194"/>
      <c r="U88" s="194"/>
      <c r="V88" s="5"/>
      <c r="W88" s="5"/>
      <c r="X88" s="5"/>
      <c r="Y88" s="5"/>
      <c r="Z88" s="5"/>
      <c r="AA88" s="5"/>
      <c r="AB88" s="5"/>
      <c r="AC88" s="5"/>
      <c r="AD88" s="5"/>
      <c r="AE88" s="5"/>
      <c r="AF88" s="5"/>
      <c r="AG88" s="5"/>
      <c r="AH88" s="5"/>
      <c r="AI88" s="5"/>
      <c r="AJ88" s="5"/>
      <c r="AK88" s="5"/>
      <c r="AL88" s="5"/>
      <c r="AM88" s="5"/>
      <c r="AN88" s="5"/>
      <c r="AO88" s="5"/>
      <c r="AP88" s="5"/>
      <c r="AQ88" s="5"/>
      <c r="AR88" s="5"/>
      <c r="AS88" s="5"/>
    </row>
    <row r="89" spans="1:45" x14ac:dyDescent="0.25">
      <c r="A89" s="194" t="s">
        <v>493</v>
      </c>
      <c r="B89" s="758">
        <f t="shared" si="20"/>
        <v>0</v>
      </c>
      <c r="C89" s="194"/>
      <c r="D89" s="194"/>
      <c r="E89" s="194"/>
      <c r="F89" s="194"/>
      <c r="G89" s="194"/>
      <c r="H89" s="194"/>
      <c r="I89" s="194"/>
      <c r="J89" s="194"/>
      <c r="K89" s="194"/>
      <c r="L89" s="194"/>
      <c r="M89" s="194"/>
      <c r="N89" s="194"/>
      <c r="O89" s="194"/>
      <c r="P89" s="194"/>
      <c r="Q89" s="194"/>
      <c r="R89" s="194"/>
      <c r="S89" s="194"/>
      <c r="T89" s="194"/>
      <c r="U89" s="194"/>
      <c r="V89" s="5"/>
      <c r="W89" s="5"/>
      <c r="X89" s="5"/>
      <c r="Y89" s="5"/>
      <c r="Z89" s="5"/>
      <c r="AA89" s="5"/>
      <c r="AB89" s="5"/>
      <c r="AC89" s="5"/>
      <c r="AD89" s="5"/>
      <c r="AE89" s="5"/>
      <c r="AF89" s="5"/>
      <c r="AG89" s="5"/>
      <c r="AH89" s="5"/>
      <c r="AI89" s="5"/>
      <c r="AJ89" s="5"/>
      <c r="AK89" s="5"/>
      <c r="AL89" s="5"/>
      <c r="AM89" s="5"/>
      <c r="AN89" s="5"/>
      <c r="AO89" s="5"/>
      <c r="AP89" s="5"/>
      <c r="AQ89" s="5"/>
      <c r="AR89" s="5"/>
      <c r="AS89" s="5"/>
    </row>
    <row r="90" spans="1:45" x14ac:dyDescent="0.25">
      <c r="A90" s="194" t="s">
        <v>494</v>
      </c>
      <c r="B90" s="758">
        <f t="shared" si="20"/>
        <v>3</v>
      </c>
      <c r="C90" s="774">
        <v>3</v>
      </c>
      <c r="D90" s="774">
        <v>3</v>
      </c>
      <c r="E90" s="774">
        <v>3</v>
      </c>
      <c r="F90" s="774">
        <v>3</v>
      </c>
      <c r="G90" s="774">
        <v>3</v>
      </c>
      <c r="H90" s="774">
        <v>3</v>
      </c>
      <c r="I90" s="774">
        <v>3</v>
      </c>
      <c r="J90" s="194"/>
      <c r="K90" s="194"/>
      <c r="L90" s="194"/>
      <c r="M90" s="194"/>
      <c r="N90" s="194"/>
      <c r="O90" s="194"/>
      <c r="P90" s="194"/>
      <c r="Q90" s="194"/>
      <c r="R90" s="194"/>
      <c r="S90" s="194"/>
      <c r="T90" s="194"/>
      <c r="U90" s="194"/>
      <c r="V90" s="5"/>
      <c r="W90" s="5"/>
      <c r="X90" s="5"/>
      <c r="Y90" s="5"/>
      <c r="Z90" s="5"/>
      <c r="AA90" s="5"/>
      <c r="AB90" s="5"/>
      <c r="AC90" s="5"/>
      <c r="AD90" s="5"/>
      <c r="AE90" s="5"/>
      <c r="AF90" s="5"/>
      <c r="AG90" s="5"/>
      <c r="AH90" s="5"/>
      <c r="AI90" s="5"/>
      <c r="AJ90" s="5"/>
      <c r="AK90" s="5"/>
      <c r="AL90" s="5"/>
      <c r="AM90" s="5"/>
      <c r="AN90" s="5"/>
      <c r="AO90" s="5"/>
      <c r="AP90" s="5"/>
      <c r="AQ90" s="5"/>
      <c r="AR90" s="5"/>
      <c r="AS90" s="5"/>
    </row>
    <row r="91" spans="1:45" x14ac:dyDescent="0.25">
      <c r="A91" s="194" t="s">
        <v>462</v>
      </c>
      <c r="B91" s="761">
        <f t="shared" si="20"/>
        <v>0.80062929061784893</v>
      </c>
      <c r="C91" s="762">
        <f>C92*1000/C86</f>
        <v>0.80062929061784893</v>
      </c>
      <c r="D91" s="762">
        <f t="shared" ref="D91:I91" si="23">D92*1000/D86</f>
        <v>0.85852311939268466</v>
      </c>
      <c r="E91" s="762">
        <f t="shared" si="23"/>
        <v>0.94889397406559883</v>
      </c>
      <c r="F91" s="762">
        <f t="shared" si="23"/>
        <v>0.90532528576006832</v>
      </c>
      <c r="G91" s="762">
        <f t="shared" si="23"/>
        <v>0.93824312333629101</v>
      </c>
      <c r="H91" s="762">
        <f t="shared" si="23"/>
        <v>0.96709447616893762</v>
      </c>
      <c r="I91" s="762">
        <f t="shared" si="23"/>
        <v>0.96843252500875798</v>
      </c>
      <c r="J91" s="194"/>
      <c r="K91" s="194"/>
      <c r="L91" s="194"/>
      <c r="M91" s="194"/>
      <c r="N91" s="194"/>
      <c r="O91" s="194"/>
      <c r="P91" s="194"/>
      <c r="Q91" s="194"/>
      <c r="R91" s="194"/>
      <c r="S91" s="194"/>
      <c r="T91" s="194"/>
      <c r="U91" s="194"/>
      <c r="V91" s="5"/>
      <c r="W91" s="5"/>
      <c r="X91" s="5"/>
      <c r="Y91" s="5"/>
      <c r="Z91" s="5"/>
      <c r="AA91" s="5"/>
      <c r="AB91" s="5"/>
      <c r="AC91" s="5"/>
      <c r="AD91" s="5"/>
      <c r="AE91" s="5"/>
      <c r="AF91" s="5"/>
      <c r="AG91" s="5"/>
      <c r="AH91" s="5"/>
      <c r="AI91" s="5"/>
      <c r="AJ91" s="5"/>
      <c r="AK91" s="5"/>
      <c r="AL91" s="5"/>
      <c r="AM91" s="5"/>
      <c r="AN91" s="5"/>
      <c r="AO91" s="5"/>
      <c r="AP91" s="5"/>
      <c r="AQ91" s="5"/>
      <c r="AR91" s="5"/>
      <c r="AS91" s="5"/>
    </row>
    <row r="92" spans="1:45" x14ac:dyDescent="0.25">
      <c r="A92" s="194" t="s">
        <v>226</v>
      </c>
      <c r="B92" s="758">
        <f t="shared" si="20"/>
        <v>9.33</v>
      </c>
      <c r="C92" s="256">
        <f>C90*gmhphrlbMWh</f>
        <v>9.33</v>
      </c>
      <c r="D92" s="256">
        <f t="shared" ref="D92:I92" si="24">D90*gmhphrlbMWh</f>
        <v>9.33</v>
      </c>
      <c r="E92" s="256">
        <f t="shared" si="24"/>
        <v>9.33</v>
      </c>
      <c r="F92" s="256">
        <f t="shared" si="24"/>
        <v>9.33</v>
      </c>
      <c r="G92" s="256">
        <f t="shared" si="24"/>
        <v>9.33</v>
      </c>
      <c r="H92" s="256">
        <f t="shared" si="24"/>
        <v>9.33</v>
      </c>
      <c r="I92" s="256">
        <f t="shared" si="24"/>
        <v>9.33</v>
      </c>
      <c r="J92" s="194"/>
      <c r="K92" s="194"/>
      <c r="L92" s="194"/>
      <c r="M92" s="194"/>
      <c r="N92" s="194"/>
      <c r="O92" s="194"/>
      <c r="P92" s="194"/>
      <c r="Q92" s="194"/>
      <c r="R92" s="194"/>
      <c r="S92" s="194"/>
      <c r="T92" s="194"/>
      <c r="U92" s="194"/>
      <c r="V92" s="5"/>
      <c r="W92" s="5"/>
      <c r="X92" s="5"/>
      <c r="Y92" s="5"/>
      <c r="Z92" s="5"/>
      <c r="AA92" s="5"/>
      <c r="AB92" s="5"/>
      <c r="AC92" s="5"/>
      <c r="AD92" s="5"/>
      <c r="AE92" s="5"/>
      <c r="AF92" s="5"/>
      <c r="AG92" s="5"/>
      <c r="AH92" s="5"/>
      <c r="AI92" s="5"/>
      <c r="AJ92" s="5"/>
      <c r="AK92" s="5"/>
      <c r="AL92" s="5"/>
      <c r="AM92" s="5"/>
      <c r="AN92" s="5"/>
      <c r="AO92" s="5"/>
      <c r="AP92" s="5"/>
      <c r="AQ92" s="5"/>
      <c r="AR92" s="5"/>
      <c r="AS92" s="5"/>
    </row>
    <row r="93" spans="1:45" x14ac:dyDescent="0.25">
      <c r="A93" s="194" t="s">
        <v>464</v>
      </c>
      <c r="B93" s="763">
        <f t="shared" si="20"/>
        <v>0</v>
      </c>
      <c r="C93" s="764"/>
      <c r="D93" s="764"/>
      <c r="E93" s="764"/>
      <c r="F93" s="764"/>
      <c r="G93" s="764"/>
      <c r="H93" s="764"/>
      <c r="I93" s="764"/>
      <c r="J93" s="194"/>
      <c r="K93" s="194"/>
      <c r="L93" s="194"/>
      <c r="M93" s="194"/>
      <c r="N93" s="194"/>
      <c r="O93" s="194"/>
      <c r="P93" s="194"/>
      <c r="Q93" s="194"/>
      <c r="R93" s="194"/>
      <c r="S93" s="194"/>
      <c r="T93" s="194"/>
      <c r="U93" s="194"/>
      <c r="V93" s="5"/>
      <c r="W93" s="5"/>
      <c r="X93" s="5"/>
      <c r="Y93" s="5"/>
      <c r="Z93" s="5"/>
      <c r="AA93" s="5"/>
      <c r="AB93" s="5"/>
      <c r="AC93" s="5"/>
      <c r="AD93" s="5"/>
      <c r="AE93" s="5"/>
      <c r="AF93" s="5"/>
      <c r="AG93" s="5"/>
      <c r="AH93" s="5"/>
      <c r="AI93" s="5"/>
      <c r="AJ93" s="5"/>
      <c r="AK93" s="5"/>
      <c r="AL93" s="5"/>
      <c r="AM93" s="5"/>
      <c r="AN93" s="5"/>
      <c r="AO93" s="5"/>
      <c r="AP93" s="5"/>
      <c r="AQ93" s="5"/>
      <c r="AR93" s="5"/>
      <c r="AS93" s="5"/>
    </row>
    <row r="94" spans="1:45" x14ac:dyDescent="0.25">
      <c r="A94" s="194" t="s">
        <v>227</v>
      </c>
      <c r="B94" s="763">
        <f t="shared" si="20"/>
        <v>0</v>
      </c>
      <c r="C94" s="764">
        <f>C93*C86/1000</f>
        <v>0</v>
      </c>
      <c r="D94" s="764">
        <f t="shared" ref="D94:I94" si="25">D93*D86/1000</f>
        <v>0</v>
      </c>
      <c r="E94" s="764">
        <f t="shared" si="25"/>
        <v>0</v>
      </c>
      <c r="F94" s="764">
        <f t="shared" si="25"/>
        <v>0</v>
      </c>
      <c r="G94" s="764">
        <f t="shared" si="25"/>
        <v>0</v>
      </c>
      <c r="H94" s="764">
        <f t="shared" si="25"/>
        <v>0</v>
      </c>
      <c r="I94" s="764">
        <f t="shared" si="25"/>
        <v>0</v>
      </c>
      <c r="J94" s="194"/>
      <c r="K94" s="194"/>
      <c r="L94" s="194"/>
      <c r="M94" s="194"/>
      <c r="N94" s="194"/>
      <c r="O94" s="194"/>
      <c r="P94" s="194"/>
      <c r="Q94" s="194"/>
      <c r="R94" s="194"/>
      <c r="S94" s="194"/>
      <c r="T94" s="194"/>
      <c r="U94" s="194"/>
      <c r="V94" s="5"/>
      <c r="W94" s="5"/>
      <c r="X94" s="5"/>
      <c r="Y94" s="5"/>
      <c r="Z94" s="5"/>
      <c r="AA94" s="5"/>
      <c r="AB94" s="5"/>
      <c r="AC94" s="5"/>
      <c r="AD94" s="5"/>
      <c r="AE94" s="5"/>
      <c r="AF94" s="5"/>
      <c r="AG94" s="5"/>
      <c r="AH94" s="5"/>
      <c r="AI94" s="5"/>
      <c r="AJ94" s="5"/>
      <c r="AK94" s="5"/>
      <c r="AL94" s="5"/>
      <c r="AM94" s="5"/>
      <c r="AN94" s="5"/>
      <c r="AO94" s="5"/>
      <c r="AP94" s="5"/>
      <c r="AQ94" s="5"/>
      <c r="AR94" s="5"/>
      <c r="AS94" s="5"/>
    </row>
    <row r="95" spans="1:45" ht="13" thickBot="1" x14ac:dyDescent="0.3">
      <c r="A95" s="194" t="s">
        <v>228</v>
      </c>
      <c r="B95" s="765">
        <f t="shared" si="20"/>
        <v>0</v>
      </c>
      <c r="C95" s="766"/>
      <c r="D95" s="766"/>
      <c r="E95" s="766"/>
      <c r="F95" s="766"/>
      <c r="G95" s="766"/>
      <c r="H95" s="766"/>
      <c r="I95" s="766"/>
      <c r="J95" s="194"/>
      <c r="K95" s="194"/>
      <c r="L95" s="194"/>
      <c r="M95" s="194"/>
      <c r="N95" s="194"/>
      <c r="O95" s="194"/>
      <c r="P95" s="194"/>
      <c r="Q95" s="194"/>
      <c r="R95" s="194"/>
      <c r="S95" s="194"/>
      <c r="T95" s="194"/>
      <c r="U95" s="194"/>
      <c r="V95" s="5"/>
      <c r="W95" s="5"/>
      <c r="X95" s="5"/>
      <c r="Y95" s="5"/>
      <c r="Z95" s="5"/>
      <c r="AA95" s="5"/>
      <c r="AB95" s="5"/>
      <c r="AC95" s="5"/>
      <c r="AD95" s="5"/>
      <c r="AE95" s="5"/>
      <c r="AF95" s="5"/>
      <c r="AG95" s="5"/>
      <c r="AH95" s="5"/>
      <c r="AI95" s="5"/>
      <c r="AJ95" s="5"/>
      <c r="AK95" s="5"/>
      <c r="AL95" s="5"/>
      <c r="AM95" s="5"/>
      <c r="AN95" s="5"/>
      <c r="AO95" s="5"/>
      <c r="AP95" s="5"/>
      <c r="AQ95" s="5"/>
      <c r="AR95" s="5"/>
      <c r="AS95" s="5"/>
    </row>
    <row r="98" spans="1:9" ht="13" thickBot="1" x14ac:dyDescent="0.3">
      <c r="A98" s="194"/>
      <c r="B98" s="194"/>
      <c r="C98" s="194"/>
      <c r="D98" s="194"/>
      <c r="E98" s="194"/>
      <c r="F98" s="194"/>
      <c r="G98" s="194"/>
      <c r="H98" s="194"/>
      <c r="I98" s="194"/>
    </row>
    <row r="99" spans="1:9" ht="13" x14ac:dyDescent="0.3">
      <c r="A99" s="1"/>
      <c r="B99" s="116" t="s">
        <v>495</v>
      </c>
      <c r="C99" s="194"/>
      <c r="D99" s="194"/>
      <c r="E99" s="194"/>
      <c r="F99" s="194"/>
      <c r="G99" s="194"/>
      <c r="H99" s="194"/>
      <c r="I99" s="194"/>
    </row>
    <row r="100" spans="1:9" ht="13.5" thickBot="1" x14ac:dyDescent="0.35">
      <c r="A100" s="1"/>
      <c r="B100" s="265" t="s">
        <v>280</v>
      </c>
      <c r="C100" s="194"/>
      <c r="D100" s="194"/>
      <c r="E100" s="194"/>
      <c r="F100" s="194"/>
      <c r="G100" s="194"/>
      <c r="H100" s="194"/>
      <c r="I100" s="194"/>
    </row>
    <row r="101" spans="1:9" x14ac:dyDescent="0.25">
      <c r="A101" s="194"/>
      <c r="B101" s="752">
        <f>IF(chptechinput=4,4,0)</f>
        <v>0</v>
      </c>
      <c r="C101" s="194">
        <v>4</v>
      </c>
      <c r="D101" s="194">
        <v>4</v>
      </c>
      <c r="E101" s="194">
        <v>4</v>
      </c>
      <c r="F101" s="194">
        <v>4</v>
      </c>
      <c r="G101" s="194"/>
      <c r="H101" s="194"/>
      <c r="I101" s="194"/>
    </row>
    <row r="102" spans="1:9" x14ac:dyDescent="0.25">
      <c r="A102" s="250"/>
      <c r="B102" s="753" t="str">
        <f>IF(B$103*chptechcaplow&lt;B$104,C102,IF(B$103*chptechcaphigh&gt;B$105,F102,LOOKUP(B$103,C$103:X$103,C102:X102)))</f>
        <v>Microturbine</v>
      </c>
      <c r="C102" s="194" t="s">
        <v>280</v>
      </c>
      <c r="D102" s="194" t="s">
        <v>280</v>
      </c>
      <c r="E102" s="194" t="s">
        <v>280</v>
      </c>
      <c r="F102" s="194" t="s">
        <v>280</v>
      </c>
      <c r="G102" s="194"/>
      <c r="H102" s="194"/>
      <c r="I102" s="760"/>
    </row>
    <row r="103" spans="1:9" x14ac:dyDescent="0.25">
      <c r="A103" s="754" t="s">
        <v>484</v>
      </c>
      <c r="B103" s="755">
        <f>chpcapinput</f>
        <v>0</v>
      </c>
      <c r="C103" s="767">
        <v>30</v>
      </c>
      <c r="D103" s="774">
        <v>65</v>
      </c>
      <c r="E103" s="767">
        <v>200</v>
      </c>
      <c r="F103" s="767">
        <v>1000</v>
      </c>
      <c r="G103" s="194"/>
      <c r="H103" s="194"/>
      <c r="I103" s="194"/>
    </row>
    <row r="104" spans="1:9" x14ac:dyDescent="0.25">
      <c r="A104" s="754" t="s">
        <v>485</v>
      </c>
      <c r="B104" s="755">
        <f>chptechcaplow*MIN(C103:BA103)</f>
        <v>30</v>
      </c>
      <c r="C104" s="747"/>
      <c r="D104" s="194"/>
      <c r="E104" s="747"/>
      <c r="F104" s="747"/>
      <c r="G104" s="194"/>
      <c r="H104" s="194"/>
      <c r="I104" s="194"/>
    </row>
    <row r="105" spans="1:9" x14ac:dyDescent="0.25">
      <c r="A105" s="754" t="s">
        <v>486</v>
      </c>
      <c r="B105" s="755">
        <f>chptechcaphigh*MAX(C103:BA103)</f>
        <v>1000</v>
      </c>
      <c r="C105" s="747"/>
      <c r="D105" s="194"/>
      <c r="E105" s="747"/>
      <c r="F105" s="747"/>
      <c r="G105" s="194"/>
      <c r="H105" s="194"/>
      <c r="I105" s="194"/>
    </row>
    <row r="106" spans="1:9" x14ac:dyDescent="0.25">
      <c r="A106" s="194" t="s">
        <v>487</v>
      </c>
      <c r="B106" s="753" t="e">
        <f>LOOKUP(B$103,C$103:X$103,C106:X106)</f>
        <v>#N/A</v>
      </c>
      <c r="C106" s="194"/>
      <c r="D106" s="194"/>
      <c r="E106" s="194"/>
      <c r="F106" s="194"/>
      <c r="G106" s="194"/>
      <c r="H106" s="194"/>
      <c r="I106" s="194"/>
    </row>
    <row r="107" spans="1:9" x14ac:dyDescent="0.25">
      <c r="A107" s="194" t="s">
        <v>488</v>
      </c>
      <c r="B107" s="753" t="str">
        <f>IF(B$103*chptechcaplow&lt;B$104,C107,IF(B$103*chptechcaphigh&gt;B$105,F107,LOOKUP(B$103,C$103:X$103,C107:X107)))</f>
        <v>Natural gas</v>
      </c>
      <c r="C107" s="194" t="s">
        <v>501</v>
      </c>
      <c r="D107" s="194" t="s">
        <v>501</v>
      </c>
      <c r="E107" s="194" t="s">
        <v>501</v>
      </c>
      <c r="F107" s="194" t="s">
        <v>501</v>
      </c>
      <c r="G107" s="194"/>
      <c r="H107" s="194"/>
      <c r="I107" s="194"/>
    </row>
    <row r="108" spans="1:9" x14ac:dyDescent="0.25">
      <c r="A108" s="194"/>
      <c r="B108" s="778"/>
      <c r="C108" s="194"/>
      <c r="D108" s="194"/>
      <c r="E108" s="194"/>
      <c r="F108" s="194"/>
      <c r="G108" s="194"/>
      <c r="H108" s="194"/>
      <c r="I108" s="194"/>
    </row>
    <row r="109" spans="1:9" x14ac:dyDescent="0.25">
      <c r="A109" s="194" t="s">
        <v>490</v>
      </c>
      <c r="B109" s="772">
        <f t="shared" ref="B109:B119" si="26">IF(B$103*chptechcaplow&lt;B$104,C109,IF(B$103*chptechcaphigh&gt;B$105,F109,LOOKUP(B$103,C$103:X$103,C109:X109)))</f>
        <v>0.22536327608982826</v>
      </c>
      <c r="C109" s="251">
        <f>3412/C110</f>
        <v>0.22536327608982826</v>
      </c>
      <c r="D109" s="778">
        <f>3412/D110</f>
        <v>0.26167650893473426</v>
      </c>
      <c r="E109" s="778">
        <f>3412/E110</f>
        <v>0.2998242530755712</v>
      </c>
      <c r="F109" s="778">
        <f>3412/F110</f>
        <v>0.2998242530755712</v>
      </c>
      <c r="G109" s="194"/>
      <c r="H109" s="194"/>
      <c r="I109" s="194"/>
    </row>
    <row r="110" spans="1:9" x14ac:dyDescent="0.25">
      <c r="A110" s="194" t="s">
        <v>142</v>
      </c>
      <c r="B110" s="755">
        <f t="shared" si="26"/>
        <v>15140</v>
      </c>
      <c r="C110" s="767">
        <v>15140</v>
      </c>
      <c r="D110" s="767">
        <v>13039</v>
      </c>
      <c r="E110" s="767">
        <v>11380</v>
      </c>
      <c r="F110" s="767">
        <v>11380</v>
      </c>
      <c r="G110" s="194"/>
      <c r="H110" s="194"/>
      <c r="I110" s="194"/>
    </row>
    <row r="111" spans="1:9" x14ac:dyDescent="0.25">
      <c r="A111" s="194" t="s">
        <v>491</v>
      </c>
      <c r="B111" s="755">
        <f t="shared" si="26"/>
        <v>13701.357466063349</v>
      </c>
      <c r="C111" s="767">
        <f>C110/1.105</f>
        <v>13701.357466063349</v>
      </c>
      <c r="D111" s="767">
        <f>D110/1.105</f>
        <v>11800</v>
      </c>
      <c r="E111" s="767">
        <f>E110/1.105</f>
        <v>10298.642533936652</v>
      </c>
      <c r="F111" s="767">
        <f>F110/1.105</f>
        <v>10298.642533936652</v>
      </c>
      <c r="G111" s="194"/>
      <c r="H111" s="194"/>
      <c r="I111" s="194"/>
    </row>
    <row r="112" spans="1:9" x14ac:dyDescent="0.25">
      <c r="A112" s="194" t="s">
        <v>492</v>
      </c>
      <c r="B112" s="753">
        <f t="shared" si="26"/>
        <v>0.51</v>
      </c>
      <c r="C112" s="774">
        <v>0.51</v>
      </c>
      <c r="D112" s="774">
        <v>0.54</v>
      </c>
      <c r="E112" s="774">
        <v>0.71</v>
      </c>
      <c r="F112" s="774">
        <v>0.71</v>
      </c>
      <c r="G112" s="194"/>
      <c r="H112" s="194"/>
      <c r="I112" s="194"/>
    </row>
    <row r="113" spans="1:7" x14ac:dyDescent="0.25">
      <c r="A113" s="194" t="s">
        <v>493</v>
      </c>
      <c r="B113" s="758">
        <f t="shared" si="26"/>
        <v>12</v>
      </c>
      <c r="C113" s="774">
        <v>12</v>
      </c>
      <c r="D113" s="774">
        <v>9</v>
      </c>
      <c r="E113" s="774">
        <v>9</v>
      </c>
      <c r="F113" s="774">
        <v>9</v>
      </c>
      <c r="G113" s="194"/>
    </row>
    <row r="114" spans="1:7" x14ac:dyDescent="0.25">
      <c r="A114" s="194" t="s">
        <v>494</v>
      </c>
      <c r="B114" s="758">
        <f t="shared" si="26"/>
        <v>0</v>
      </c>
      <c r="C114" s="194"/>
      <c r="D114" s="194"/>
      <c r="E114" s="194"/>
      <c r="F114" s="194"/>
      <c r="G114" s="194"/>
    </row>
    <row r="115" spans="1:7" x14ac:dyDescent="0.25">
      <c r="A115" s="194" t="s">
        <v>462</v>
      </c>
      <c r="B115" s="761">
        <f t="shared" si="26"/>
        <v>4.2272126816380449E-2</v>
      </c>
      <c r="C115" s="780">
        <f>C116*1000/C110</f>
        <v>4.2272126816380449E-2</v>
      </c>
      <c r="D115" s="780">
        <f>D116*1000/D110</f>
        <v>3.5278779047472966E-2</v>
      </c>
      <c r="E115" s="780">
        <f>E116*1000/E110</f>
        <v>3.5149384885764502E-2</v>
      </c>
      <c r="F115" s="780">
        <f>F116*1000/F110</f>
        <v>3.5149384885764502E-2</v>
      </c>
      <c r="G115" s="194"/>
    </row>
    <row r="116" spans="1:7" x14ac:dyDescent="0.25">
      <c r="A116" s="194" t="s">
        <v>226</v>
      </c>
      <c r="B116" s="758">
        <f t="shared" si="26"/>
        <v>0.64</v>
      </c>
      <c r="C116" s="781">
        <v>0.64</v>
      </c>
      <c r="D116" s="781">
        <v>0.46</v>
      </c>
      <c r="E116" s="781">
        <v>0.4</v>
      </c>
      <c r="F116" s="781">
        <v>0.4</v>
      </c>
      <c r="G116" s="194"/>
    </row>
    <row r="117" spans="1:7" x14ac:dyDescent="0.25">
      <c r="A117" s="194" t="s">
        <v>464</v>
      </c>
      <c r="B117" s="763">
        <f t="shared" si="26"/>
        <v>0</v>
      </c>
      <c r="C117" s="764"/>
      <c r="D117" s="764"/>
      <c r="E117" s="764"/>
      <c r="F117" s="764"/>
      <c r="G117" s="194"/>
    </row>
    <row r="118" spans="1:7" x14ac:dyDescent="0.25">
      <c r="A118" s="194" t="s">
        <v>227</v>
      </c>
      <c r="B118" s="763">
        <f t="shared" si="26"/>
        <v>0</v>
      </c>
      <c r="C118" s="764">
        <f>C117*C110/1000</f>
        <v>0</v>
      </c>
      <c r="D118" s="764">
        <f>D117*D110/1000</f>
        <v>0</v>
      </c>
      <c r="E118" s="764">
        <f>E117*E110/1000</f>
        <v>0</v>
      </c>
      <c r="F118" s="764">
        <f>F117*F110/1000</f>
        <v>0</v>
      </c>
      <c r="G118" s="194"/>
    </row>
    <row r="119" spans="1:7" ht="13" thickBot="1" x14ac:dyDescent="0.3">
      <c r="A119" s="194" t="s">
        <v>228</v>
      </c>
      <c r="B119" s="765">
        <f t="shared" si="26"/>
        <v>0</v>
      </c>
      <c r="C119" s="766"/>
      <c r="D119" s="766"/>
      <c r="E119" s="766"/>
      <c r="F119" s="766"/>
      <c r="G119" s="194"/>
    </row>
    <row r="122" spans="1:7" ht="13" thickBot="1" x14ac:dyDescent="0.3">
      <c r="A122" s="194"/>
      <c r="B122" s="194"/>
      <c r="C122" s="194"/>
      <c r="D122" s="194"/>
      <c r="E122" s="194"/>
      <c r="F122" s="194"/>
      <c r="G122" s="194"/>
    </row>
    <row r="123" spans="1:7" ht="13" x14ac:dyDescent="0.3">
      <c r="A123" s="1"/>
      <c r="B123" s="116" t="s">
        <v>495</v>
      </c>
      <c r="C123" s="194"/>
      <c r="D123" s="194"/>
      <c r="E123" s="194"/>
      <c r="F123" s="194"/>
      <c r="G123" s="194"/>
    </row>
    <row r="124" spans="1:7" ht="13.5" thickBot="1" x14ac:dyDescent="0.35">
      <c r="A124" s="1"/>
      <c r="B124" s="265" t="s">
        <v>281</v>
      </c>
      <c r="C124" s="194"/>
      <c r="D124" s="194"/>
      <c r="E124" s="194"/>
      <c r="F124" s="194"/>
      <c r="G124" s="194"/>
    </row>
    <row r="125" spans="1:7" x14ac:dyDescent="0.25">
      <c r="A125" s="194"/>
      <c r="B125" s="752">
        <f>IF(chptechinput=5,5,0)</f>
        <v>0</v>
      </c>
      <c r="C125" s="194">
        <v>5</v>
      </c>
      <c r="D125" s="194">
        <v>5</v>
      </c>
      <c r="E125" s="194">
        <v>5</v>
      </c>
      <c r="F125" s="194">
        <v>5</v>
      </c>
      <c r="G125" s="194">
        <v>5</v>
      </c>
    </row>
    <row r="126" spans="1:7" x14ac:dyDescent="0.25">
      <c r="A126" s="250"/>
      <c r="B126" s="753" t="str">
        <f>IF(B$127*chptechcaplow&lt;B$128,C126,IF(B$127*chptechcaphigh&gt;B$129,F126,LOOKUP(B$127,C$127:X$127,C126:X126)))</f>
        <v>Combustion Turbine</v>
      </c>
      <c r="C126" s="194" t="s">
        <v>281</v>
      </c>
      <c r="D126" s="194" t="s">
        <v>281</v>
      </c>
      <c r="E126" s="194" t="s">
        <v>281</v>
      </c>
      <c r="F126" s="194" t="s">
        <v>281</v>
      </c>
      <c r="G126" s="194" t="s">
        <v>281</v>
      </c>
    </row>
    <row r="127" spans="1:7" x14ac:dyDescent="0.25">
      <c r="A127" s="754" t="s">
        <v>484</v>
      </c>
      <c r="B127" s="755">
        <f>chpcapinput</f>
        <v>0</v>
      </c>
      <c r="C127" s="747">
        <v>1000</v>
      </c>
      <c r="D127" s="747">
        <v>5000</v>
      </c>
      <c r="E127" s="747">
        <v>10000</v>
      </c>
      <c r="F127" s="747">
        <v>25000</v>
      </c>
      <c r="G127" s="747">
        <v>40000</v>
      </c>
    </row>
    <row r="128" spans="1:7" x14ac:dyDescent="0.25">
      <c r="A128" s="754" t="s">
        <v>485</v>
      </c>
      <c r="B128" s="755">
        <f>chptechcaplow*MIN(C127:BA127)</f>
        <v>1000</v>
      </c>
      <c r="C128" s="747"/>
      <c r="D128" s="747"/>
      <c r="E128" s="747"/>
      <c r="F128" s="747"/>
      <c r="G128" s="747"/>
    </row>
    <row r="129" spans="1:7" x14ac:dyDescent="0.25">
      <c r="A129" s="754" t="s">
        <v>486</v>
      </c>
      <c r="B129" s="755">
        <f>chptechcaphigh*MAX(C127:BA127)</f>
        <v>40000</v>
      </c>
      <c r="C129" s="747"/>
      <c r="D129" s="747"/>
      <c r="E129" s="747"/>
      <c r="F129" s="747"/>
      <c r="G129" s="747"/>
    </row>
    <row r="130" spans="1:7" x14ac:dyDescent="0.25">
      <c r="A130" s="194" t="s">
        <v>487</v>
      </c>
      <c r="B130" s="753">
        <f>IF(B$127*chptechcaplow&lt;B$128,C130,IF(B$127*chptechcaphigh&gt;B$129,F130,LOOKUP(B$127,C$127:X$127,C130:X130)))</f>
        <v>0</v>
      </c>
      <c r="C130" s="194"/>
      <c r="D130" s="194"/>
      <c r="E130" s="194"/>
      <c r="F130" s="194"/>
      <c r="G130" s="194"/>
    </row>
    <row r="131" spans="1:7" x14ac:dyDescent="0.25">
      <c r="A131" s="194" t="s">
        <v>488</v>
      </c>
      <c r="B131" s="753" t="str">
        <f>IF(B$127*chptechcaplow&lt;B$128,C131,IF(B$127*chptechcaphigh&gt;B$129,F131,LOOKUP(B$127,C$127:X$127,C131:X131)))</f>
        <v>Natural gas</v>
      </c>
      <c r="C131" s="194" t="s">
        <v>501</v>
      </c>
      <c r="D131" s="194" t="s">
        <v>501</v>
      </c>
      <c r="E131" s="194" t="s">
        <v>501</v>
      </c>
      <c r="F131" s="194" t="s">
        <v>501</v>
      </c>
      <c r="G131" s="194" t="s">
        <v>501</v>
      </c>
    </row>
    <row r="132" spans="1:7" x14ac:dyDescent="0.25">
      <c r="A132" s="194"/>
      <c r="B132" s="778"/>
      <c r="C132" s="194"/>
      <c r="D132" s="194"/>
      <c r="E132" s="194"/>
      <c r="F132" s="194"/>
      <c r="G132" s="194"/>
    </row>
    <row r="133" spans="1:7" x14ac:dyDescent="0.25">
      <c r="A133" s="194" t="s">
        <v>490</v>
      </c>
      <c r="B133" s="772">
        <f t="shared" ref="B133:B143" si="27">IF(B$127*chptechcaplow&lt;B$128,C133,IF(B$127*chptechcaphigh&gt;B$129,F133,LOOKUP(B$127,C$127:X$127,C133:X133)))</f>
        <v>0.21398557541549074</v>
      </c>
      <c r="C133" s="778">
        <f>3412/C134</f>
        <v>0.21398557541549074</v>
      </c>
      <c r="D133" s="778">
        <f>3412/D134</f>
        <v>0.28900559037777401</v>
      </c>
      <c r="E133" s="778">
        <f>3412/E134</f>
        <v>0.29100213219616206</v>
      </c>
      <c r="F133" s="778">
        <f>3412/F134</f>
        <v>0.34308697838109603</v>
      </c>
      <c r="G133" s="778">
        <f>3412/G134</f>
        <v>0.3700650759219089</v>
      </c>
    </row>
    <row r="134" spans="1:7" x14ac:dyDescent="0.25">
      <c r="A134" s="194" t="s">
        <v>142</v>
      </c>
      <c r="B134" s="755">
        <f t="shared" si="27"/>
        <v>15945</v>
      </c>
      <c r="C134" s="767">
        <v>15945</v>
      </c>
      <c r="D134" s="767">
        <v>11806</v>
      </c>
      <c r="E134" s="767">
        <v>11725</v>
      </c>
      <c r="F134" s="767">
        <v>9945</v>
      </c>
      <c r="G134" s="767">
        <v>9220</v>
      </c>
    </row>
    <row r="135" spans="1:7" x14ac:dyDescent="0.25">
      <c r="A135" s="194" t="s">
        <v>491</v>
      </c>
      <c r="B135" s="755">
        <f t="shared" si="27"/>
        <v>14429.864253393665</v>
      </c>
      <c r="C135" s="767">
        <f>C134/1.105</f>
        <v>14429.864253393665</v>
      </c>
      <c r="D135" s="767">
        <f>D134/1.105</f>
        <v>10684.162895927602</v>
      </c>
      <c r="E135" s="767">
        <f>E134/1.105</f>
        <v>10610.859728506788</v>
      </c>
      <c r="F135" s="767">
        <f>F134/1.105</f>
        <v>9000</v>
      </c>
      <c r="G135" s="767">
        <f>G134/1.105</f>
        <v>8343.8914027149331</v>
      </c>
    </row>
    <row r="136" spans="1:7" x14ac:dyDescent="0.25">
      <c r="A136" s="194" t="s">
        <v>492</v>
      </c>
      <c r="B136" s="753">
        <f t="shared" si="27"/>
        <v>0.44</v>
      </c>
      <c r="C136" s="774">
        <v>0.44</v>
      </c>
      <c r="D136" s="774">
        <v>0.62</v>
      </c>
      <c r="E136" s="774">
        <v>0.69</v>
      </c>
      <c r="F136" s="774">
        <v>0.94</v>
      </c>
      <c r="G136" s="774">
        <v>1.07</v>
      </c>
    </row>
    <row r="137" spans="1:7" x14ac:dyDescent="0.25">
      <c r="A137" s="194" t="s">
        <v>493</v>
      </c>
      <c r="B137" s="758">
        <f t="shared" si="27"/>
        <v>42</v>
      </c>
      <c r="C137" s="774">
        <v>42</v>
      </c>
      <c r="D137" s="774">
        <v>25</v>
      </c>
      <c r="E137" s="774">
        <v>25</v>
      </c>
      <c r="F137" s="774">
        <v>15</v>
      </c>
      <c r="G137" s="774">
        <v>15</v>
      </c>
    </row>
    <row r="138" spans="1:7" x14ac:dyDescent="0.25">
      <c r="A138" s="194" t="s">
        <v>494</v>
      </c>
      <c r="B138" s="758">
        <f t="shared" si="27"/>
        <v>0</v>
      </c>
      <c r="C138" s="194"/>
      <c r="D138" s="194"/>
      <c r="E138" s="194"/>
      <c r="F138" s="194"/>
      <c r="G138" s="194"/>
    </row>
    <row r="139" spans="1:7" x14ac:dyDescent="0.25">
      <c r="A139" s="194" t="s">
        <v>462</v>
      </c>
      <c r="B139" s="761">
        <f t="shared" si="27"/>
        <v>0.15441176470588236</v>
      </c>
      <c r="C139" s="780">
        <f>C140*1000/C134</f>
        <v>0.15441176470588236</v>
      </c>
      <c r="D139" s="780">
        <f>D140*1000/D134</f>
        <v>9.1911764705882359E-2</v>
      </c>
      <c r="E139" s="780">
        <f>E140*1000/E134</f>
        <v>9.1911764705882359E-2</v>
      </c>
      <c r="F139" s="780">
        <f>F140*1000/F134</f>
        <v>5.514705882352941E-2</v>
      </c>
      <c r="G139" s="780">
        <f>G140*1000/G134</f>
        <v>5.514705882352941E-2</v>
      </c>
    </row>
    <row r="140" spans="1:7" x14ac:dyDescent="0.25">
      <c r="A140" s="194" t="s">
        <v>226</v>
      </c>
      <c r="B140" s="758">
        <f t="shared" si="27"/>
        <v>2.462095588235294</v>
      </c>
      <c r="C140" s="781">
        <f>(C137/272)*C134/1000</f>
        <v>2.462095588235294</v>
      </c>
      <c r="D140" s="781">
        <f>(D137/272)*D134/1000</f>
        <v>1.0851102941176471</v>
      </c>
      <c r="E140" s="781">
        <f>(E137/272)*E134/1000</f>
        <v>1.0776654411764708</v>
      </c>
      <c r="F140" s="781">
        <f>(F137/272)*F134/1000</f>
        <v>0.54843750000000002</v>
      </c>
      <c r="G140" s="781">
        <f>(G137/272)*G134/1000</f>
        <v>0.50845588235294115</v>
      </c>
    </row>
    <row r="141" spans="1:7" x14ac:dyDescent="0.25">
      <c r="A141" s="194" t="s">
        <v>464</v>
      </c>
      <c r="B141" s="763">
        <f t="shared" si="27"/>
        <v>5.9999999999999995E-4</v>
      </c>
      <c r="C141" s="776">
        <v>5.9999999999999995E-4</v>
      </c>
      <c r="D141" s="776">
        <v>5.9999999999999995E-4</v>
      </c>
      <c r="E141" s="776">
        <v>5.9999999999999995E-4</v>
      </c>
      <c r="F141" s="776">
        <v>5.9999999999999995E-4</v>
      </c>
      <c r="G141" s="776">
        <v>5.9999999999999995E-4</v>
      </c>
    </row>
    <row r="142" spans="1:7" x14ac:dyDescent="0.25">
      <c r="A142" s="194" t="s">
        <v>227</v>
      </c>
      <c r="B142" s="763">
        <f t="shared" si="27"/>
        <v>9.5669999999999991E-3</v>
      </c>
      <c r="C142" s="776">
        <f>C141*C134/1000</f>
        <v>9.5669999999999991E-3</v>
      </c>
      <c r="D142" s="776">
        <f>D141*D134/1000</f>
        <v>7.0835999999999998E-3</v>
      </c>
      <c r="E142" s="776">
        <f>E141*E134/1000</f>
        <v>7.0349999999999996E-3</v>
      </c>
      <c r="F142" s="776">
        <f>F141*F134/1000</f>
        <v>5.9669999999999992E-3</v>
      </c>
      <c r="G142" s="776">
        <f>G141*G134/1000</f>
        <v>5.5319999999999987E-3</v>
      </c>
    </row>
    <row r="143" spans="1:7" ht="13" thickBot="1" x14ac:dyDescent="0.3">
      <c r="A143" s="194" t="s">
        <v>228</v>
      </c>
      <c r="B143" s="765">
        <f t="shared" si="27"/>
        <v>0</v>
      </c>
      <c r="C143" s="766"/>
      <c r="D143" s="766"/>
      <c r="E143" s="766"/>
      <c r="F143" s="766"/>
      <c r="G143" s="766"/>
    </row>
    <row r="146" spans="1:8" ht="13" thickBot="1" x14ac:dyDescent="0.3">
      <c r="A146" s="194"/>
      <c r="B146" s="194"/>
      <c r="C146" s="194"/>
      <c r="D146" s="194"/>
      <c r="E146" s="194"/>
      <c r="F146" s="194"/>
      <c r="G146" s="194"/>
      <c r="H146" s="194"/>
    </row>
    <row r="147" spans="1:8" ht="13" x14ac:dyDescent="0.3">
      <c r="A147" s="1"/>
      <c r="B147" s="116" t="s">
        <v>495</v>
      </c>
      <c r="C147" s="194"/>
      <c r="D147" s="194"/>
      <c r="E147" s="194"/>
      <c r="F147" s="194"/>
      <c r="G147" s="194"/>
      <c r="H147" s="194"/>
    </row>
    <row r="148" spans="1:8" ht="13.5" thickBot="1" x14ac:dyDescent="0.35">
      <c r="A148" s="1"/>
      <c r="B148" s="265" t="s">
        <v>282</v>
      </c>
      <c r="C148" s="194"/>
      <c r="D148" s="194"/>
      <c r="E148" s="194"/>
      <c r="F148" s="194"/>
      <c r="G148" s="194"/>
      <c r="H148" s="194"/>
    </row>
    <row r="149" spans="1:8" x14ac:dyDescent="0.25">
      <c r="A149" s="194"/>
      <c r="B149" s="752">
        <f>IF(chptechinput=6,6,0)</f>
        <v>0</v>
      </c>
      <c r="C149" s="194">
        <v>6</v>
      </c>
      <c r="D149" s="194">
        <v>6</v>
      </c>
      <c r="E149" s="194">
        <v>6</v>
      </c>
      <c r="F149" s="194">
        <v>6</v>
      </c>
      <c r="G149" s="194"/>
      <c r="H149" s="194"/>
    </row>
    <row r="150" spans="1:8" x14ac:dyDescent="0.25">
      <c r="A150" s="250"/>
      <c r="B150" s="753" t="str">
        <f>IF(B$151*chptechcaplow&lt;B$152,C150,IF(B$151*chptechcaphigh&gt;B$153,D150,LOOKUP(B$151,C$151:X$151,C150:X150)))</f>
        <v>Boiler / Steam Turbine</v>
      </c>
      <c r="C150" s="194" t="s">
        <v>282</v>
      </c>
      <c r="D150" s="194" t="s">
        <v>282</v>
      </c>
      <c r="E150" s="194" t="s">
        <v>282</v>
      </c>
      <c r="F150" s="194" t="s">
        <v>282</v>
      </c>
      <c r="G150" s="194"/>
      <c r="H150" s="194"/>
    </row>
    <row r="151" spans="1:8" x14ac:dyDescent="0.25">
      <c r="A151" s="754" t="s">
        <v>484</v>
      </c>
      <c r="B151" s="755">
        <f>chpcapinput</f>
        <v>0</v>
      </c>
      <c r="C151" s="747">
        <v>100</v>
      </c>
      <c r="D151" s="747">
        <v>500</v>
      </c>
      <c r="E151" s="747">
        <v>3000</v>
      </c>
      <c r="F151" s="747">
        <v>15000</v>
      </c>
      <c r="G151" s="194"/>
      <c r="H151" s="194"/>
    </row>
    <row r="152" spans="1:8" ht="13" x14ac:dyDescent="0.3">
      <c r="A152" s="754" t="s">
        <v>485</v>
      </c>
      <c r="B152" s="755">
        <f>chptechcaplow*MIN(C151:BA151)</f>
        <v>100</v>
      </c>
      <c r="C152" s="747"/>
      <c r="D152" s="747"/>
      <c r="E152" s="747"/>
      <c r="F152" s="747"/>
      <c r="G152" s="194"/>
      <c r="H152" s="1"/>
    </row>
    <row r="153" spans="1:8" ht="13" x14ac:dyDescent="0.3">
      <c r="A153" s="754" t="s">
        <v>486</v>
      </c>
      <c r="B153" s="755">
        <f>chptechcaphigh*MAX(C151:BA151)</f>
        <v>15000</v>
      </c>
      <c r="C153" s="747"/>
      <c r="D153" s="747"/>
      <c r="E153" s="747"/>
      <c r="F153" s="747"/>
      <c r="G153" s="194"/>
      <c r="H153" s="1"/>
    </row>
    <row r="154" spans="1:8" ht="13" x14ac:dyDescent="0.3">
      <c r="A154" s="194" t="s">
        <v>487</v>
      </c>
      <c r="B154" s="753">
        <f>IF(B$151*chptechcaplow&lt;B$152,C154,IF(B$151*chptechcaphigh&gt;B$153,D154,LOOKUP(B$151,C$151:X$151,C154:X154)))</f>
        <v>0</v>
      </c>
      <c r="C154" s="194"/>
      <c r="D154" s="194"/>
      <c r="E154" s="194"/>
      <c r="F154" s="194"/>
      <c r="G154" s="194"/>
      <c r="H154" s="1"/>
    </row>
    <row r="155" spans="1:8" x14ac:dyDescent="0.25">
      <c r="A155" s="194" t="s">
        <v>488</v>
      </c>
      <c r="B155" s="753" t="str">
        <f>IF(B$151*chptechcaplow&lt;B$152,C155,IF(B$151*chptechcaphigh&gt;B$153,D155,LOOKUP(B$151,C$151:X$151,C155:X155)))</f>
        <v>Natural Gas</v>
      </c>
      <c r="C155" s="194" t="s">
        <v>401</v>
      </c>
      <c r="D155" s="194" t="s">
        <v>401</v>
      </c>
      <c r="E155" s="194" t="s">
        <v>401</v>
      </c>
      <c r="F155" s="194" t="s">
        <v>401</v>
      </c>
      <c r="G155" s="194"/>
      <c r="H155" s="194"/>
    </row>
    <row r="156" spans="1:8" x14ac:dyDescent="0.25">
      <c r="A156" s="194"/>
      <c r="B156" s="778"/>
      <c r="C156" s="194"/>
      <c r="D156" s="194"/>
      <c r="E156" s="194"/>
      <c r="F156" s="194"/>
      <c r="G156" s="194"/>
      <c r="H156" s="194"/>
    </row>
    <row r="157" spans="1:8" x14ac:dyDescent="0.25">
      <c r="A157" s="194" t="s">
        <v>490</v>
      </c>
      <c r="B157" s="772">
        <f t="shared" ref="B157:B167" si="28">IF(B$151*chptechcaplow&lt;B$152,C157,IF(B$151*chptechcaphigh&gt;B$153,D157,LOOKUP(B$151,C$151:X$151,C157:X157)))</f>
        <v>0</v>
      </c>
      <c r="C157" s="251"/>
      <c r="D157" s="251"/>
      <c r="E157" s="251"/>
      <c r="F157" s="251"/>
      <c r="G157" s="194"/>
      <c r="H157" s="194"/>
    </row>
    <row r="158" spans="1:8" x14ac:dyDescent="0.25">
      <c r="A158" s="194" t="s">
        <v>142</v>
      </c>
      <c r="B158" s="755">
        <f t="shared" si="28"/>
        <v>0</v>
      </c>
      <c r="C158" s="747"/>
      <c r="D158" s="747"/>
      <c r="E158" s="747"/>
      <c r="F158" s="747"/>
      <c r="G158" s="194"/>
      <c r="H158" s="194"/>
    </row>
    <row r="159" spans="1:8" x14ac:dyDescent="0.25">
      <c r="A159" s="194" t="s">
        <v>491</v>
      </c>
      <c r="B159" s="755">
        <f t="shared" si="28"/>
        <v>0</v>
      </c>
      <c r="C159" s="747"/>
      <c r="D159" s="747"/>
      <c r="E159" s="747"/>
      <c r="F159" s="747"/>
      <c r="G159" s="194"/>
      <c r="H159" s="194"/>
    </row>
    <row r="160" spans="1:8" x14ac:dyDescent="0.25">
      <c r="A160" s="194" t="s">
        <v>492</v>
      </c>
      <c r="B160" s="753">
        <f t="shared" si="28"/>
        <v>0</v>
      </c>
      <c r="C160" s="194"/>
      <c r="D160" s="194"/>
      <c r="E160" s="194"/>
      <c r="F160" s="194"/>
      <c r="G160" s="194"/>
      <c r="H160" s="194"/>
    </row>
    <row r="161" spans="1:8" x14ac:dyDescent="0.25">
      <c r="A161" s="194" t="s">
        <v>493</v>
      </c>
      <c r="B161" s="758">
        <f t="shared" si="28"/>
        <v>0</v>
      </c>
      <c r="C161" s="194"/>
      <c r="D161" s="194"/>
      <c r="E161" s="194"/>
      <c r="F161" s="194"/>
      <c r="G161" s="194"/>
      <c r="H161" s="194"/>
    </row>
    <row r="162" spans="1:8" x14ac:dyDescent="0.25">
      <c r="A162" s="194" t="s">
        <v>494</v>
      </c>
      <c r="B162" s="758">
        <f t="shared" si="28"/>
        <v>0</v>
      </c>
      <c r="C162" s="194"/>
      <c r="D162" s="194"/>
      <c r="E162" s="194"/>
      <c r="F162" s="194"/>
      <c r="G162" s="194"/>
      <c r="H162" s="194"/>
    </row>
    <row r="163" spans="1:8" x14ac:dyDescent="0.25">
      <c r="A163" s="194" t="s">
        <v>462</v>
      </c>
      <c r="B163" s="761" t="e">
        <f>STMTech!D23</f>
        <v>#N/A</v>
      </c>
      <c r="C163" s="762"/>
      <c r="D163" s="762"/>
      <c r="E163" s="762"/>
      <c r="F163" s="762"/>
      <c r="G163" s="194"/>
      <c r="H163" s="194"/>
    </row>
    <row r="164" spans="1:8" x14ac:dyDescent="0.25">
      <c r="A164" s="194" t="s">
        <v>226</v>
      </c>
      <c r="B164" s="758">
        <f t="shared" si="28"/>
        <v>0</v>
      </c>
      <c r="C164" s="194"/>
      <c r="D164" s="194"/>
      <c r="E164" s="194"/>
      <c r="F164" s="194"/>
      <c r="G164" s="194"/>
      <c r="H164" s="194"/>
    </row>
    <row r="165" spans="1:8" x14ac:dyDescent="0.25">
      <c r="A165" s="194" t="s">
        <v>464</v>
      </c>
      <c r="B165" s="763" t="e">
        <f>STMTech!F23</f>
        <v>#N/A</v>
      </c>
      <c r="C165" s="774">
        <v>5.9999999999999995E-4</v>
      </c>
      <c r="D165" s="774">
        <v>5.9999999999999995E-4</v>
      </c>
      <c r="E165" s="774">
        <v>5.9999999999999995E-4</v>
      </c>
      <c r="F165" s="774">
        <v>5.9999999999999995E-4</v>
      </c>
      <c r="G165" s="194"/>
      <c r="H165" s="194"/>
    </row>
    <row r="166" spans="1:8" x14ac:dyDescent="0.25">
      <c r="A166" s="194" t="s">
        <v>227</v>
      </c>
      <c r="B166" s="763">
        <f t="shared" si="28"/>
        <v>0</v>
      </c>
      <c r="C166" s="194">
        <f>C165*C158/1000</f>
        <v>0</v>
      </c>
      <c r="D166" s="194">
        <f>D165*D158/1000</f>
        <v>0</v>
      </c>
      <c r="E166" s="194">
        <f>E165*E158/1000</f>
        <v>0</v>
      </c>
      <c r="F166" s="194">
        <f>F165*F158/1000</f>
        <v>0</v>
      </c>
      <c r="G166" s="194"/>
      <c r="H166" s="194"/>
    </row>
    <row r="167" spans="1:8" ht="13" thickBot="1" x14ac:dyDescent="0.3">
      <c r="A167" s="194" t="s">
        <v>228</v>
      </c>
      <c r="B167" s="765">
        <f t="shared" si="28"/>
        <v>0</v>
      </c>
      <c r="C167" s="766">
        <f>co2gas*CHPTech!C158/1000</f>
        <v>0</v>
      </c>
      <c r="D167" s="766">
        <f>co2gas*CHPTech!D158/1000</f>
        <v>0</v>
      </c>
      <c r="E167" s="766">
        <f>co2gas*CHPTech!E158/1000</f>
        <v>0</v>
      </c>
      <c r="F167" s="766">
        <f>co2gas*CHPTech!F158/1000</f>
        <v>0</v>
      </c>
      <c r="G167" s="194"/>
      <c r="H167" s="194"/>
    </row>
    <row r="170" spans="1:8" ht="13" thickBot="1" x14ac:dyDescent="0.3">
      <c r="A170" s="194"/>
      <c r="B170" s="194"/>
      <c r="C170" s="194"/>
      <c r="D170" s="194"/>
      <c r="E170" s="194"/>
      <c r="F170" s="194"/>
      <c r="G170" s="194"/>
      <c r="H170" s="194"/>
    </row>
    <row r="171" spans="1:8" ht="13" x14ac:dyDescent="0.3">
      <c r="A171" s="1"/>
      <c r="B171" s="116" t="s">
        <v>495</v>
      </c>
      <c r="C171" s="194"/>
      <c r="D171" s="194"/>
      <c r="E171" s="194"/>
      <c r="F171" s="194"/>
      <c r="G171" s="194"/>
      <c r="H171" s="194"/>
    </row>
    <row r="172" spans="1:8" ht="13.5" thickBot="1" x14ac:dyDescent="0.35">
      <c r="A172" s="1"/>
      <c r="B172" s="265" t="s">
        <v>283</v>
      </c>
      <c r="C172" s="194"/>
      <c r="D172" s="194"/>
      <c r="E172" s="194"/>
      <c r="F172" s="194"/>
      <c r="G172" s="194"/>
      <c r="H172" s="194"/>
    </row>
    <row r="173" spans="1:8" x14ac:dyDescent="0.25">
      <c r="A173" s="194"/>
      <c r="B173" s="752">
        <f>IF(chptechinput=7,7,0)</f>
        <v>0</v>
      </c>
      <c r="C173" s="194">
        <v>7</v>
      </c>
      <c r="D173" s="194">
        <v>7</v>
      </c>
      <c r="E173" s="194">
        <v>7</v>
      </c>
      <c r="F173" s="194">
        <v>7</v>
      </c>
      <c r="G173" s="194">
        <v>7</v>
      </c>
      <c r="H173" s="194"/>
    </row>
    <row r="174" spans="1:8" x14ac:dyDescent="0.25">
      <c r="A174" s="250"/>
      <c r="B174" s="753" t="str">
        <f>IF(B$175*chptechcaplow&lt;B$176,C174,IF(B$175*chptechcaphigh&gt;B$177,D174,LOOKUP(B$175,C$175:X$175,C174:X174)))</f>
        <v>Fuel Cell</v>
      </c>
      <c r="C174" s="194" t="s">
        <v>283</v>
      </c>
      <c r="D174" s="194" t="s">
        <v>283</v>
      </c>
      <c r="E174" s="194" t="s">
        <v>283</v>
      </c>
      <c r="F174" s="194" t="s">
        <v>283</v>
      </c>
      <c r="G174" s="194" t="s">
        <v>283</v>
      </c>
      <c r="H174" s="194"/>
    </row>
    <row r="175" spans="1:8" x14ac:dyDescent="0.25">
      <c r="A175" s="754" t="s">
        <v>484</v>
      </c>
      <c r="B175" s="755">
        <f>chpcapinput</f>
        <v>0</v>
      </c>
      <c r="C175" s="767">
        <v>5</v>
      </c>
      <c r="D175" s="767">
        <v>300</v>
      </c>
      <c r="E175" s="767">
        <v>400</v>
      </c>
      <c r="F175" s="767">
        <v>1500</v>
      </c>
      <c r="G175" s="767">
        <v>3000</v>
      </c>
      <c r="H175" s="194"/>
    </row>
    <row r="176" spans="1:8" ht="13" x14ac:dyDescent="0.3">
      <c r="A176" s="754" t="s">
        <v>485</v>
      </c>
      <c r="B176" s="755">
        <f>chptechcaplow*MIN(C175:BA175)</f>
        <v>5</v>
      </c>
      <c r="C176" s="747"/>
      <c r="D176" s="747"/>
      <c r="E176" s="747"/>
      <c r="F176" s="747"/>
      <c r="G176" s="747"/>
      <c r="H176" s="1"/>
    </row>
    <row r="177" spans="1:8" ht="13" x14ac:dyDescent="0.3">
      <c r="A177" s="754" t="s">
        <v>486</v>
      </c>
      <c r="B177" s="755">
        <f>chptechcaphigh*MAX(C175:BA175)</f>
        <v>3000</v>
      </c>
      <c r="C177" s="747"/>
      <c r="D177" s="747"/>
      <c r="E177" s="747"/>
      <c r="F177" s="747"/>
      <c r="G177" s="747"/>
      <c r="H177" s="1"/>
    </row>
    <row r="178" spans="1:8" ht="13" x14ac:dyDescent="0.3">
      <c r="A178" s="194" t="s">
        <v>487</v>
      </c>
      <c r="B178" s="753" t="str">
        <f>IF(B$175*chptechcaplow&lt;B$176,C178,IF(B$175*chptechcaphigh&gt;B$177,D178,LOOKUP(B$175,C$175:X$175,C178:X178)))</f>
        <v>ClearEdge SOFC</v>
      </c>
      <c r="C178" s="782" t="s">
        <v>502</v>
      </c>
      <c r="D178" s="782" t="s">
        <v>503</v>
      </c>
      <c r="E178" s="782" t="s">
        <v>504</v>
      </c>
      <c r="F178" s="782" t="s">
        <v>503</v>
      </c>
      <c r="G178" s="782" t="s">
        <v>503</v>
      </c>
      <c r="H178" s="1"/>
    </row>
    <row r="179" spans="1:8" x14ac:dyDescent="0.25">
      <c r="A179" s="194" t="s">
        <v>488</v>
      </c>
      <c r="B179" s="753" t="str">
        <f>IF(B$175*chptechcaplow&lt;B$176,C179,IF(B$175*chptechcaphigh&gt;B$177,D179,LOOKUP(B$175,C$175:X$175,C179:X179)))</f>
        <v>Natural Gas</v>
      </c>
      <c r="C179" s="194" t="s">
        <v>401</v>
      </c>
      <c r="D179" s="194" t="s">
        <v>401</v>
      </c>
      <c r="E179" s="194" t="s">
        <v>401</v>
      </c>
      <c r="F179" s="194" t="s">
        <v>401</v>
      </c>
      <c r="G179" s="194" t="s">
        <v>401</v>
      </c>
      <c r="H179" s="194"/>
    </row>
    <row r="180" spans="1:8" x14ac:dyDescent="0.25">
      <c r="A180" s="194"/>
      <c r="B180" s="778"/>
      <c r="C180" s="194"/>
      <c r="D180" s="194"/>
      <c r="E180" s="194"/>
      <c r="F180" s="194"/>
      <c r="G180" s="194"/>
      <c r="H180" s="194"/>
    </row>
    <row r="181" spans="1:8" x14ac:dyDescent="0.25">
      <c r="A181" s="194" t="s">
        <v>490</v>
      </c>
      <c r="B181" s="772">
        <f t="shared" ref="B181:B191" si="29">IF(B$175*chptechcaplow&lt;B$176,C181,IF(B$175*chptechcaphigh&gt;B$177,D181,LOOKUP(B$175,C$175:X$175,C181:X181)))</f>
        <v>0.30008795074758138</v>
      </c>
      <c r="C181" s="251">
        <f>3412/C182</f>
        <v>0.30008795074758138</v>
      </c>
      <c r="D181" s="251">
        <f>3412/D182</f>
        <v>0.42533034156070804</v>
      </c>
      <c r="E181" s="251">
        <f>3412/E182</f>
        <v>0.37995545657015589</v>
      </c>
      <c r="F181" s="251">
        <f>3412/F182</f>
        <v>0.42533034156070804</v>
      </c>
      <c r="G181" s="251">
        <f>3412/G182</f>
        <v>0.42533034156070804</v>
      </c>
      <c r="H181" s="194"/>
    </row>
    <row r="182" spans="1:8" x14ac:dyDescent="0.25">
      <c r="A182" s="194" t="s">
        <v>142</v>
      </c>
      <c r="B182" s="755">
        <f t="shared" si="29"/>
        <v>11370</v>
      </c>
      <c r="C182" s="774">
        <v>11370</v>
      </c>
      <c r="D182" s="774">
        <v>8022</v>
      </c>
      <c r="E182" s="774">
        <v>8980</v>
      </c>
      <c r="F182" s="774">
        <v>8022</v>
      </c>
      <c r="G182" s="774">
        <v>8022</v>
      </c>
      <c r="H182" s="194"/>
    </row>
    <row r="183" spans="1:8" x14ac:dyDescent="0.25">
      <c r="A183" s="194" t="s">
        <v>491</v>
      </c>
      <c r="B183" s="755">
        <f t="shared" si="29"/>
        <v>10289.592760180996</v>
      </c>
      <c r="C183" s="767">
        <f>C182/1.105</f>
        <v>10289.592760180996</v>
      </c>
      <c r="D183" s="767">
        <f>D182/1.105</f>
        <v>7259.7285067873308</v>
      </c>
      <c r="E183" s="767">
        <f>E182/1.105</f>
        <v>8126.6968325791859</v>
      </c>
      <c r="F183" s="767">
        <f>F182/1.105</f>
        <v>7259.7285067873308</v>
      </c>
      <c r="G183" s="767">
        <f>G182/1.105</f>
        <v>7259.7285067873308</v>
      </c>
      <c r="H183" s="194"/>
    </row>
    <row r="184" spans="1:8" x14ac:dyDescent="0.25">
      <c r="A184" s="194" t="s">
        <v>492</v>
      </c>
      <c r="B184" s="753">
        <f t="shared" si="29"/>
        <v>0.85</v>
      </c>
      <c r="C184" s="774">
        <v>0.85</v>
      </c>
      <c r="D184" s="774">
        <v>1.27</v>
      </c>
      <c r="E184" s="774">
        <v>1.42</v>
      </c>
      <c r="F184" s="774">
        <v>1.27</v>
      </c>
      <c r="G184" s="774">
        <v>1.27</v>
      </c>
      <c r="H184" s="194"/>
    </row>
    <row r="185" spans="1:8" x14ac:dyDescent="0.25">
      <c r="A185" s="194" t="s">
        <v>493</v>
      </c>
      <c r="B185" s="758">
        <f t="shared" si="29"/>
        <v>3</v>
      </c>
      <c r="C185" s="774">
        <v>3</v>
      </c>
      <c r="D185" s="774"/>
      <c r="E185" s="774"/>
      <c r="F185" s="774"/>
      <c r="G185" s="774"/>
      <c r="H185" s="194"/>
    </row>
    <row r="186" spans="1:8" x14ac:dyDescent="0.25">
      <c r="A186" s="194" t="s">
        <v>494</v>
      </c>
      <c r="B186" s="758">
        <f t="shared" si="29"/>
        <v>0</v>
      </c>
      <c r="C186" s="194"/>
      <c r="D186" s="194"/>
      <c r="E186" s="194"/>
      <c r="F186" s="194"/>
      <c r="G186" s="194"/>
      <c r="H186" s="194"/>
    </row>
    <row r="187" spans="1:8" x14ac:dyDescent="0.25">
      <c r="A187" s="194" t="s">
        <v>462</v>
      </c>
      <c r="B187" s="761">
        <f t="shared" si="29"/>
        <v>2.6385224274406332E-3</v>
      </c>
      <c r="C187" s="780">
        <f>C188*1000/C182</f>
        <v>2.6385224274406332E-3</v>
      </c>
      <c r="D187" s="780">
        <f>D188*1000/D182</f>
        <v>1.2465719272001994E-3</v>
      </c>
      <c r="E187" s="780">
        <f>E188*1000/E182</f>
        <v>2.2271714922048997E-3</v>
      </c>
      <c r="F187" s="780">
        <f>F188*1000/F182</f>
        <v>1.2465719272001994E-3</v>
      </c>
      <c r="G187" s="780">
        <f>G188*1000/G182</f>
        <v>1.2465719272001994E-3</v>
      </c>
      <c r="H187" s="194"/>
    </row>
    <row r="188" spans="1:8" x14ac:dyDescent="0.25">
      <c r="A188" s="194" t="s">
        <v>226</v>
      </c>
      <c r="B188" s="758">
        <f t="shared" si="29"/>
        <v>0.03</v>
      </c>
      <c r="C188" s="774">
        <v>0.03</v>
      </c>
      <c r="D188" s="774">
        <v>0.01</v>
      </c>
      <c r="E188" s="774">
        <v>0.02</v>
      </c>
      <c r="F188" s="774">
        <v>0.01</v>
      </c>
      <c r="G188" s="774">
        <v>0.01</v>
      </c>
      <c r="H188" s="194"/>
    </row>
    <row r="189" spans="1:8" x14ac:dyDescent="0.25">
      <c r="A189" s="194" t="s">
        <v>464</v>
      </c>
      <c r="B189" s="763">
        <f t="shared" si="29"/>
        <v>1E-4</v>
      </c>
      <c r="C189" s="774">
        <v>1E-4</v>
      </c>
      <c r="D189" s="774">
        <v>1E-4</v>
      </c>
      <c r="E189" s="774">
        <v>1E-4</v>
      </c>
      <c r="F189" s="774">
        <v>1E-4</v>
      </c>
      <c r="G189" s="774">
        <v>1E-4</v>
      </c>
      <c r="H189" s="194"/>
    </row>
    <row r="190" spans="1:8" x14ac:dyDescent="0.25">
      <c r="A190" s="194" t="s">
        <v>227</v>
      </c>
      <c r="B190" s="763">
        <f t="shared" si="29"/>
        <v>1.137E-3</v>
      </c>
      <c r="C190" s="776">
        <f>C189*C182/1000</f>
        <v>1.137E-3</v>
      </c>
      <c r="D190" s="776">
        <f>D189*D182/1000</f>
        <v>8.0219999999999998E-4</v>
      </c>
      <c r="E190" s="776">
        <f>E189*E182/1000</f>
        <v>8.9800000000000004E-4</v>
      </c>
      <c r="F190" s="776">
        <f>F189*F182/1000</f>
        <v>8.0219999999999998E-4</v>
      </c>
      <c r="G190" s="776">
        <f>G189*G182/1000</f>
        <v>8.0219999999999998E-4</v>
      </c>
      <c r="H190" s="194"/>
    </row>
    <row r="191" spans="1:8" ht="13" thickBot="1" x14ac:dyDescent="0.3">
      <c r="A191" s="194" t="s">
        <v>228</v>
      </c>
      <c r="B191" s="765">
        <f t="shared" si="29"/>
        <v>1360</v>
      </c>
      <c r="C191" s="766">
        <v>1360</v>
      </c>
      <c r="D191" s="766">
        <v>1170</v>
      </c>
      <c r="E191" s="766">
        <v>1135</v>
      </c>
      <c r="F191" s="766">
        <v>950</v>
      </c>
      <c r="G191" s="766">
        <v>890</v>
      </c>
      <c r="H191" s="194"/>
    </row>
    <row r="194" spans="1:3" ht="13" thickBot="1" x14ac:dyDescent="0.3">
      <c r="A194" s="194"/>
      <c r="B194" s="194"/>
      <c r="C194" s="194"/>
    </row>
    <row r="195" spans="1:3" ht="13" x14ac:dyDescent="0.3">
      <c r="A195" s="1"/>
      <c r="B195" s="116" t="s">
        <v>505</v>
      </c>
      <c r="C195" s="194"/>
    </row>
    <row r="196" spans="1:3" ht="13.5" thickBot="1" x14ac:dyDescent="0.35">
      <c r="A196" s="1"/>
      <c r="B196" s="265" t="s">
        <v>506</v>
      </c>
      <c r="C196" s="194"/>
    </row>
    <row r="197" spans="1:3" x14ac:dyDescent="0.25">
      <c r="A197" s="194"/>
      <c r="B197" s="752">
        <f>IF(chptechinput=8,8,0)</f>
        <v>0</v>
      </c>
      <c r="C197" s="783">
        <v>8</v>
      </c>
    </row>
    <row r="198" spans="1:3" x14ac:dyDescent="0.25">
      <c r="A198" s="250"/>
      <c r="B198" s="753" t="str">
        <f>IF(B$199*chptechcaplow&lt;B$200,C198,IF(B$199*chptechcaphigh&gt;B$201,C198,LOOKUP(B$199,C$199:X$199,C198:X198)))</f>
        <v>Other</v>
      </c>
      <c r="C198" s="783" t="s">
        <v>285</v>
      </c>
    </row>
    <row r="199" spans="1:3" x14ac:dyDescent="0.25">
      <c r="A199" s="754" t="s">
        <v>484</v>
      </c>
      <c r="B199" s="755">
        <f>chpcapinput</f>
        <v>0</v>
      </c>
      <c r="C199" s="784">
        <f>chpcapinput</f>
        <v>0</v>
      </c>
    </row>
    <row r="200" spans="1:3" x14ac:dyDescent="0.25">
      <c r="A200" s="754" t="s">
        <v>485</v>
      </c>
      <c r="B200" s="755">
        <f>chptechcaplow*MIN(C199:BA199)</f>
        <v>0</v>
      </c>
      <c r="C200" s="784"/>
    </row>
    <row r="201" spans="1:3" x14ac:dyDescent="0.25">
      <c r="A201" s="754" t="s">
        <v>486</v>
      </c>
      <c r="B201" s="755">
        <f>chptechcaphigh*MAX(C199:BA199)</f>
        <v>0</v>
      </c>
      <c r="C201" s="784"/>
    </row>
    <row r="202" spans="1:3" x14ac:dyDescent="0.25">
      <c r="A202" s="194" t="s">
        <v>487</v>
      </c>
      <c r="B202" s="753">
        <f>IF(B$199*chptechcaplow&lt;B$200,C202,IF(B$199*chptechcaphigh&gt;B$201,C202,LOOKUP(B$199,C$199:X$199,C202:X202)))</f>
        <v>0</v>
      </c>
      <c r="C202" s="783"/>
    </row>
    <row r="203" spans="1:3" x14ac:dyDescent="0.25">
      <c r="A203" s="194" t="s">
        <v>488</v>
      </c>
      <c r="B203" s="753" t="e">
        <f>IF(B$199*chptechcaplow&lt;B$200,C203,IF(B$199*chptechcaphigh&gt;B$201,C203,LOOKUP(B$199,C$199:X$199,C203:X203)))</f>
        <v>#N/A</v>
      </c>
      <c r="C203" s="783" t="e">
        <f>LOOKUP(chpfuelinput,lista6a,lista6)</f>
        <v>#N/A</v>
      </c>
    </row>
    <row r="204" spans="1:3" x14ac:dyDescent="0.25">
      <c r="A204" s="194"/>
      <c r="B204" s="778"/>
      <c r="C204" s="783"/>
    </row>
    <row r="205" spans="1:3" x14ac:dyDescent="0.25">
      <c r="A205" s="194" t="s">
        <v>490</v>
      </c>
      <c r="B205" s="772">
        <f t="shared" ref="B205:B215" si="30">IF(B$199*chptechcaplow&lt;B$200,C205,IF(B$199*chptechcaphigh&gt;B$201,C205,LOOKUP(B$199,C$199:X$199,C205:X205)))</f>
        <v>0</v>
      </c>
      <c r="C205" s="785">
        <f>chpeffinput1</f>
        <v>0</v>
      </c>
    </row>
    <row r="206" spans="1:3" x14ac:dyDescent="0.25">
      <c r="A206" s="194" t="s">
        <v>142</v>
      </c>
      <c r="B206" s="755">
        <f t="shared" si="30"/>
        <v>0</v>
      </c>
      <c r="C206" s="784">
        <f>chpeffinput2</f>
        <v>0</v>
      </c>
    </row>
    <row r="207" spans="1:3" x14ac:dyDescent="0.25">
      <c r="A207" s="194" t="s">
        <v>491</v>
      </c>
      <c r="B207" s="755">
        <f t="shared" si="30"/>
        <v>0</v>
      </c>
      <c r="C207" s="747">
        <f>chpeffinput3</f>
        <v>0</v>
      </c>
    </row>
    <row r="208" spans="1:3" x14ac:dyDescent="0.25">
      <c r="A208" s="194" t="s">
        <v>492</v>
      </c>
      <c r="B208" s="758">
        <f t="shared" si="30"/>
        <v>0</v>
      </c>
      <c r="C208" s="786">
        <f>chpphinput</f>
        <v>0</v>
      </c>
    </row>
    <row r="209" spans="1:10" x14ac:dyDescent="0.25">
      <c r="A209" s="194" t="s">
        <v>493</v>
      </c>
      <c r="B209" s="758">
        <f t="shared" si="30"/>
        <v>0</v>
      </c>
      <c r="C209" s="783">
        <f>chpnoxinput1</f>
        <v>0</v>
      </c>
      <c r="D209" s="194"/>
      <c r="E209" s="194"/>
      <c r="F209" s="194"/>
      <c r="G209" s="194"/>
      <c r="H209" s="194"/>
      <c r="I209" s="194"/>
      <c r="J209" s="194"/>
    </row>
    <row r="210" spans="1:10" x14ac:dyDescent="0.25">
      <c r="A210" s="194" t="s">
        <v>494</v>
      </c>
      <c r="B210" s="758">
        <f t="shared" si="30"/>
        <v>0</v>
      </c>
      <c r="C210" s="783">
        <f>chpnoxinput2</f>
        <v>0</v>
      </c>
      <c r="D210" s="194"/>
      <c r="E210" s="194"/>
      <c r="F210" s="194"/>
      <c r="G210" s="194"/>
      <c r="H210" s="194"/>
      <c r="I210" s="194"/>
      <c r="J210" s="194"/>
    </row>
    <row r="211" spans="1:10" x14ac:dyDescent="0.25">
      <c r="A211" s="194" t="s">
        <v>462</v>
      </c>
      <c r="B211" s="761">
        <f t="shared" si="30"/>
        <v>0</v>
      </c>
      <c r="C211" s="787">
        <f>chpnoxinput3</f>
        <v>0</v>
      </c>
      <c r="D211" s="194"/>
      <c r="E211" s="194"/>
      <c r="F211" s="194"/>
      <c r="G211" s="194"/>
      <c r="H211" s="194"/>
      <c r="I211" s="194"/>
      <c r="J211" s="194"/>
    </row>
    <row r="212" spans="1:10" x14ac:dyDescent="0.25">
      <c r="A212" s="194" t="s">
        <v>226</v>
      </c>
      <c r="B212" s="758">
        <f t="shared" si="30"/>
        <v>0</v>
      </c>
      <c r="C212" s="786">
        <f>C211*C206/1000</f>
        <v>0</v>
      </c>
      <c r="D212" s="194"/>
      <c r="E212" s="194"/>
      <c r="F212" s="194"/>
      <c r="G212" s="194"/>
      <c r="H212" s="194"/>
      <c r="I212" s="194"/>
      <c r="J212" s="194"/>
    </row>
    <row r="213" spans="1:10" x14ac:dyDescent="0.25">
      <c r="A213" s="194" t="s">
        <v>464</v>
      </c>
      <c r="B213" s="763">
        <f t="shared" si="30"/>
        <v>0</v>
      </c>
      <c r="C213" s="788"/>
      <c r="D213" s="788"/>
      <c r="E213" s="194"/>
      <c r="F213" s="194"/>
      <c r="G213" s="194"/>
      <c r="H213" s="194"/>
      <c r="I213" s="194"/>
      <c r="J213" s="194"/>
    </row>
    <row r="214" spans="1:10" x14ac:dyDescent="0.25">
      <c r="A214" s="194" t="s">
        <v>227</v>
      </c>
      <c r="B214" s="763">
        <f t="shared" si="30"/>
        <v>0</v>
      </c>
      <c r="C214" s="788">
        <f>C213*C206/1000</f>
        <v>0</v>
      </c>
      <c r="D214" s="788"/>
      <c r="E214" s="194"/>
      <c r="F214" s="194"/>
      <c r="G214" s="194"/>
      <c r="H214" s="194"/>
      <c r="I214" s="194"/>
      <c r="J214" s="194"/>
    </row>
    <row r="215" spans="1:10" ht="13" thickBot="1" x14ac:dyDescent="0.3">
      <c r="A215" s="194" t="s">
        <v>228</v>
      </c>
      <c r="B215" s="765">
        <f t="shared" si="30"/>
        <v>0</v>
      </c>
      <c r="C215" s="789"/>
      <c r="D215" s="789"/>
      <c r="E215" s="194"/>
      <c r="F215" s="194"/>
      <c r="G215" s="194"/>
      <c r="H215" s="194"/>
      <c r="I215" s="194"/>
      <c r="J215" s="194"/>
    </row>
    <row r="218" spans="1:10" ht="13" thickBot="1" x14ac:dyDescent="0.3">
      <c r="A218" s="194"/>
      <c r="B218" s="194"/>
      <c r="C218" s="194"/>
      <c r="D218" s="194"/>
      <c r="E218" s="194"/>
      <c r="F218" s="194"/>
      <c r="G218" s="194"/>
      <c r="H218" s="194"/>
      <c r="I218" s="194"/>
      <c r="J218" s="194"/>
    </row>
    <row r="219" spans="1:10" ht="13" x14ac:dyDescent="0.3">
      <c r="A219" s="1"/>
      <c r="B219" s="116"/>
      <c r="C219" s="194"/>
      <c r="D219" s="194"/>
      <c r="E219" s="194"/>
      <c r="F219" s="194"/>
      <c r="G219" s="194"/>
      <c r="H219" s="194"/>
      <c r="I219" s="194"/>
      <c r="J219" s="194"/>
    </row>
    <row r="220" spans="1:10" ht="13" x14ac:dyDescent="0.3">
      <c r="A220" s="1"/>
      <c r="B220" s="265" t="s">
        <v>507</v>
      </c>
      <c r="C220" s="194"/>
      <c r="D220" s="194"/>
      <c r="E220" s="194"/>
      <c r="F220" s="194"/>
      <c r="G220" s="194"/>
      <c r="H220" s="194"/>
      <c r="I220" s="194"/>
      <c r="J220" s="194"/>
    </row>
    <row r="221" spans="1:10" ht="13.5" thickBot="1" x14ac:dyDescent="0.35">
      <c r="A221" s="1"/>
      <c r="B221" s="265">
        <f>chpfuelinput</f>
        <v>0</v>
      </c>
      <c r="C221" s="194">
        <v>1</v>
      </c>
      <c r="D221" s="194">
        <v>2</v>
      </c>
      <c r="E221" s="194">
        <v>3</v>
      </c>
      <c r="F221" s="194">
        <v>4</v>
      </c>
      <c r="G221" s="194">
        <v>5</v>
      </c>
      <c r="H221" s="194">
        <v>6</v>
      </c>
      <c r="I221" s="194"/>
      <c r="J221" s="194" t="s">
        <v>508</v>
      </c>
    </row>
    <row r="222" spans="1:10" ht="13" x14ac:dyDescent="0.3">
      <c r="A222" s="194" t="s">
        <v>462</v>
      </c>
      <c r="B222" s="752" t="e">
        <f>LOOKUP(chpfuelinput,C221:I221,C222:H222)</f>
        <v>#N/A</v>
      </c>
      <c r="C222" s="783">
        <v>0.08</v>
      </c>
      <c r="D222" s="783">
        <v>0.08</v>
      </c>
      <c r="E222" s="783">
        <v>0.08</v>
      </c>
      <c r="F222" s="783">
        <v>0.08</v>
      </c>
      <c r="G222" s="194"/>
      <c r="H222" s="194"/>
      <c r="I222" s="194"/>
      <c r="J222" s="1" t="s">
        <v>509</v>
      </c>
    </row>
    <row r="223" spans="1:10" ht="13" thickBot="1" x14ac:dyDescent="0.3">
      <c r="A223" s="194" t="s">
        <v>493</v>
      </c>
      <c r="B223" s="765" t="e">
        <f>LOOKUP(chpfuelinput,C221:I221,C223:H223)</f>
        <v>#N/A</v>
      </c>
      <c r="C223" s="789">
        <f>C222*ppmbtu</f>
        <v>21.76</v>
      </c>
      <c r="D223" s="789">
        <f>D222*ppmbtud</f>
        <v>20.64</v>
      </c>
      <c r="E223" s="789">
        <f>E222*ppmbtud</f>
        <v>20.64</v>
      </c>
      <c r="F223" s="789">
        <f>F222*ppmbtu</f>
        <v>21.76</v>
      </c>
      <c r="G223" s="194"/>
      <c r="H223" s="194"/>
      <c r="I223" s="194"/>
      <c r="J223" s="194"/>
    </row>
    <row r="224" spans="1:10" x14ac:dyDescent="0.25">
      <c r="A224" s="194"/>
      <c r="B224" s="194"/>
      <c r="C224" s="194"/>
      <c r="D224" s="194"/>
      <c r="E224" s="194"/>
      <c r="F224" s="194"/>
      <c r="G224" s="194"/>
      <c r="H224" s="194"/>
      <c r="I224" s="194"/>
      <c r="J224" s="790"/>
    </row>
    <row r="226" spans="1:45" ht="13" thickBot="1" x14ac:dyDescent="0.3">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row>
    <row r="227" spans="1:45" ht="13" x14ac:dyDescent="0.3">
      <c r="A227" s="1"/>
      <c r="B227" s="116"/>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row>
    <row r="228" spans="1:45" s="50" customFormat="1" ht="50.5" x14ac:dyDescent="0.3">
      <c r="A228" s="112"/>
      <c r="B228" s="791" t="s">
        <v>510</v>
      </c>
      <c r="C228" s="248" t="s">
        <v>511</v>
      </c>
      <c r="D228" s="248" t="s">
        <v>512</v>
      </c>
      <c r="E228" s="248" t="s">
        <v>279</v>
      </c>
      <c r="F228" s="248" t="s">
        <v>280</v>
      </c>
      <c r="G228" s="248" t="s">
        <v>281</v>
      </c>
      <c r="H228" s="248" t="s">
        <v>282</v>
      </c>
      <c r="I228" s="248" t="s">
        <v>283</v>
      </c>
      <c r="J228" s="248" t="s">
        <v>285</v>
      </c>
      <c r="K228" s="248"/>
      <c r="L228" s="248" t="s">
        <v>513</v>
      </c>
      <c r="M228" s="248"/>
      <c r="N228" s="248"/>
      <c r="O228" s="248"/>
      <c r="P228" s="248"/>
      <c r="Q228" s="248"/>
      <c r="R228" s="248"/>
      <c r="S228" s="248"/>
      <c r="T228" s="248"/>
      <c r="U228" s="248"/>
      <c r="V228" s="248"/>
      <c r="W228" s="248"/>
      <c r="X228" s="248"/>
      <c r="Y228" s="248"/>
      <c r="Z228" s="248"/>
      <c r="AA228" s="248"/>
      <c r="AB228" s="248"/>
      <c r="AC228" s="248"/>
      <c r="AD228" s="248"/>
      <c r="AE228" s="248"/>
      <c r="AF228" s="248"/>
      <c r="AG228" s="248"/>
      <c r="AH228" s="248"/>
      <c r="AI228" s="248"/>
      <c r="AJ228" s="248"/>
      <c r="AK228" s="248"/>
      <c r="AL228" s="248"/>
      <c r="AM228" s="248"/>
      <c r="AN228" s="248"/>
      <c r="AO228" s="248"/>
      <c r="AP228" s="248"/>
      <c r="AQ228" s="248"/>
      <c r="AR228" s="248"/>
      <c r="AS228" s="248"/>
    </row>
    <row r="229" spans="1:45" ht="13.5" thickBot="1" x14ac:dyDescent="0.35">
      <c r="A229" s="1"/>
      <c r="B229" s="265">
        <f>chptechinput</f>
        <v>0</v>
      </c>
      <c r="C229" s="194">
        <v>1</v>
      </c>
      <c r="D229" s="194">
        <v>2</v>
      </c>
      <c r="E229" s="194">
        <v>3</v>
      </c>
      <c r="F229" s="194">
        <v>4</v>
      </c>
      <c r="G229" s="194">
        <v>5</v>
      </c>
      <c r="H229" s="194">
        <v>6</v>
      </c>
      <c r="I229" s="194">
        <v>7</v>
      </c>
      <c r="J229" s="194">
        <v>8</v>
      </c>
      <c r="K229" s="194"/>
      <c r="L229" s="1" t="s">
        <v>514</v>
      </c>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row>
    <row r="230" spans="1:45" ht="13" thickBot="1" x14ac:dyDescent="0.3">
      <c r="A230" s="194" t="s">
        <v>515</v>
      </c>
      <c r="B230" s="752" t="e">
        <f>LOOKUP(chptechinput,C229:M229,C230:M230)</f>
        <v>#N/A</v>
      </c>
      <c r="C230" s="783">
        <v>0.7</v>
      </c>
      <c r="D230" s="783">
        <v>0.7</v>
      </c>
      <c r="E230" s="783">
        <v>0.7</v>
      </c>
      <c r="F230" s="783">
        <v>0.7</v>
      </c>
      <c r="G230" s="783">
        <v>0.7</v>
      </c>
      <c r="H230" s="783">
        <v>0.7</v>
      </c>
      <c r="I230" s="783">
        <v>0.7</v>
      </c>
      <c r="J230" s="783">
        <v>0.7</v>
      </c>
      <c r="K230" s="194"/>
      <c r="L230" s="194" t="s">
        <v>516</v>
      </c>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row>
    <row r="231" spans="1:45" x14ac:dyDescent="0.25">
      <c r="A231" s="194" t="s">
        <v>517</v>
      </c>
      <c r="B231" s="752" t="e">
        <f>LOOKUP(chptechinput,C230:M230,C231:M231)</f>
        <v>#N/A</v>
      </c>
      <c r="C231" s="789">
        <v>1.4</v>
      </c>
      <c r="D231" s="789">
        <v>1.4</v>
      </c>
      <c r="E231" s="789">
        <v>1.4</v>
      </c>
      <c r="F231" s="789">
        <v>1.4</v>
      </c>
      <c r="G231" s="789">
        <v>1.4</v>
      </c>
      <c r="H231" s="789">
        <v>1.4</v>
      </c>
      <c r="I231" s="789">
        <v>1.4</v>
      </c>
      <c r="J231" s="789">
        <v>1.4</v>
      </c>
      <c r="K231" s="194"/>
      <c r="L231" s="790" t="s">
        <v>518</v>
      </c>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row>
  </sheetData>
  <phoneticPr fontId="18" type="noConversion"/>
  <printOptions horizontalCentered="1" gridLines="1"/>
  <pageMargins left="0.5" right="0.5" top="0.5" bottom="0.75" header="0.5" footer="0.5"/>
  <pageSetup scale="70" fitToWidth="0" fitToHeight="0" orientation="portrait" r:id="rId1"/>
  <headerFooter alignWithMargins="0">
    <oddFooter>&amp;L&amp;F, &amp;A&amp;R&amp;D</oddFooter>
  </headerFooter>
  <ignoredErrors>
    <ignoredError sqref="B199:C202 B204:C221 G223" unlockedFormula="1"/>
    <ignoredError sqref="B203:C203 B222:C223 D223:F223" evalError="1" unlockedFormula="1"/>
    <ignoredError sqref="D222:F222" evalError="1"/>
  </ignoredError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FI62"/>
  <sheetViews>
    <sheetView zoomScaleNormal="100" workbookViewId="0">
      <pane xSplit="3" ySplit="4" topLeftCell="D5" activePane="bottomRight" state="frozen"/>
      <selection pane="topRight" activeCell="D1" sqref="D1"/>
      <selection pane="bottomLeft" activeCell="C5" sqref="C5"/>
      <selection pane="bottomRight" activeCell="D1" sqref="D1"/>
    </sheetView>
  </sheetViews>
  <sheetFormatPr defaultColWidth="8.81640625" defaultRowHeight="12" x14ac:dyDescent="0.3"/>
  <cols>
    <col min="1" max="1" width="5.7265625" style="409" customWidth="1"/>
    <col min="2" max="2" width="10.54296875" style="409" customWidth="1"/>
    <col min="3" max="3" width="25.81640625" style="409" customWidth="1"/>
    <col min="4" max="4" width="8.81640625" style="410"/>
    <col min="5" max="121" width="15.54296875" style="410" customWidth="1"/>
    <col min="122" max="122" width="15.54296875" style="410" hidden="1" customWidth="1"/>
    <col min="123" max="124" width="12.54296875" style="410" customWidth="1"/>
    <col min="125" max="16384" width="8.81640625" style="410"/>
  </cols>
  <sheetData>
    <row r="1" spans="1:165" ht="13.4" customHeight="1" x14ac:dyDescent="0.3">
      <c r="A1" s="944" t="s">
        <v>519</v>
      </c>
      <c r="B1" s="944"/>
      <c r="C1" s="944"/>
      <c r="D1" s="420"/>
      <c r="E1" s="665" t="s">
        <v>520</v>
      </c>
      <c r="F1" s="666" t="s">
        <v>521</v>
      </c>
      <c r="G1" s="666" t="s">
        <v>522</v>
      </c>
      <c r="H1" s="683" t="s">
        <v>523</v>
      </c>
      <c r="I1" s="683" t="s">
        <v>524</v>
      </c>
      <c r="J1" s="666" t="s">
        <v>525</v>
      </c>
      <c r="K1" s="666" t="s">
        <v>526</v>
      </c>
      <c r="L1" s="666" t="s">
        <v>527</v>
      </c>
      <c r="M1" s="666" t="s">
        <v>528</v>
      </c>
      <c r="N1" s="666" t="s">
        <v>529</v>
      </c>
      <c r="O1" s="666" t="s">
        <v>530</v>
      </c>
      <c r="P1" s="666" t="s">
        <v>531</v>
      </c>
      <c r="Q1" s="666" t="s">
        <v>532</v>
      </c>
      <c r="R1" s="666" t="s">
        <v>533</v>
      </c>
      <c r="S1" s="666" t="s">
        <v>534</v>
      </c>
      <c r="T1" s="667" t="s">
        <v>535</v>
      </c>
      <c r="U1" s="667" t="s">
        <v>536</v>
      </c>
      <c r="V1" s="667" t="s">
        <v>537</v>
      </c>
      <c r="W1" s="667" t="s">
        <v>538</v>
      </c>
      <c r="X1" s="667" t="s">
        <v>539</v>
      </c>
      <c r="Y1" s="667" t="s">
        <v>540</v>
      </c>
      <c r="Z1" s="667" t="s">
        <v>541</v>
      </c>
      <c r="AA1" s="667" t="s">
        <v>542</v>
      </c>
      <c r="AB1" s="668" t="s">
        <v>543</v>
      </c>
      <c r="AC1" s="668" t="s">
        <v>544</v>
      </c>
      <c r="AD1" s="668" t="s">
        <v>545</v>
      </c>
      <c r="AE1" s="668" t="s">
        <v>546</v>
      </c>
      <c r="AF1" s="684" t="s">
        <v>547</v>
      </c>
      <c r="AG1" s="684" t="s">
        <v>548</v>
      </c>
      <c r="AH1" s="684" t="s">
        <v>549</v>
      </c>
      <c r="AI1" s="686" t="s">
        <v>550</v>
      </c>
      <c r="AJ1" s="669" t="s">
        <v>551</v>
      </c>
      <c r="AK1" s="669" t="s">
        <v>552</v>
      </c>
      <c r="AL1" s="669" t="s">
        <v>553</v>
      </c>
      <c r="AM1" s="669" t="s">
        <v>554</v>
      </c>
      <c r="AN1" s="669" t="s">
        <v>555</v>
      </c>
      <c r="AO1" s="669" t="s">
        <v>556</v>
      </c>
      <c r="AP1" s="690" t="s">
        <v>557</v>
      </c>
      <c r="AQ1" s="669" t="s">
        <v>558</v>
      </c>
      <c r="AR1" s="670" t="s">
        <v>559</v>
      </c>
      <c r="AS1" s="670" t="s">
        <v>560</v>
      </c>
      <c r="AT1" s="670" t="s">
        <v>561</v>
      </c>
      <c r="AU1" s="670" t="s">
        <v>562</v>
      </c>
      <c r="AV1" s="670" t="s">
        <v>563</v>
      </c>
      <c r="AW1" s="670" t="s">
        <v>564</v>
      </c>
      <c r="AX1" s="670" t="s">
        <v>565</v>
      </c>
      <c r="AY1" s="670" t="s">
        <v>566</v>
      </c>
      <c r="AZ1" s="670" t="s">
        <v>567</v>
      </c>
      <c r="BA1" s="670" t="s">
        <v>568</v>
      </c>
      <c r="BB1" s="670" t="s">
        <v>569</v>
      </c>
      <c r="BC1" s="670" t="s">
        <v>570</v>
      </c>
      <c r="BD1" s="670" t="s">
        <v>571</v>
      </c>
      <c r="BE1" s="670" t="s">
        <v>572</v>
      </c>
      <c r="BF1" s="670" t="s">
        <v>573</v>
      </c>
      <c r="BG1" s="670" t="s">
        <v>574</v>
      </c>
      <c r="BH1" s="688" t="s">
        <v>575</v>
      </c>
      <c r="BI1" s="688" t="s">
        <v>576</v>
      </c>
      <c r="BJ1" s="688" t="s">
        <v>577</v>
      </c>
      <c r="BK1" s="688" t="s">
        <v>578</v>
      </c>
      <c r="BL1" s="688" t="s">
        <v>579</v>
      </c>
      <c r="BM1" s="688" t="s">
        <v>580</v>
      </c>
      <c r="BN1" s="688" t="s">
        <v>581</v>
      </c>
      <c r="BO1" s="688" t="s">
        <v>582</v>
      </c>
      <c r="BP1" s="688" t="s">
        <v>583</v>
      </c>
      <c r="BQ1" s="688" t="s">
        <v>584</v>
      </c>
      <c r="BR1" s="688" t="s">
        <v>585</v>
      </c>
      <c r="BS1" s="688" t="s">
        <v>586</v>
      </c>
      <c r="BT1" s="670" t="s">
        <v>587</v>
      </c>
      <c r="BU1" s="670" t="s">
        <v>588</v>
      </c>
      <c r="BV1" s="671" t="s">
        <v>589</v>
      </c>
      <c r="BW1" s="671" t="s">
        <v>590</v>
      </c>
      <c r="BX1" s="671" t="s">
        <v>591</v>
      </c>
      <c r="BY1" s="671" t="s">
        <v>592</v>
      </c>
      <c r="BZ1" s="671" t="s">
        <v>593</v>
      </c>
      <c r="CA1" s="671" t="s">
        <v>594</v>
      </c>
      <c r="CB1" s="671" t="s">
        <v>595</v>
      </c>
      <c r="CC1" s="671" t="s">
        <v>596</v>
      </c>
      <c r="CD1" s="671" t="s">
        <v>597</v>
      </c>
      <c r="CE1" s="671" t="s">
        <v>598</v>
      </c>
      <c r="CF1" s="671" t="s">
        <v>599</v>
      </c>
      <c r="CG1" s="671" t="s">
        <v>600</v>
      </c>
      <c r="CH1" s="671" t="s">
        <v>601</v>
      </c>
      <c r="CI1" s="671" t="s">
        <v>602</v>
      </c>
      <c r="CJ1" s="671" t="s">
        <v>603</v>
      </c>
      <c r="CK1" s="671" t="s">
        <v>604</v>
      </c>
      <c r="CL1" s="692" t="s">
        <v>605</v>
      </c>
      <c r="CM1" s="692" t="s">
        <v>606</v>
      </c>
      <c r="CN1" s="692" t="s">
        <v>607</v>
      </c>
      <c r="CO1" s="692" t="s">
        <v>608</v>
      </c>
      <c r="CP1" s="692" t="s">
        <v>609</v>
      </c>
      <c r="CQ1" s="692" t="s">
        <v>610</v>
      </c>
      <c r="CR1" s="692" t="s">
        <v>611</v>
      </c>
      <c r="CS1" s="692" t="s">
        <v>612</v>
      </c>
      <c r="CT1" s="692" t="s">
        <v>613</v>
      </c>
      <c r="CU1" s="692" t="s">
        <v>614</v>
      </c>
      <c r="CV1" s="692" t="s">
        <v>615</v>
      </c>
      <c r="CW1" s="692" t="s">
        <v>616</v>
      </c>
      <c r="CX1" s="671" t="s">
        <v>617</v>
      </c>
      <c r="CY1" s="671" t="s">
        <v>618</v>
      </c>
      <c r="CZ1" s="672" t="s">
        <v>619</v>
      </c>
      <c r="DA1" s="672" t="s">
        <v>620</v>
      </c>
      <c r="DB1" s="672" t="s">
        <v>621</v>
      </c>
      <c r="DC1" s="672" t="s">
        <v>622</v>
      </c>
      <c r="DD1" s="698" t="s">
        <v>623</v>
      </c>
      <c r="DE1" s="698" t="s">
        <v>624</v>
      </c>
      <c r="DF1" s="698" t="s">
        <v>625</v>
      </c>
      <c r="DG1" s="672" t="s">
        <v>626</v>
      </c>
      <c r="DH1" s="673" t="s">
        <v>627</v>
      </c>
      <c r="DI1" s="673" t="s">
        <v>628</v>
      </c>
      <c r="DJ1" s="673" t="s">
        <v>629</v>
      </c>
      <c r="DK1" s="673" t="s">
        <v>630</v>
      </c>
      <c r="DL1" s="673" t="s">
        <v>631</v>
      </c>
      <c r="DM1" s="673" t="s">
        <v>632</v>
      </c>
      <c r="DN1" s="673" t="s">
        <v>633</v>
      </c>
      <c r="DO1" s="673" t="s">
        <v>634</v>
      </c>
      <c r="DP1" s="673" t="s">
        <v>635</v>
      </c>
      <c r="DQ1" s="673" t="s">
        <v>636</v>
      </c>
      <c r="DR1" s="673" t="s">
        <v>637</v>
      </c>
      <c r="DS1" s="674" t="s">
        <v>638</v>
      </c>
      <c r="DT1" s="674" t="s">
        <v>639</v>
      </c>
      <c r="DU1" s="675" t="s">
        <v>640</v>
      </c>
      <c r="DV1" s="676" t="s">
        <v>641</v>
      </c>
      <c r="DW1" s="676" t="s">
        <v>642</v>
      </c>
      <c r="DX1" s="677" t="s">
        <v>643</v>
      </c>
      <c r="DY1" s="677" t="s">
        <v>644</v>
      </c>
      <c r="DZ1" s="677" t="s">
        <v>645</v>
      </c>
      <c r="EA1" s="677" t="s">
        <v>646</v>
      </c>
      <c r="EB1" s="677" t="s">
        <v>647</v>
      </c>
      <c r="EC1" s="677" t="s">
        <v>648</v>
      </c>
      <c r="ED1" s="677" t="s">
        <v>649</v>
      </c>
      <c r="EE1" s="677" t="s">
        <v>650</v>
      </c>
      <c r="EF1" s="677" t="s">
        <v>651</v>
      </c>
      <c r="EG1" s="677" t="s">
        <v>652</v>
      </c>
      <c r="EH1" s="677" t="s">
        <v>653</v>
      </c>
      <c r="EI1" s="678" t="s">
        <v>654</v>
      </c>
      <c r="EJ1" s="678" t="s">
        <v>655</v>
      </c>
      <c r="EK1" s="679" t="s">
        <v>656</v>
      </c>
      <c r="EL1" s="680" t="s">
        <v>657</v>
      </c>
      <c r="EM1" s="680" t="s">
        <v>658</v>
      </c>
      <c r="EN1" s="681" t="s">
        <v>659</v>
      </c>
      <c r="EO1" s="681" t="s">
        <v>660</v>
      </c>
      <c r="EP1" s="681" t="s">
        <v>661</v>
      </c>
      <c r="EQ1" s="681" t="s">
        <v>662</v>
      </c>
      <c r="ER1" s="681" t="s">
        <v>663</v>
      </c>
      <c r="ES1" s="681" t="s">
        <v>664</v>
      </c>
      <c r="ET1" s="681" t="s">
        <v>665</v>
      </c>
      <c r="EU1" s="681" t="s">
        <v>666</v>
      </c>
      <c r="EV1" s="681" t="s">
        <v>667</v>
      </c>
      <c r="EW1" s="681" t="s">
        <v>668</v>
      </c>
      <c r="EX1" s="681" t="s">
        <v>669</v>
      </c>
      <c r="EY1" s="682" t="s">
        <v>670</v>
      </c>
      <c r="EZ1" s="682" t="s">
        <v>671</v>
      </c>
      <c r="FA1" s="682" t="s">
        <v>672</v>
      </c>
      <c r="FB1" s="682" t="s">
        <v>673</v>
      </c>
      <c r="FC1" s="682" t="s">
        <v>674</v>
      </c>
      <c r="FD1" s="682" t="s">
        <v>675</v>
      </c>
      <c r="FE1" s="682" t="s">
        <v>676</v>
      </c>
      <c r="FF1" s="682" t="s">
        <v>677</v>
      </c>
      <c r="FG1" s="682" t="s">
        <v>678</v>
      </c>
      <c r="FH1" s="682" t="s">
        <v>679</v>
      </c>
      <c r="FI1" s="682" t="s">
        <v>680</v>
      </c>
    </row>
    <row r="2" spans="1:165" ht="40.4" customHeight="1" x14ac:dyDescent="0.3">
      <c r="A2" s="944"/>
      <c r="B2" s="944"/>
      <c r="C2" s="944"/>
      <c r="D2" s="409"/>
      <c r="E2" s="647" t="s">
        <v>681</v>
      </c>
      <c r="F2" s="648" t="s">
        <v>682</v>
      </c>
      <c r="G2" s="648" t="s">
        <v>683</v>
      </c>
      <c r="H2" s="648" t="s">
        <v>684</v>
      </c>
      <c r="I2" s="648" t="s">
        <v>685</v>
      </c>
      <c r="J2" s="648" t="s">
        <v>686</v>
      </c>
      <c r="K2" s="648" t="s">
        <v>687</v>
      </c>
      <c r="L2" s="648" t="s">
        <v>688</v>
      </c>
      <c r="M2" s="648" t="s">
        <v>689</v>
      </c>
      <c r="N2" s="648" t="s">
        <v>690</v>
      </c>
      <c r="O2" s="648" t="s">
        <v>691</v>
      </c>
      <c r="P2" s="648" t="s">
        <v>692</v>
      </c>
      <c r="Q2" s="648" t="s">
        <v>693</v>
      </c>
      <c r="R2" s="648" t="s">
        <v>694</v>
      </c>
      <c r="S2" s="648" t="s">
        <v>695</v>
      </c>
      <c r="T2" s="649" t="s">
        <v>696</v>
      </c>
      <c r="U2" s="649" t="s">
        <v>697</v>
      </c>
      <c r="V2" s="649" t="s">
        <v>698</v>
      </c>
      <c r="W2" s="649" t="s">
        <v>699</v>
      </c>
      <c r="X2" s="649" t="s">
        <v>700</v>
      </c>
      <c r="Y2" s="649" t="s">
        <v>701</v>
      </c>
      <c r="Z2" s="649" t="s">
        <v>702</v>
      </c>
      <c r="AA2" s="649" t="s">
        <v>703</v>
      </c>
      <c r="AB2" s="650" t="s">
        <v>704</v>
      </c>
      <c r="AC2" s="650" t="s">
        <v>705</v>
      </c>
      <c r="AD2" s="650" t="s">
        <v>706</v>
      </c>
      <c r="AE2" s="650" t="s">
        <v>707</v>
      </c>
      <c r="AF2" s="685" t="s">
        <v>708</v>
      </c>
      <c r="AG2" s="685" t="s">
        <v>709</v>
      </c>
      <c r="AH2" s="685" t="s">
        <v>710</v>
      </c>
      <c r="AI2" s="687" t="s">
        <v>711</v>
      </c>
      <c r="AJ2" s="651" t="s">
        <v>712</v>
      </c>
      <c r="AK2" s="651" t="s">
        <v>713</v>
      </c>
      <c r="AL2" s="651" t="s">
        <v>714</v>
      </c>
      <c r="AM2" s="651" t="s">
        <v>715</v>
      </c>
      <c r="AN2" s="651" t="s">
        <v>716</v>
      </c>
      <c r="AO2" s="651" t="s">
        <v>717</v>
      </c>
      <c r="AP2" s="691" t="s">
        <v>718</v>
      </c>
      <c r="AQ2" s="651" t="s">
        <v>719</v>
      </c>
      <c r="AR2" s="652" t="s">
        <v>720</v>
      </c>
      <c r="AS2" s="652" t="s">
        <v>721</v>
      </c>
      <c r="AT2" s="652" t="s">
        <v>722</v>
      </c>
      <c r="AU2" s="652" t="s">
        <v>723</v>
      </c>
      <c r="AV2" s="652" t="s">
        <v>724</v>
      </c>
      <c r="AW2" s="652" t="s">
        <v>725</v>
      </c>
      <c r="AX2" s="652" t="s">
        <v>726</v>
      </c>
      <c r="AY2" s="652" t="s">
        <v>727</v>
      </c>
      <c r="AZ2" s="652" t="s">
        <v>728</v>
      </c>
      <c r="BA2" s="652" t="s">
        <v>729</v>
      </c>
      <c r="BB2" s="652" t="s">
        <v>730</v>
      </c>
      <c r="BC2" s="652" t="s">
        <v>731</v>
      </c>
      <c r="BD2" s="652" t="s">
        <v>732</v>
      </c>
      <c r="BE2" s="652" t="s">
        <v>733</v>
      </c>
      <c r="BF2" s="652" t="s">
        <v>734</v>
      </c>
      <c r="BG2" s="652" t="s">
        <v>735</v>
      </c>
      <c r="BH2" s="689" t="s">
        <v>736</v>
      </c>
      <c r="BI2" s="689" t="s">
        <v>737</v>
      </c>
      <c r="BJ2" s="689" t="s">
        <v>738</v>
      </c>
      <c r="BK2" s="689" t="s">
        <v>739</v>
      </c>
      <c r="BL2" s="689" t="s">
        <v>740</v>
      </c>
      <c r="BM2" s="689" t="s">
        <v>741</v>
      </c>
      <c r="BN2" s="689" t="s">
        <v>742</v>
      </c>
      <c r="BO2" s="689" t="s">
        <v>743</v>
      </c>
      <c r="BP2" s="689" t="s">
        <v>744</v>
      </c>
      <c r="BQ2" s="689" t="s">
        <v>745</v>
      </c>
      <c r="BR2" s="689" t="s">
        <v>746</v>
      </c>
      <c r="BS2" s="689" t="s">
        <v>747</v>
      </c>
      <c r="BT2" s="652" t="s">
        <v>748</v>
      </c>
      <c r="BU2" s="652" t="s">
        <v>749</v>
      </c>
      <c r="BV2" s="653" t="s">
        <v>750</v>
      </c>
      <c r="BW2" s="653" t="s">
        <v>751</v>
      </c>
      <c r="BX2" s="653" t="s">
        <v>752</v>
      </c>
      <c r="BY2" s="653" t="s">
        <v>753</v>
      </c>
      <c r="BZ2" s="653" t="s">
        <v>754</v>
      </c>
      <c r="CA2" s="653" t="s">
        <v>755</v>
      </c>
      <c r="CB2" s="653" t="s">
        <v>756</v>
      </c>
      <c r="CC2" s="653" t="s">
        <v>757</v>
      </c>
      <c r="CD2" s="653" t="s">
        <v>758</v>
      </c>
      <c r="CE2" s="653" t="s">
        <v>759</v>
      </c>
      <c r="CF2" s="653" t="s">
        <v>760</v>
      </c>
      <c r="CG2" s="653" t="s">
        <v>761</v>
      </c>
      <c r="CH2" s="653" t="s">
        <v>762</v>
      </c>
      <c r="CI2" s="653" t="s">
        <v>763</v>
      </c>
      <c r="CJ2" s="653" t="s">
        <v>764</v>
      </c>
      <c r="CK2" s="653" t="s">
        <v>765</v>
      </c>
      <c r="CL2" s="693" t="s">
        <v>766</v>
      </c>
      <c r="CM2" s="693" t="s">
        <v>767</v>
      </c>
      <c r="CN2" s="693" t="s">
        <v>768</v>
      </c>
      <c r="CO2" s="693" t="s">
        <v>769</v>
      </c>
      <c r="CP2" s="693" t="s">
        <v>770</v>
      </c>
      <c r="CQ2" s="693" t="s">
        <v>771</v>
      </c>
      <c r="CR2" s="693" t="s">
        <v>772</v>
      </c>
      <c r="CS2" s="693" t="s">
        <v>773</v>
      </c>
      <c r="CT2" s="693" t="s">
        <v>774</v>
      </c>
      <c r="CU2" s="693" t="s">
        <v>775</v>
      </c>
      <c r="CV2" s="693" t="s">
        <v>776</v>
      </c>
      <c r="CW2" s="693" t="s">
        <v>777</v>
      </c>
      <c r="CX2" s="653" t="s">
        <v>778</v>
      </c>
      <c r="CY2" s="653" t="s">
        <v>779</v>
      </c>
      <c r="CZ2" s="654" t="s">
        <v>780</v>
      </c>
      <c r="DA2" s="654" t="s">
        <v>781</v>
      </c>
      <c r="DB2" s="654" t="s">
        <v>782</v>
      </c>
      <c r="DC2" s="654" t="s">
        <v>783</v>
      </c>
      <c r="DD2" s="699" t="s">
        <v>784</v>
      </c>
      <c r="DE2" s="699" t="s">
        <v>785</v>
      </c>
      <c r="DF2" s="699" t="s">
        <v>786</v>
      </c>
      <c r="DG2" s="654" t="s">
        <v>787</v>
      </c>
      <c r="DH2" s="655" t="s">
        <v>788</v>
      </c>
      <c r="DI2" s="655" t="s">
        <v>789</v>
      </c>
      <c r="DJ2" s="655" t="s">
        <v>790</v>
      </c>
      <c r="DK2" s="655" t="s">
        <v>791</v>
      </c>
      <c r="DL2" s="655" t="s">
        <v>792</v>
      </c>
      <c r="DM2" s="655" t="s">
        <v>793</v>
      </c>
      <c r="DN2" s="655" t="s">
        <v>794</v>
      </c>
      <c r="DO2" s="655" t="s">
        <v>795</v>
      </c>
      <c r="DP2" s="655" t="s">
        <v>796</v>
      </c>
      <c r="DQ2" s="655" t="s">
        <v>797</v>
      </c>
      <c r="DR2" s="655" t="s">
        <v>798</v>
      </c>
      <c r="DS2" s="656" t="s">
        <v>799</v>
      </c>
      <c r="DT2" s="656" t="s">
        <v>800</v>
      </c>
      <c r="DU2" s="657" t="s">
        <v>801</v>
      </c>
      <c r="DV2" s="658" t="s">
        <v>802</v>
      </c>
      <c r="DW2" s="658" t="s">
        <v>803</v>
      </c>
      <c r="DX2" s="659" t="s">
        <v>804</v>
      </c>
      <c r="DY2" s="659" t="s">
        <v>805</v>
      </c>
      <c r="DZ2" s="659" t="s">
        <v>806</v>
      </c>
      <c r="EA2" s="659" t="s">
        <v>807</v>
      </c>
      <c r="EB2" s="659" t="s">
        <v>808</v>
      </c>
      <c r="EC2" s="659" t="s">
        <v>809</v>
      </c>
      <c r="ED2" s="659" t="s">
        <v>810</v>
      </c>
      <c r="EE2" s="659" t="s">
        <v>811</v>
      </c>
      <c r="EF2" s="659" t="s">
        <v>812</v>
      </c>
      <c r="EG2" s="659" t="s">
        <v>813</v>
      </c>
      <c r="EH2" s="659" t="s">
        <v>814</v>
      </c>
      <c r="EI2" s="660" t="s">
        <v>815</v>
      </c>
      <c r="EJ2" s="660" t="s">
        <v>816</v>
      </c>
      <c r="EK2" s="661" t="s">
        <v>817</v>
      </c>
      <c r="EL2" s="662" t="s">
        <v>818</v>
      </c>
      <c r="EM2" s="662" t="s">
        <v>819</v>
      </c>
      <c r="EN2" s="663" t="s">
        <v>820</v>
      </c>
      <c r="EO2" s="663" t="s">
        <v>821</v>
      </c>
      <c r="EP2" s="663" t="s">
        <v>822</v>
      </c>
      <c r="EQ2" s="663" t="s">
        <v>823</v>
      </c>
      <c r="ER2" s="663" t="s">
        <v>824</v>
      </c>
      <c r="ES2" s="663" t="s">
        <v>825</v>
      </c>
      <c r="ET2" s="663" t="s">
        <v>826</v>
      </c>
      <c r="EU2" s="663" t="s">
        <v>827</v>
      </c>
      <c r="EV2" s="663" t="s">
        <v>828</v>
      </c>
      <c r="EW2" s="663" t="s">
        <v>829</v>
      </c>
      <c r="EX2" s="663" t="s">
        <v>830</v>
      </c>
      <c r="EY2" s="664" t="s">
        <v>831</v>
      </c>
      <c r="EZ2" s="664" t="s">
        <v>832</v>
      </c>
      <c r="FA2" s="664" t="s">
        <v>833</v>
      </c>
      <c r="FB2" s="664" t="s">
        <v>834</v>
      </c>
      <c r="FC2" s="664" t="s">
        <v>835</v>
      </c>
      <c r="FD2" s="664" t="s">
        <v>836</v>
      </c>
      <c r="FE2" s="664" t="s">
        <v>837</v>
      </c>
      <c r="FF2" s="664" t="s">
        <v>838</v>
      </c>
      <c r="FG2" s="664" t="s">
        <v>839</v>
      </c>
      <c r="FH2" s="664" t="s">
        <v>840</v>
      </c>
      <c r="FI2" s="664" t="s">
        <v>841</v>
      </c>
    </row>
    <row r="3" spans="1:165" x14ac:dyDescent="0.3">
      <c r="D3" s="409"/>
      <c r="E3" s="642" t="s">
        <v>520</v>
      </c>
      <c r="F3" s="422" t="s">
        <v>842</v>
      </c>
      <c r="G3" s="422" t="s">
        <v>843</v>
      </c>
      <c r="H3" s="422" t="s">
        <v>844</v>
      </c>
      <c r="I3" s="421" t="s">
        <v>845</v>
      </c>
      <c r="J3" s="423" t="s">
        <v>846</v>
      </c>
      <c r="K3" s="423" t="s">
        <v>847</v>
      </c>
      <c r="L3" s="424" t="s">
        <v>848</v>
      </c>
      <c r="M3" s="421" t="s">
        <v>849</v>
      </c>
      <c r="N3" s="421" t="s">
        <v>850</v>
      </c>
      <c r="O3" s="421" t="s">
        <v>851</v>
      </c>
      <c r="P3" s="421" t="s">
        <v>852</v>
      </c>
      <c r="Q3" s="423" t="s">
        <v>853</v>
      </c>
      <c r="R3" s="425" t="s">
        <v>854</v>
      </c>
      <c r="S3" s="425" t="s">
        <v>855</v>
      </c>
      <c r="T3" s="426" t="s">
        <v>856</v>
      </c>
      <c r="U3" s="423" t="s">
        <v>857</v>
      </c>
      <c r="V3" s="456" t="s">
        <v>858</v>
      </c>
      <c r="W3" s="456" t="s">
        <v>859</v>
      </c>
      <c r="X3" s="423" t="s">
        <v>860</v>
      </c>
      <c r="Y3" s="427" t="s">
        <v>861</v>
      </c>
      <c r="Z3" s="425" t="s">
        <v>862</v>
      </c>
      <c r="AA3" s="425" t="s">
        <v>863</v>
      </c>
      <c r="AB3" s="425" t="s">
        <v>864</v>
      </c>
      <c r="AC3" s="423" t="s">
        <v>865</v>
      </c>
      <c r="AD3" s="425" t="s">
        <v>866</v>
      </c>
      <c r="AE3" s="425" t="s">
        <v>867</v>
      </c>
      <c r="AF3" s="425" t="s">
        <v>868</v>
      </c>
      <c r="AG3" s="425" t="s">
        <v>869</v>
      </c>
      <c r="AH3" s="423" t="s">
        <v>870</v>
      </c>
      <c r="AI3" s="456" t="s">
        <v>871</v>
      </c>
      <c r="AJ3" s="456" t="s">
        <v>872</v>
      </c>
      <c r="AK3" s="425" t="s">
        <v>873</v>
      </c>
      <c r="AL3" s="425" t="s">
        <v>874</v>
      </c>
      <c r="AM3" s="425" t="s">
        <v>875</v>
      </c>
      <c r="AN3" s="425" t="s">
        <v>876</v>
      </c>
      <c r="AO3" s="425" t="s">
        <v>877</v>
      </c>
      <c r="AP3" s="425" t="s">
        <v>878</v>
      </c>
      <c r="AQ3" s="425" t="s">
        <v>879</v>
      </c>
      <c r="AR3" s="425" t="s">
        <v>880</v>
      </c>
      <c r="AS3" s="425" t="s">
        <v>881</v>
      </c>
      <c r="AT3" s="425" t="s">
        <v>882</v>
      </c>
      <c r="AU3" s="425" t="s">
        <v>883</v>
      </c>
      <c r="AV3" s="425" t="s">
        <v>884</v>
      </c>
      <c r="AW3" s="425" t="s">
        <v>885</v>
      </c>
      <c r="AX3" s="423" t="s">
        <v>886</v>
      </c>
      <c r="AY3" s="423" t="s">
        <v>887</v>
      </c>
      <c r="AZ3" s="423" t="s">
        <v>888</v>
      </c>
      <c r="BA3" s="423" t="s">
        <v>889</v>
      </c>
      <c r="BB3" s="425" t="s">
        <v>890</v>
      </c>
      <c r="BC3" s="425" t="s">
        <v>891</v>
      </c>
      <c r="BD3" s="425" t="s">
        <v>892</v>
      </c>
      <c r="BE3" s="425" t="s">
        <v>893</v>
      </c>
      <c r="BF3" s="425" t="s">
        <v>894</v>
      </c>
      <c r="BG3" s="425" t="s">
        <v>895</v>
      </c>
      <c r="BH3" s="425" t="s">
        <v>896</v>
      </c>
      <c r="BI3" s="425" t="s">
        <v>897</v>
      </c>
      <c r="BJ3" s="426" t="s">
        <v>898</v>
      </c>
      <c r="BK3" s="426" t="s">
        <v>899</v>
      </c>
      <c r="BL3" s="426" t="s">
        <v>900</v>
      </c>
      <c r="BM3" s="426" t="s">
        <v>901</v>
      </c>
      <c r="BN3" s="426" t="s">
        <v>902</v>
      </c>
      <c r="BO3" s="428" t="s">
        <v>903</v>
      </c>
      <c r="BP3" s="424" t="s">
        <v>904</v>
      </c>
      <c r="BQ3" s="424" t="s">
        <v>905</v>
      </c>
      <c r="BR3" s="424" t="s">
        <v>906</v>
      </c>
      <c r="BS3" s="424" t="s">
        <v>907</v>
      </c>
      <c r="BT3" s="426" t="s">
        <v>908</v>
      </c>
      <c r="BU3" s="426" t="s">
        <v>909</v>
      </c>
      <c r="BV3" s="426" t="s">
        <v>910</v>
      </c>
      <c r="BW3" s="426" t="s">
        <v>911</v>
      </c>
      <c r="BX3" s="426" t="s">
        <v>912</v>
      </c>
      <c r="BY3" s="424" t="s">
        <v>913</v>
      </c>
      <c r="BZ3" s="429" t="s">
        <v>914</v>
      </c>
      <c r="CA3" s="429" t="s">
        <v>915</v>
      </c>
      <c r="CB3" s="429" t="s">
        <v>625</v>
      </c>
      <c r="CC3" s="426" t="s">
        <v>916</v>
      </c>
      <c r="CD3" s="422" t="s">
        <v>917</v>
      </c>
      <c r="CE3" s="422" t="s">
        <v>918</v>
      </c>
      <c r="CF3" s="422" t="s">
        <v>919</v>
      </c>
      <c r="CG3" s="422" t="s">
        <v>920</v>
      </c>
      <c r="CH3" s="422" t="s">
        <v>921</v>
      </c>
      <c r="CI3" s="422" t="s">
        <v>922</v>
      </c>
      <c r="CJ3" s="422" t="s">
        <v>923</v>
      </c>
      <c r="CK3" s="422" t="s">
        <v>924</v>
      </c>
      <c r="CL3" s="422" t="s">
        <v>925</v>
      </c>
      <c r="CM3" s="422" t="s">
        <v>926</v>
      </c>
      <c r="CN3" s="422" t="s">
        <v>927</v>
      </c>
      <c r="CO3" s="422" t="s">
        <v>928</v>
      </c>
      <c r="CP3" s="422" t="s">
        <v>929</v>
      </c>
      <c r="CQ3" s="422" t="s">
        <v>930</v>
      </c>
      <c r="CR3" s="430" t="s">
        <v>931</v>
      </c>
      <c r="CS3" s="430" t="s">
        <v>932</v>
      </c>
      <c r="CT3" s="431" t="s">
        <v>933</v>
      </c>
      <c r="CU3" s="431" t="s">
        <v>934</v>
      </c>
      <c r="CV3" s="431" t="s">
        <v>935</v>
      </c>
      <c r="CW3" s="431" t="s">
        <v>936</v>
      </c>
      <c r="CX3" s="431" t="s">
        <v>937</v>
      </c>
      <c r="CY3" s="431" t="s">
        <v>938</v>
      </c>
      <c r="CZ3" s="431" t="s">
        <v>939</v>
      </c>
      <c r="DA3" s="431" t="s">
        <v>940</v>
      </c>
      <c r="DB3" s="431" t="s">
        <v>941</v>
      </c>
      <c r="DC3" s="431" t="s">
        <v>942</v>
      </c>
      <c r="DD3" s="431" t="s">
        <v>943</v>
      </c>
      <c r="DE3" s="431" t="s">
        <v>944</v>
      </c>
      <c r="DF3" s="431" t="s">
        <v>945</v>
      </c>
      <c r="DG3" s="431" t="s">
        <v>946</v>
      </c>
      <c r="DH3" s="432" t="s">
        <v>947</v>
      </c>
      <c r="DI3" s="432" t="s">
        <v>948</v>
      </c>
      <c r="DJ3" s="432"/>
      <c r="DK3" s="409" t="s">
        <v>949</v>
      </c>
      <c r="DL3" s="409"/>
      <c r="DM3" s="409"/>
      <c r="DN3" s="409"/>
      <c r="DO3" s="409"/>
      <c r="DP3" s="409"/>
      <c r="DQ3" s="409"/>
      <c r="DR3" s="409"/>
    </row>
    <row r="4" spans="1:165" s="448" customFormat="1" ht="69.5" x14ac:dyDescent="0.3">
      <c r="A4" s="418"/>
      <c r="B4" s="433" t="s">
        <v>950</v>
      </c>
      <c r="C4" s="418" t="s">
        <v>951</v>
      </c>
      <c r="D4" s="418" t="s">
        <v>952</v>
      </c>
      <c r="E4" s="434" t="s">
        <v>953</v>
      </c>
      <c r="F4" s="435" t="s">
        <v>954</v>
      </c>
      <c r="G4" s="434" t="s">
        <v>955</v>
      </c>
      <c r="H4" s="435" t="s">
        <v>956</v>
      </c>
      <c r="I4" s="434" t="s">
        <v>957</v>
      </c>
      <c r="J4" s="436" t="s">
        <v>958</v>
      </c>
      <c r="K4" s="436" t="s">
        <v>959</v>
      </c>
      <c r="L4" s="436" t="s">
        <v>960</v>
      </c>
      <c r="M4" s="434" t="s">
        <v>961</v>
      </c>
      <c r="N4" s="434" t="s">
        <v>962</v>
      </c>
      <c r="O4" s="434" t="s">
        <v>963</v>
      </c>
      <c r="P4" s="437" t="s">
        <v>964</v>
      </c>
      <c r="Q4" s="436" t="s">
        <v>965</v>
      </c>
      <c r="R4" s="438" t="s">
        <v>966</v>
      </c>
      <c r="S4" s="428" t="s">
        <v>967</v>
      </c>
      <c r="T4" s="438" t="s">
        <v>968</v>
      </c>
      <c r="U4" s="439" t="s">
        <v>969</v>
      </c>
      <c r="V4" s="440" t="s">
        <v>970</v>
      </c>
      <c r="W4" s="440" t="s">
        <v>971</v>
      </c>
      <c r="X4" s="441" t="s">
        <v>972</v>
      </c>
      <c r="Y4" s="420" t="s">
        <v>973</v>
      </c>
      <c r="Z4" s="438" t="s">
        <v>974</v>
      </c>
      <c r="AA4" s="428" t="s">
        <v>975</v>
      </c>
      <c r="AB4" s="438" t="s">
        <v>976</v>
      </c>
      <c r="AC4" s="439" t="s">
        <v>977</v>
      </c>
      <c r="AD4" s="428" t="s">
        <v>978</v>
      </c>
      <c r="AE4" s="428" t="s">
        <v>979</v>
      </c>
      <c r="AF4" s="428" t="s">
        <v>980</v>
      </c>
      <c r="AG4" s="428" t="s">
        <v>981</v>
      </c>
      <c r="AH4" s="439" t="s">
        <v>982</v>
      </c>
      <c r="AI4" s="440" t="s">
        <v>983</v>
      </c>
      <c r="AJ4" s="440" t="s">
        <v>984</v>
      </c>
      <c r="AK4" s="428" t="s">
        <v>985</v>
      </c>
      <c r="AL4" s="438" t="s">
        <v>986</v>
      </c>
      <c r="AM4" s="438" t="s">
        <v>987</v>
      </c>
      <c r="AN4" s="438" t="s">
        <v>988</v>
      </c>
      <c r="AO4" s="438" t="s">
        <v>989</v>
      </c>
      <c r="AP4" s="428" t="s">
        <v>990</v>
      </c>
      <c r="AQ4" s="428" t="s">
        <v>991</v>
      </c>
      <c r="AR4" s="428" t="s">
        <v>992</v>
      </c>
      <c r="AS4" s="428" t="s">
        <v>993</v>
      </c>
      <c r="AT4" s="438" t="s">
        <v>994</v>
      </c>
      <c r="AU4" s="438" t="s">
        <v>995</v>
      </c>
      <c r="AV4" s="438" t="s">
        <v>996</v>
      </c>
      <c r="AW4" s="438" t="s">
        <v>997</v>
      </c>
      <c r="AX4" s="439" t="s">
        <v>998</v>
      </c>
      <c r="AY4" s="439" t="s">
        <v>999</v>
      </c>
      <c r="AZ4" s="439" t="s">
        <v>1000</v>
      </c>
      <c r="BA4" s="439" t="s">
        <v>1001</v>
      </c>
      <c r="BB4" s="428" t="s">
        <v>1002</v>
      </c>
      <c r="BC4" s="428" t="s">
        <v>1003</v>
      </c>
      <c r="BD4" s="438" t="s">
        <v>1004</v>
      </c>
      <c r="BE4" s="438" t="s">
        <v>1005</v>
      </c>
      <c r="BF4" s="438" t="s">
        <v>1006</v>
      </c>
      <c r="BG4" s="438" t="s">
        <v>1007</v>
      </c>
      <c r="BH4" s="428" t="s">
        <v>1008</v>
      </c>
      <c r="BI4" s="428" t="s">
        <v>1009</v>
      </c>
      <c r="BJ4" s="428" t="s">
        <v>1010</v>
      </c>
      <c r="BK4" s="428" t="s">
        <v>1011</v>
      </c>
      <c r="BL4" s="428" t="s">
        <v>1012</v>
      </c>
      <c r="BM4" s="428" t="s">
        <v>1013</v>
      </c>
      <c r="BN4" s="428" t="s">
        <v>1014</v>
      </c>
      <c r="BO4" s="428" t="s">
        <v>1015</v>
      </c>
      <c r="BP4" s="439" t="s">
        <v>1016</v>
      </c>
      <c r="BQ4" s="439" t="s">
        <v>1017</v>
      </c>
      <c r="BR4" s="439" t="s">
        <v>1018</v>
      </c>
      <c r="BS4" s="439" t="s">
        <v>1019</v>
      </c>
      <c r="BT4" s="428" t="s">
        <v>1020</v>
      </c>
      <c r="BU4" s="428" t="s">
        <v>1021</v>
      </c>
      <c r="BV4" s="442" t="s">
        <v>1022</v>
      </c>
      <c r="BW4" s="443" t="s">
        <v>1023</v>
      </c>
      <c r="BX4" s="442" t="s">
        <v>1024</v>
      </c>
      <c r="BY4" s="439" t="s">
        <v>1025</v>
      </c>
      <c r="BZ4" s="457" t="s">
        <v>1026</v>
      </c>
      <c r="CA4" s="457" t="s">
        <v>1027</v>
      </c>
      <c r="CB4" s="436" t="s">
        <v>1028</v>
      </c>
      <c r="CC4" s="428" t="s">
        <v>1029</v>
      </c>
      <c r="CD4" s="434" t="s">
        <v>1030</v>
      </c>
      <c r="CE4" s="434" t="s">
        <v>1031</v>
      </c>
      <c r="CF4" s="434" t="s">
        <v>1032</v>
      </c>
      <c r="CG4" s="434" t="s">
        <v>1033</v>
      </c>
      <c r="CH4" s="434" t="s">
        <v>1034</v>
      </c>
      <c r="CI4" s="434" t="s">
        <v>1035</v>
      </c>
      <c r="CJ4" s="434" t="s">
        <v>1036</v>
      </c>
      <c r="CK4" s="434" t="s">
        <v>1037</v>
      </c>
      <c r="CL4" s="434" t="s">
        <v>1038</v>
      </c>
      <c r="CM4" s="434" t="s">
        <v>1039</v>
      </c>
      <c r="CN4" s="434" t="s">
        <v>1040</v>
      </c>
      <c r="CO4" s="434" t="s">
        <v>1041</v>
      </c>
      <c r="CP4" s="434" t="s">
        <v>1042</v>
      </c>
      <c r="CQ4" s="434" t="s">
        <v>1043</v>
      </c>
      <c r="CR4" s="434" t="s">
        <v>1044</v>
      </c>
      <c r="CS4" s="434" t="s">
        <v>1045</v>
      </c>
      <c r="CT4" s="444" t="s">
        <v>1046</v>
      </c>
      <c r="CU4" s="444" t="s">
        <v>1047</v>
      </c>
      <c r="CV4" s="444" t="s">
        <v>1048</v>
      </c>
      <c r="CW4" s="444" t="s">
        <v>1049</v>
      </c>
      <c r="CX4" s="444" t="s">
        <v>1050</v>
      </c>
      <c r="CY4" s="444" t="s">
        <v>1051</v>
      </c>
      <c r="CZ4" s="444" t="s">
        <v>1052</v>
      </c>
      <c r="DA4" s="444" t="s">
        <v>1053</v>
      </c>
      <c r="DB4" s="444" t="s">
        <v>1054</v>
      </c>
      <c r="DC4" s="444" t="s">
        <v>1055</v>
      </c>
      <c r="DD4" s="444" t="s">
        <v>1056</v>
      </c>
      <c r="DE4" s="444" t="s">
        <v>1057</v>
      </c>
      <c r="DF4" s="444" t="s">
        <v>1058</v>
      </c>
      <c r="DG4" s="444" t="s">
        <v>1059</v>
      </c>
      <c r="DH4" s="444" t="s">
        <v>1060</v>
      </c>
      <c r="DI4" s="444" t="s">
        <v>1061</v>
      </c>
      <c r="DJ4" s="444"/>
      <c r="DK4" s="445" t="s">
        <v>1062</v>
      </c>
      <c r="DL4" s="446" t="s">
        <v>1063</v>
      </c>
      <c r="DM4" s="446" t="s">
        <v>1064</v>
      </c>
      <c r="DN4" s="446" t="s">
        <v>1065</v>
      </c>
      <c r="DO4" s="446" t="s">
        <v>1066</v>
      </c>
      <c r="DP4" s="446" t="s">
        <v>1067</v>
      </c>
      <c r="DQ4" s="446"/>
      <c r="DR4" s="447" t="s">
        <v>1068</v>
      </c>
    </row>
    <row r="5" spans="1:165" x14ac:dyDescent="0.3">
      <c r="B5" s="418"/>
      <c r="C5" s="418"/>
    </row>
    <row r="6" spans="1:165" x14ac:dyDescent="0.3">
      <c r="B6" s="418"/>
      <c r="C6" s="418"/>
      <c r="E6" s="411"/>
      <c r="F6" s="411"/>
      <c r="G6" s="411"/>
      <c r="H6" s="411"/>
      <c r="I6" s="411"/>
      <c r="J6" s="411"/>
      <c r="K6" s="411"/>
      <c r="L6" s="411"/>
      <c r="M6" s="411"/>
      <c r="N6" s="411"/>
      <c r="O6" s="411"/>
      <c r="P6" s="411"/>
      <c r="Q6" s="412"/>
      <c r="R6" s="413"/>
      <c r="S6" s="413"/>
      <c r="T6" s="413"/>
      <c r="U6" s="413"/>
      <c r="V6" s="413"/>
      <c r="W6" s="413"/>
      <c r="X6" s="411"/>
      <c r="Y6" s="412"/>
      <c r="Z6" s="414"/>
      <c r="AA6" s="414"/>
      <c r="AB6" s="414"/>
      <c r="AC6" s="411"/>
      <c r="AD6" s="411"/>
      <c r="AE6" s="414"/>
      <c r="AF6" s="414"/>
      <c r="AG6" s="414"/>
      <c r="AH6" s="414"/>
      <c r="AI6" s="411"/>
      <c r="AJ6" s="411"/>
      <c r="AK6" s="412"/>
      <c r="AL6" s="414"/>
      <c r="AM6" s="414"/>
      <c r="AN6" s="414"/>
      <c r="AO6" s="414"/>
      <c r="AP6" s="414"/>
      <c r="AQ6" s="414"/>
      <c r="AR6" s="414"/>
      <c r="AS6" s="414"/>
      <c r="AT6" s="414"/>
      <c r="AU6" s="414"/>
      <c r="AV6" s="414"/>
      <c r="AW6" s="414"/>
      <c r="AX6" s="411"/>
      <c r="AY6" s="411"/>
      <c r="AZ6" s="411"/>
      <c r="BA6" s="411"/>
      <c r="BB6" s="412"/>
      <c r="BC6" s="412"/>
      <c r="BD6" s="414"/>
      <c r="BE6" s="414"/>
      <c r="BF6" s="414"/>
      <c r="BG6" s="414"/>
      <c r="BH6" s="414"/>
      <c r="BI6" s="414"/>
      <c r="BJ6" s="414"/>
      <c r="BK6" s="414"/>
      <c r="BL6" s="414"/>
      <c r="BM6" s="414"/>
      <c r="BN6" s="414"/>
      <c r="BO6" s="414"/>
      <c r="BP6" s="411"/>
      <c r="BQ6" s="411"/>
      <c r="BR6" s="411"/>
      <c r="BS6" s="411"/>
      <c r="BT6" s="412"/>
      <c r="BU6" s="412"/>
      <c r="BV6" s="414"/>
      <c r="BW6" s="414"/>
      <c r="BX6" s="414"/>
      <c r="BY6" s="411"/>
      <c r="BZ6" s="411"/>
      <c r="CA6" s="411"/>
      <c r="CB6" s="411"/>
      <c r="CC6" s="412"/>
      <c r="CD6" s="411"/>
      <c r="CE6" s="411"/>
      <c r="CF6" s="411"/>
      <c r="CG6" s="411"/>
      <c r="CH6" s="411"/>
      <c r="CI6" s="411"/>
      <c r="CJ6" s="411"/>
      <c r="CK6" s="411"/>
      <c r="CL6" s="411"/>
      <c r="CM6" s="411"/>
      <c r="CN6" s="411"/>
      <c r="CO6" s="411"/>
      <c r="CP6" s="411"/>
      <c r="CQ6" s="411"/>
      <c r="CR6" s="411"/>
      <c r="CS6" s="411"/>
      <c r="CT6" s="415"/>
      <c r="CU6" s="415"/>
      <c r="CV6" s="415"/>
      <c r="CW6" s="415"/>
      <c r="CX6" s="415"/>
      <c r="CY6" s="415"/>
      <c r="CZ6" s="415"/>
      <c r="DA6" s="415"/>
      <c r="DB6" s="415"/>
      <c r="DC6" s="415"/>
      <c r="DD6" s="415"/>
      <c r="DE6" s="415"/>
      <c r="DF6" s="415"/>
      <c r="DG6" s="415"/>
      <c r="DH6" s="415"/>
      <c r="DI6" s="415"/>
      <c r="DJ6" s="416"/>
      <c r="DK6" s="417"/>
      <c r="DL6" s="417"/>
      <c r="DM6" s="417"/>
      <c r="DN6" s="417"/>
      <c r="DO6" s="417"/>
      <c r="DP6" s="417"/>
      <c r="DQ6" s="417"/>
      <c r="DR6" s="417"/>
      <c r="DS6" s="418"/>
      <c r="DT6" s="419"/>
    </row>
    <row r="7" spans="1:165" ht="13" x14ac:dyDescent="0.3">
      <c r="A7" s="194">
        <v>16</v>
      </c>
      <c r="B7" s="409">
        <v>1</v>
      </c>
      <c r="C7" s="458" t="s">
        <v>452</v>
      </c>
      <c r="E7" s="643">
        <v>1258286</v>
      </c>
      <c r="F7" s="643">
        <v>22542508669.201</v>
      </c>
      <c r="G7" s="643">
        <v>10780196178.726</v>
      </c>
      <c r="H7" s="643">
        <v>4120144619.3579998</v>
      </c>
      <c r="I7" s="643">
        <v>1866124658.2260001</v>
      </c>
      <c r="J7" s="643">
        <v>1080607.7919999999</v>
      </c>
      <c r="K7" s="643">
        <v>489928.88199999998</v>
      </c>
      <c r="L7" s="643">
        <v>1094490.7390000001</v>
      </c>
      <c r="M7" s="643">
        <v>1755800221.7320001</v>
      </c>
      <c r="N7" s="643">
        <v>291624356.759</v>
      </c>
      <c r="O7" s="643">
        <v>41236029.869999997</v>
      </c>
      <c r="P7" s="643">
        <v>1765520482.7539999</v>
      </c>
      <c r="Q7" s="643" t="s">
        <v>1069</v>
      </c>
      <c r="R7" s="644">
        <v>0.52500000000000002</v>
      </c>
      <c r="S7" s="644">
        <v>0.52500000000000002</v>
      </c>
      <c r="T7" s="644">
        <v>0.53100000000000003</v>
      </c>
      <c r="U7" s="644">
        <v>852.3</v>
      </c>
      <c r="V7" s="644">
        <v>7.0999999999999994E-2</v>
      </c>
      <c r="W7" s="644">
        <v>0.01</v>
      </c>
      <c r="X7" s="644">
        <v>857.01900000000001</v>
      </c>
      <c r="Y7" s="644" t="s">
        <v>1069</v>
      </c>
      <c r="Z7" s="644">
        <v>9.6000000000000002E-2</v>
      </c>
      <c r="AA7" s="644">
        <v>9.0999999999999998E-2</v>
      </c>
      <c r="AB7" s="644">
        <v>9.7000000000000003E-2</v>
      </c>
      <c r="AC7" s="644">
        <v>155.77699999999999</v>
      </c>
      <c r="AD7" s="644" t="s">
        <v>1069</v>
      </c>
      <c r="AE7" s="644">
        <v>0.83599999999999997</v>
      </c>
      <c r="AF7" s="644">
        <v>0.83599999999999997</v>
      </c>
      <c r="AG7" s="644">
        <v>0.84599999999999997</v>
      </c>
      <c r="AH7" s="644">
        <v>1357.769</v>
      </c>
      <c r="AI7" s="644">
        <v>0.113</v>
      </c>
      <c r="AJ7" s="644">
        <v>1.6E-2</v>
      </c>
      <c r="AK7" s="644" t="s">
        <v>1069</v>
      </c>
      <c r="AL7" s="644">
        <v>1.327</v>
      </c>
      <c r="AM7" s="644">
        <v>4.9610000000000003</v>
      </c>
      <c r="AN7" s="644">
        <v>0.41399999999999998</v>
      </c>
      <c r="AO7" s="644">
        <v>0.80500000000000005</v>
      </c>
      <c r="AP7" s="644">
        <v>1.246</v>
      </c>
      <c r="AQ7" s="644">
        <v>4.5579999999999998</v>
      </c>
      <c r="AR7" s="644">
        <v>0.41299999999999998</v>
      </c>
      <c r="AS7" s="644">
        <v>0.77200000000000002</v>
      </c>
      <c r="AT7" s="644">
        <v>2.0030000000000001</v>
      </c>
      <c r="AU7" s="644">
        <v>6.2649999999999997</v>
      </c>
      <c r="AV7" s="644">
        <v>2.1000000000000001E-2</v>
      </c>
      <c r="AW7" s="644">
        <v>0.83699999999999997</v>
      </c>
      <c r="AX7" s="644">
        <v>2150.5909999999999</v>
      </c>
      <c r="AY7" s="644">
        <v>1666.586</v>
      </c>
      <c r="AZ7" s="644">
        <v>893.7</v>
      </c>
      <c r="BA7" s="644">
        <v>1382.6959999999999</v>
      </c>
      <c r="BB7" s="644" t="s">
        <v>1069</v>
      </c>
      <c r="BC7" s="644" t="s">
        <v>1069</v>
      </c>
      <c r="BD7" s="644">
        <v>0.126</v>
      </c>
      <c r="BE7" s="644">
        <v>0.501</v>
      </c>
      <c r="BF7" s="644">
        <v>5.5E-2</v>
      </c>
      <c r="BG7" s="644">
        <v>9.2999999999999999E-2</v>
      </c>
      <c r="BH7" s="644">
        <v>0.11799999999999999</v>
      </c>
      <c r="BI7" s="644">
        <v>0.45700000000000002</v>
      </c>
      <c r="BJ7" s="644">
        <v>5.3999999999999999E-2</v>
      </c>
      <c r="BK7" s="644">
        <v>8.7999999999999995E-2</v>
      </c>
      <c r="BL7" s="644">
        <v>0.19</v>
      </c>
      <c r="BM7" s="644">
        <v>0.63300000000000001</v>
      </c>
      <c r="BN7" s="644">
        <v>3.0000000000000001E-3</v>
      </c>
      <c r="BO7" s="644">
        <v>9.6000000000000002E-2</v>
      </c>
      <c r="BP7" s="644">
        <v>204.45</v>
      </c>
      <c r="BQ7" s="644">
        <v>168.30199999999999</v>
      </c>
      <c r="BR7" s="644">
        <v>119.04300000000001</v>
      </c>
      <c r="BS7" s="644">
        <v>159.34100000000001</v>
      </c>
      <c r="BT7" s="644" t="s">
        <v>1069</v>
      </c>
      <c r="BU7" s="644" t="s">
        <v>1069</v>
      </c>
      <c r="BV7" s="644">
        <v>0.94899999999999995</v>
      </c>
      <c r="BW7" s="644">
        <v>0.89700000000000002</v>
      </c>
      <c r="BX7" s="644">
        <v>0.86599999999999999</v>
      </c>
      <c r="BY7" s="644">
        <v>1410.0070000000001</v>
      </c>
      <c r="BZ7" s="644">
        <v>0.11</v>
      </c>
      <c r="CA7" s="644">
        <v>1.6E-2</v>
      </c>
      <c r="CB7" s="644">
        <v>1417.337</v>
      </c>
      <c r="CC7" s="644" t="s">
        <v>1069</v>
      </c>
      <c r="CD7" s="643">
        <v>900636364.66199994</v>
      </c>
      <c r="CE7" s="643">
        <v>26067180.125</v>
      </c>
      <c r="CF7" s="643">
        <v>1582553192.888</v>
      </c>
      <c r="CG7" s="643">
        <v>778187988</v>
      </c>
      <c r="CH7" s="643">
        <v>246429051.75999999</v>
      </c>
      <c r="CI7" s="643">
        <v>53540451.223999999</v>
      </c>
      <c r="CJ7" s="643">
        <v>378266790.19</v>
      </c>
      <c r="CK7" s="643">
        <v>114984361.98999999</v>
      </c>
      <c r="CL7" s="643">
        <v>15974767</v>
      </c>
      <c r="CM7" s="643">
        <v>19315147.853999998</v>
      </c>
      <c r="CN7" s="643">
        <v>4189323.1570000001</v>
      </c>
      <c r="CO7" s="643">
        <v>3310949196.6859999</v>
      </c>
      <c r="CP7" s="643">
        <v>809195422.16400003</v>
      </c>
      <c r="CQ7" s="643">
        <v>562766370.40400004</v>
      </c>
      <c r="CR7" s="643">
        <v>2586301659.9099998</v>
      </c>
      <c r="CS7" s="643">
        <v>1533842958.9400001</v>
      </c>
      <c r="CT7" s="694">
        <v>0.21859338639268</v>
      </c>
      <c r="CU7" s="694">
        <v>6.32676338731909E-3</v>
      </c>
      <c r="CV7" s="694">
        <v>0.38410137004601502</v>
      </c>
      <c r="CW7" s="694">
        <v>0.18887394982198599</v>
      </c>
      <c r="CX7" s="694">
        <v>5.98107771830549E-2</v>
      </c>
      <c r="CY7" s="694">
        <v>1.29947990124055E-2</v>
      </c>
      <c r="CZ7" s="694">
        <v>9.1809105063787894E-2</v>
      </c>
      <c r="DA7" s="694">
        <v>2.7907846113929401E-2</v>
      </c>
      <c r="DB7" s="694">
        <v>3.8772345336894501E-3</v>
      </c>
      <c r="DC7" s="694">
        <v>4.6879781271831102E-3</v>
      </c>
      <c r="DD7" s="694">
        <v>1.01679031794988E-3</v>
      </c>
      <c r="DE7" s="694">
        <v>0.80360023809313297</v>
      </c>
      <c r="DF7" s="694">
        <v>0.196399761906867</v>
      </c>
      <c r="DG7" s="694">
        <v>0.13658898472381201</v>
      </c>
      <c r="DH7" s="694">
        <v>0.62772108728355303</v>
      </c>
      <c r="DI7" s="694">
        <v>0.37227891271644697</v>
      </c>
      <c r="DJ7" s="643"/>
      <c r="DK7" s="417">
        <f t="shared" ref="DK7" si="0">(F7/H7)*1000</f>
        <v>5471.2906346266964</v>
      </c>
      <c r="DL7" s="417">
        <f t="shared" ref="DL7" si="1">(BA7/BS7)*1000</f>
        <v>8677.5908272196102</v>
      </c>
      <c r="DM7" s="417">
        <f t="shared" ref="DM7" si="2">(BY7/BS7)*1000</f>
        <v>8848.9905297443838</v>
      </c>
      <c r="DN7" s="417">
        <f t="shared" ref="DN7" si="3">IFERROR((AX7/BP7)*1000,"-")</f>
        <v>10518.90926876987</v>
      </c>
      <c r="DO7" s="417">
        <f t="shared" ref="DO7" si="4">IFERROR((AY7/BQ7)*1000,"-")</f>
        <v>9902.3541015555384</v>
      </c>
      <c r="DP7" s="417">
        <f t="shared" ref="DP7" si="5">IFERROR((AZ7/BR7)*1000,"-")</f>
        <v>7507.3712860058968</v>
      </c>
      <c r="DQ7" s="643"/>
      <c r="DR7" s="643"/>
      <c r="DS7" s="643"/>
      <c r="DT7" s="643"/>
      <c r="DU7" s="694"/>
      <c r="DV7" s="694"/>
      <c r="DW7" s="694"/>
      <c r="DX7" s="694"/>
      <c r="DY7" s="694"/>
      <c r="DZ7" s="694"/>
      <c r="EA7" s="694"/>
      <c r="EB7" s="694"/>
      <c r="EC7" s="694"/>
      <c r="ED7" s="694"/>
      <c r="EE7" s="694"/>
    </row>
    <row r="8" spans="1:165" ht="13" x14ac:dyDescent="0.3">
      <c r="A8" s="194">
        <v>17</v>
      </c>
      <c r="B8" s="409">
        <v>63</v>
      </c>
      <c r="C8" s="458" t="s">
        <v>363</v>
      </c>
      <c r="E8" s="643">
        <v>2123.9</v>
      </c>
      <c r="F8" s="643">
        <v>36915776.633000001</v>
      </c>
      <c r="G8" s="643">
        <v>14675641.997</v>
      </c>
      <c r="H8" s="643">
        <v>4923739.78</v>
      </c>
      <c r="I8" s="643">
        <v>1968662.5190000001</v>
      </c>
      <c r="J8" s="643">
        <v>13649.156999999999</v>
      </c>
      <c r="K8" s="643">
        <v>5873.268</v>
      </c>
      <c r="L8" s="643">
        <v>927.66800000000001</v>
      </c>
      <c r="M8" s="643">
        <v>2628489.6910000001</v>
      </c>
      <c r="N8" s="643">
        <v>450096.09499999997</v>
      </c>
      <c r="O8" s="643">
        <v>61195.667999999998</v>
      </c>
      <c r="P8" s="643">
        <v>2643234.0460000001</v>
      </c>
      <c r="Q8" s="643" t="s">
        <v>1069</v>
      </c>
      <c r="R8" s="644">
        <v>5.5439999999999996</v>
      </c>
      <c r="S8" s="644">
        <v>5.9669999999999996</v>
      </c>
      <c r="T8" s="644">
        <v>0.377</v>
      </c>
      <c r="U8" s="644">
        <v>1067.68</v>
      </c>
      <c r="V8" s="644">
        <v>9.0999999999999998E-2</v>
      </c>
      <c r="W8" s="644">
        <v>1.2E-2</v>
      </c>
      <c r="X8" s="644">
        <v>1073.6690000000001</v>
      </c>
      <c r="Y8" s="644" t="s">
        <v>1069</v>
      </c>
      <c r="Z8" s="644">
        <v>0.73899999999999999</v>
      </c>
      <c r="AA8" s="644">
        <v>0.8</v>
      </c>
      <c r="AB8" s="644">
        <v>0.05</v>
      </c>
      <c r="AC8" s="644">
        <v>142.405</v>
      </c>
      <c r="AD8" s="644" t="s">
        <v>1069</v>
      </c>
      <c r="AE8" s="644">
        <v>6.4169999999999998</v>
      </c>
      <c r="AF8" s="644">
        <v>6.9059999999999997</v>
      </c>
      <c r="AG8" s="644">
        <v>0.436</v>
      </c>
      <c r="AH8" s="644">
        <v>1235.69</v>
      </c>
      <c r="AI8" s="644">
        <v>0.106</v>
      </c>
      <c r="AJ8" s="644">
        <v>1.4E-2</v>
      </c>
      <c r="AK8" s="644" t="s">
        <v>1069</v>
      </c>
      <c r="AL8" s="644">
        <v>1.907</v>
      </c>
      <c r="AM8" s="644">
        <v>7.8470000000000004</v>
      </c>
      <c r="AN8" s="644">
        <v>7.4139999999999997</v>
      </c>
      <c r="AO8" s="644">
        <v>6.4690000000000003</v>
      </c>
      <c r="AP8" s="644">
        <v>1.7789999999999999</v>
      </c>
      <c r="AQ8" s="644">
        <v>7.9470000000000001</v>
      </c>
      <c r="AR8" s="644">
        <v>8.2780000000000005</v>
      </c>
      <c r="AS8" s="644">
        <v>7.0090000000000003</v>
      </c>
      <c r="AT8" s="644">
        <v>0.93799999999999994</v>
      </c>
      <c r="AU8" s="644">
        <v>2.2130000000000001</v>
      </c>
      <c r="AV8" s="644">
        <v>2.5999999999999999E-2</v>
      </c>
      <c r="AW8" s="644">
        <v>0.437</v>
      </c>
      <c r="AX8" s="644">
        <v>2274.5830000000001</v>
      </c>
      <c r="AY8" s="644">
        <v>1435.5909999999999</v>
      </c>
      <c r="AZ8" s="644">
        <v>953.28200000000004</v>
      </c>
      <c r="BA8" s="644">
        <v>1245.8330000000001</v>
      </c>
      <c r="BB8" s="644" t="s">
        <v>1069</v>
      </c>
      <c r="BC8" s="644" t="s">
        <v>1069</v>
      </c>
      <c r="BD8" s="644">
        <v>0.17799999999999999</v>
      </c>
      <c r="BE8" s="644">
        <v>0.91900000000000004</v>
      </c>
      <c r="BF8" s="644">
        <v>0.90900000000000003</v>
      </c>
      <c r="BG8" s="644">
        <v>0.748</v>
      </c>
      <c r="BH8" s="644">
        <v>0.16900000000000001</v>
      </c>
      <c r="BI8" s="644">
        <v>0.91500000000000004</v>
      </c>
      <c r="BJ8" s="644">
        <v>1.014</v>
      </c>
      <c r="BK8" s="644">
        <v>0.80900000000000005</v>
      </c>
      <c r="BL8" s="644">
        <v>8.7999999999999995E-2</v>
      </c>
      <c r="BM8" s="644">
        <v>0.25900000000000001</v>
      </c>
      <c r="BN8" s="644">
        <v>3.0000000000000001E-3</v>
      </c>
      <c r="BO8" s="644">
        <v>0.05</v>
      </c>
      <c r="BP8" s="644">
        <v>212.86199999999999</v>
      </c>
      <c r="BQ8" s="644">
        <v>168.214</v>
      </c>
      <c r="BR8" s="644">
        <v>116.889</v>
      </c>
      <c r="BS8" s="644">
        <v>143.953</v>
      </c>
      <c r="BT8" s="644" t="s">
        <v>1069</v>
      </c>
      <c r="BU8" s="644" t="s">
        <v>1069</v>
      </c>
      <c r="BV8" s="644">
        <v>6.6040000000000001</v>
      </c>
      <c r="BW8" s="644">
        <v>7.173</v>
      </c>
      <c r="BX8" s="644">
        <v>0.52400000000000002</v>
      </c>
      <c r="BY8" s="644">
        <v>1229.6410000000001</v>
      </c>
      <c r="BZ8" s="644">
        <v>0.12</v>
      </c>
      <c r="CA8" s="644">
        <v>1.6E-2</v>
      </c>
      <c r="CB8" s="644">
        <v>1237.5150000000001</v>
      </c>
      <c r="CC8" s="644" t="s">
        <v>1069</v>
      </c>
      <c r="CD8" s="643">
        <v>752894.44900000002</v>
      </c>
      <c r="CE8" s="643">
        <v>482672.34</v>
      </c>
      <c r="CF8" s="643">
        <v>2984081.0359999998</v>
      </c>
      <c r="CG8" s="643">
        <v>0</v>
      </c>
      <c r="CH8" s="643">
        <v>567393</v>
      </c>
      <c r="CI8" s="643">
        <v>38070.955999999998</v>
      </c>
      <c r="CJ8" s="643">
        <v>102061</v>
      </c>
      <c r="CK8" s="643">
        <v>0</v>
      </c>
      <c r="CL8" s="643">
        <v>0</v>
      </c>
      <c r="CM8" s="643">
        <v>0</v>
      </c>
      <c r="CN8" s="643">
        <v>-3433</v>
      </c>
      <c r="CO8" s="643">
        <v>4216214.8250000002</v>
      </c>
      <c r="CP8" s="643">
        <v>707524.95600000001</v>
      </c>
      <c r="CQ8" s="643">
        <v>140131.95600000001</v>
      </c>
      <c r="CR8" s="643">
        <v>4254285.7810000004</v>
      </c>
      <c r="CS8" s="643">
        <v>669454</v>
      </c>
      <c r="CT8" s="694">
        <v>0.152911096541964</v>
      </c>
      <c r="CU8" s="694">
        <v>9.8029620058834699E-2</v>
      </c>
      <c r="CV8" s="694">
        <v>0.60605985871047396</v>
      </c>
      <c r="CW8" s="694">
        <v>0</v>
      </c>
      <c r="CX8" s="694">
        <v>0.11523618737722199</v>
      </c>
      <c r="CY8" s="694">
        <v>7.7321218612954098E-3</v>
      </c>
      <c r="CZ8" s="694">
        <v>2.07283496974878E-2</v>
      </c>
      <c r="DA8" s="694">
        <v>0</v>
      </c>
      <c r="DB8" s="694">
        <v>0</v>
      </c>
      <c r="DC8" s="694">
        <v>0</v>
      </c>
      <c r="DD8" s="694">
        <v>0</v>
      </c>
      <c r="DE8" s="694">
        <v>0.85630334106399397</v>
      </c>
      <c r="DF8" s="694">
        <v>0.143696658936006</v>
      </c>
      <c r="DG8" s="694">
        <v>2.8460471558783201E-2</v>
      </c>
      <c r="DH8" s="694">
        <v>0.86403546292528999</v>
      </c>
      <c r="DI8" s="694">
        <v>0.13596453707471001</v>
      </c>
      <c r="DJ8" s="416"/>
      <c r="DK8" s="417">
        <f t="shared" ref="DK8:DK42" si="6">(F8/H8)*1000</f>
        <v>7497.507643062323</v>
      </c>
      <c r="DL8" s="417">
        <f t="shared" ref="DL8:DL42" si="7">(BA8/BS8)*1000</f>
        <v>8654.4427695150498</v>
      </c>
      <c r="DM8" s="417">
        <f t="shared" ref="DM8:DM42" si="8">(BY8/BS8)*1000</f>
        <v>8541.9616124707372</v>
      </c>
      <c r="DN8" s="417">
        <f t="shared" ref="DN8:DN42" si="9">IFERROR((AX8/BP8)*1000,"-")</f>
        <v>10685.716567541413</v>
      </c>
      <c r="DO8" s="417">
        <f t="shared" ref="DO8:DO42" si="10">IFERROR((AY8/BQ8)*1000,"-")</f>
        <v>8534.3134340780198</v>
      </c>
      <c r="DP8" s="417">
        <f t="shared" ref="DP8:DP42" si="11">IFERROR((AZ8/BR8)*1000,"-")</f>
        <v>8155.4466202978911</v>
      </c>
      <c r="DQ8" s="417"/>
      <c r="DR8" s="417"/>
      <c r="DS8" s="409"/>
      <c r="DT8" s="419"/>
    </row>
    <row r="9" spans="1:165" ht="13" x14ac:dyDescent="0.3">
      <c r="A9" s="194">
        <v>18</v>
      </c>
      <c r="B9" s="409">
        <v>64</v>
      </c>
      <c r="C9" s="458" t="s">
        <v>364</v>
      </c>
      <c r="E9" s="643">
        <v>919.9</v>
      </c>
      <c r="F9" s="643">
        <v>5366566.1840000004</v>
      </c>
      <c r="G9" s="643">
        <v>2144532.2259999998</v>
      </c>
      <c r="H9" s="643">
        <v>1672077.993</v>
      </c>
      <c r="I9" s="643">
        <v>683463.00800000003</v>
      </c>
      <c r="J9" s="643">
        <v>6381.4610000000002</v>
      </c>
      <c r="K9" s="643">
        <v>2413.7049999999999</v>
      </c>
      <c r="L9" s="643">
        <v>565.50900000000001</v>
      </c>
      <c r="M9" s="643">
        <v>405634.64600000001</v>
      </c>
      <c r="N9" s="643">
        <v>41729.688999999998</v>
      </c>
      <c r="O9" s="643">
        <v>7098.1030000000001</v>
      </c>
      <c r="P9" s="643">
        <v>407213.88500000001</v>
      </c>
      <c r="Q9" s="643" t="s">
        <v>1069</v>
      </c>
      <c r="R9" s="644">
        <v>7.633</v>
      </c>
      <c r="S9" s="644">
        <v>7.0629999999999997</v>
      </c>
      <c r="T9" s="644">
        <v>0.67600000000000005</v>
      </c>
      <c r="U9" s="644">
        <v>485.18599999999998</v>
      </c>
      <c r="V9" s="644">
        <v>2.5000000000000001E-2</v>
      </c>
      <c r="W9" s="644">
        <v>4.0000000000000001E-3</v>
      </c>
      <c r="X9" s="644">
        <v>487.07499999999999</v>
      </c>
      <c r="Y9" s="644" t="s">
        <v>1069</v>
      </c>
      <c r="Z9" s="644">
        <v>2.3780000000000001</v>
      </c>
      <c r="AA9" s="644">
        <v>2.2509999999999999</v>
      </c>
      <c r="AB9" s="644">
        <v>0.21099999999999999</v>
      </c>
      <c r="AC9" s="644">
        <v>151.17099999999999</v>
      </c>
      <c r="AD9" s="644" t="s">
        <v>1069</v>
      </c>
      <c r="AE9" s="644">
        <v>24.524000000000001</v>
      </c>
      <c r="AF9" s="644">
        <v>22.693999999999999</v>
      </c>
      <c r="AG9" s="644">
        <v>2.173</v>
      </c>
      <c r="AH9" s="644">
        <v>1558.873</v>
      </c>
      <c r="AI9" s="644">
        <v>0.08</v>
      </c>
      <c r="AJ9" s="644">
        <v>1.4E-2</v>
      </c>
      <c r="AK9" s="644" t="s">
        <v>1069</v>
      </c>
      <c r="AL9" s="644">
        <v>0</v>
      </c>
      <c r="AM9" s="644">
        <v>28.625</v>
      </c>
      <c r="AN9" s="644">
        <v>4.7300000000000004</v>
      </c>
      <c r="AO9" s="644">
        <v>24.202999999999999</v>
      </c>
      <c r="AP9" s="644">
        <v>0</v>
      </c>
      <c r="AQ9" s="644">
        <v>28.306000000000001</v>
      </c>
      <c r="AR9" s="644">
        <v>4.7300000000000004</v>
      </c>
      <c r="AS9" s="644">
        <v>23.132999999999999</v>
      </c>
      <c r="AT9" s="644">
        <v>0</v>
      </c>
      <c r="AU9" s="644">
        <v>2.621</v>
      </c>
      <c r="AV9" s="644">
        <v>4.5999999999999999E-2</v>
      </c>
      <c r="AW9" s="644">
        <v>2.1440000000000001</v>
      </c>
      <c r="AX9" s="644">
        <v>0</v>
      </c>
      <c r="AY9" s="644">
        <v>1508.1569999999999</v>
      </c>
      <c r="AZ9" s="644">
        <v>1687.7660000000001</v>
      </c>
      <c r="BA9" s="644">
        <v>1541.3979999999999</v>
      </c>
      <c r="BB9" s="644" t="s">
        <v>1069</v>
      </c>
      <c r="BC9" s="644" t="s">
        <v>1069</v>
      </c>
      <c r="BD9" s="644">
        <v>0</v>
      </c>
      <c r="BE9" s="644">
        <v>3.0979999999999999</v>
      </c>
      <c r="BF9" s="644">
        <v>0.32800000000000001</v>
      </c>
      <c r="BG9" s="644">
        <v>2.3719999999999999</v>
      </c>
      <c r="BH9" s="644">
        <v>0</v>
      </c>
      <c r="BI9" s="644">
        <v>3.0960000000000001</v>
      </c>
      <c r="BJ9" s="644">
        <v>0.32800000000000001</v>
      </c>
      <c r="BK9" s="644">
        <v>2.2450000000000001</v>
      </c>
      <c r="BL9" s="644">
        <v>0</v>
      </c>
      <c r="BM9" s="644">
        <v>0.28399999999999997</v>
      </c>
      <c r="BN9" s="644">
        <v>3.0000000000000001E-3</v>
      </c>
      <c r="BO9" s="644">
        <v>0.21</v>
      </c>
      <c r="BP9" s="644">
        <v>0</v>
      </c>
      <c r="BQ9" s="644">
        <v>163.21799999999999</v>
      </c>
      <c r="BR9" s="644">
        <v>116.889</v>
      </c>
      <c r="BS9" s="644">
        <v>151.083</v>
      </c>
      <c r="BT9" s="644" t="s">
        <v>1069</v>
      </c>
      <c r="BU9" s="644" t="s">
        <v>1069</v>
      </c>
      <c r="BV9" s="644">
        <v>24.568000000000001</v>
      </c>
      <c r="BW9" s="644">
        <v>23.466999999999999</v>
      </c>
      <c r="BX9" s="644">
        <v>2.1379999999999999</v>
      </c>
      <c r="BY9" s="644">
        <v>1531.318</v>
      </c>
      <c r="BZ9" s="644">
        <v>6.6000000000000003E-2</v>
      </c>
      <c r="CA9" s="644">
        <v>1.2E-2</v>
      </c>
      <c r="CB9" s="644">
        <v>1536.461</v>
      </c>
      <c r="CC9" s="644" t="s">
        <v>1069</v>
      </c>
      <c r="CD9" s="643">
        <v>0</v>
      </c>
      <c r="CE9" s="643">
        <v>419813.30099999998</v>
      </c>
      <c r="CF9" s="643">
        <v>101314.97900000001</v>
      </c>
      <c r="CG9" s="643">
        <v>0</v>
      </c>
      <c r="CH9" s="643">
        <v>1121507</v>
      </c>
      <c r="CI9" s="643">
        <v>0</v>
      </c>
      <c r="CJ9" s="643">
        <v>30151</v>
      </c>
      <c r="CK9" s="643">
        <v>0</v>
      </c>
      <c r="CL9" s="643">
        <v>0</v>
      </c>
      <c r="CM9" s="643">
        <v>0</v>
      </c>
      <c r="CN9" s="643">
        <v>-708</v>
      </c>
      <c r="CO9" s="643">
        <v>520420.28</v>
      </c>
      <c r="CP9" s="643">
        <v>1151658</v>
      </c>
      <c r="CQ9" s="643">
        <v>30151</v>
      </c>
      <c r="CR9" s="643">
        <v>520420.28</v>
      </c>
      <c r="CS9" s="643">
        <v>1151658</v>
      </c>
      <c r="CT9" s="694">
        <v>0</v>
      </c>
      <c r="CU9" s="694">
        <v>0.25107275539755203</v>
      </c>
      <c r="CV9" s="694">
        <v>6.0592246315166499E-2</v>
      </c>
      <c r="CW9" s="694">
        <v>0</v>
      </c>
      <c r="CX9" s="694">
        <v>0.67072637293033899</v>
      </c>
      <c r="CY9" s="694">
        <v>0</v>
      </c>
      <c r="CZ9" s="694">
        <v>1.80320505090228E-2</v>
      </c>
      <c r="DA9" s="694">
        <v>0</v>
      </c>
      <c r="DB9" s="694">
        <v>0</v>
      </c>
      <c r="DC9" s="694">
        <v>0</v>
      </c>
      <c r="DD9" s="694">
        <v>0</v>
      </c>
      <c r="DE9" s="694">
        <v>0.311241576560638</v>
      </c>
      <c r="DF9" s="694">
        <v>0.688758423439362</v>
      </c>
      <c r="DG9" s="694">
        <v>1.80320505090228E-2</v>
      </c>
      <c r="DH9" s="694">
        <v>0.311241576560638</v>
      </c>
      <c r="DI9" s="694">
        <v>0.688758423439362</v>
      </c>
      <c r="DJ9" s="416"/>
      <c r="DK9" s="417">
        <f t="shared" si="6"/>
        <v>3209.5190574043995</v>
      </c>
      <c r="DL9" s="417">
        <f t="shared" si="7"/>
        <v>10202.325873857415</v>
      </c>
      <c r="DM9" s="417">
        <f t="shared" si="8"/>
        <v>10135.607579939502</v>
      </c>
      <c r="DN9" s="417" t="str">
        <f t="shared" si="9"/>
        <v>-</v>
      </c>
      <c r="DO9" s="417">
        <f t="shared" si="10"/>
        <v>9240.1389552622877</v>
      </c>
      <c r="DP9" s="417">
        <f t="shared" si="11"/>
        <v>14439.049012310827</v>
      </c>
      <c r="DQ9" s="417"/>
      <c r="DR9" s="417"/>
      <c r="DS9" s="409"/>
      <c r="DT9" s="419"/>
    </row>
    <row r="10" spans="1:165" ht="13" x14ac:dyDescent="0.3">
      <c r="A10" s="194">
        <v>19</v>
      </c>
      <c r="B10" s="409">
        <v>88</v>
      </c>
      <c r="C10" s="458" t="s">
        <v>365</v>
      </c>
      <c r="E10" s="643">
        <v>51066.6</v>
      </c>
      <c r="F10" s="643">
        <v>931148054.454</v>
      </c>
      <c r="G10" s="643">
        <v>468950211.898</v>
      </c>
      <c r="H10" s="643">
        <v>167984970.14300001</v>
      </c>
      <c r="I10" s="643">
        <v>81063461.415999994</v>
      </c>
      <c r="J10" s="643">
        <v>38904.752999999997</v>
      </c>
      <c r="K10" s="643">
        <v>19226.577000000001</v>
      </c>
      <c r="L10" s="643">
        <v>10711.571</v>
      </c>
      <c r="M10" s="643">
        <v>68844905.806999996</v>
      </c>
      <c r="N10" s="643">
        <v>8701022.5179999992</v>
      </c>
      <c r="O10" s="643">
        <v>1203010.43</v>
      </c>
      <c r="P10" s="643">
        <v>69132917.144999996</v>
      </c>
      <c r="Q10" s="643" t="s">
        <v>1069</v>
      </c>
      <c r="R10" s="644">
        <v>0.46300000000000002</v>
      </c>
      <c r="S10" s="644">
        <v>0.47399999999999998</v>
      </c>
      <c r="T10" s="644">
        <v>0.128</v>
      </c>
      <c r="U10" s="644">
        <v>819.65599999999995</v>
      </c>
      <c r="V10" s="644">
        <v>5.1999999999999998E-2</v>
      </c>
      <c r="W10" s="644">
        <v>7.0000000000000001E-3</v>
      </c>
      <c r="X10" s="644">
        <v>823.08500000000004</v>
      </c>
      <c r="Y10" s="644" t="s">
        <v>1069</v>
      </c>
      <c r="Z10" s="644">
        <v>8.4000000000000005E-2</v>
      </c>
      <c r="AA10" s="644">
        <v>8.2000000000000003E-2</v>
      </c>
      <c r="AB10" s="644">
        <v>2.3E-2</v>
      </c>
      <c r="AC10" s="644">
        <v>147.87100000000001</v>
      </c>
      <c r="AD10" s="644" t="s">
        <v>1069</v>
      </c>
      <c r="AE10" s="644">
        <v>0.73299999999999998</v>
      </c>
      <c r="AF10" s="644">
        <v>0.751</v>
      </c>
      <c r="AG10" s="644">
        <v>0.20200000000000001</v>
      </c>
      <c r="AH10" s="644">
        <v>1297.3800000000001</v>
      </c>
      <c r="AI10" s="644">
        <v>8.2000000000000003E-2</v>
      </c>
      <c r="AJ10" s="644">
        <v>1.0999999999999999E-2</v>
      </c>
      <c r="AK10" s="644" t="s">
        <v>1069</v>
      </c>
      <c r="AL10" s="644">
        <v>1.581</v>
      </c>
      <c r="AM10" s="644">
        <v>17.452000000000002</v>
      </c>
      <c r="AN10" s="644">
        <v>0.41799999999999998</v>
      </c>
      <c r="AO10" s="644">
        <v>0.72799999999999998</v>
      </c>
      <c r="AP10" s="644">
        <v>1.5629999999999999</v>
      </c>
      <c r="AQ10" s="644">
        <v>17.600000000000001</v>
      </c>
      <c r="AR10" s="644">
        <v>0.42699999999999999</v>
      </c>
      <c r="AS10" s="644">
        <v>0.70499999999999996</v>
      </c>
      <c r="AT10" s="644">
        <v>0.73599999999999999</v>
      </c>
      <c r="AU10" s="644">
        <v>6.0970000000000004</v>
      </c>
      <c r="AV10" s="644">
        <v>6.0000000000000001E-3</v>
      </c>
      <c r="AW10" s="644">
        <v>0.20100000000000001</v>
      </c>
      <c r="AX10" s="644">
        <v>2331.8919999999998</v>
      </c>
      <c r="AY10" s="644">
        <v>3237.5479999999998</v>
      </c>
      <c r="AZ10" s="644">
        <v>921.202</v>
      </c>
      <c r="BA10" s="644">
        <v>1296.8140000000001</v>
      </c>
      <c r="BB10" s="644" t="s">
        <v>1069</v>
      </c>
      <c r="BC10" s="644" t="s">
        <v>1069</v>
      </c>
      <c r="BD10" s="644">
        <v>0.13900000000000001</v>
      </c>
      <c r="BE10" s="644">
        <v>0.88</v>
      </c>
      <c r="BF10" s="644">
        <v>5.3999999999999999E-2</v>
      </c>
      <c r="BG10" s="644">
        <v>8.3000000000000004E-2</v>
      </c>
      <c r="BH10" s="644">
        <v>0.13700000000000001</v>
      </c>
      <c r="BI10" s="644">
        <v>0.878</v>
      </c>
      <c r="BJ10" s="644">
        <v>5.5E-2</v>
      </c>
      <c r="BK10" s="644">
        <v>8.2000000000000003E-2</v>
      </c>
      <c r="BL10" s="644">
        <v>6.4000000000000001E-2</v>
      </c>
      <c r="BM10" s="644">
        <v>0.308</v>
      </c>
      <c r="BN10" s="644">
        <v>1E-3</v>
      </c>
      <c r="BO10" s="644">
        <v>2.3E-2</v>
      </c>
      <c r="BP10" s="644">
        <v>204.47900000000001</v>
      </c>
      <c r="BQ10" s="644">
        <v>163.32599999999999</v>
      </c>
      <c r="BR10" s="644">
        <v>118.729</v>
      </c>
      <c r="BS10" s="644">
        <v>148.55699999999999</v>
      </c>
      <c r="BT10" s="644" t="s">
        <v>1069</v>
      </c>
      <c r="BU10" s="644" t="s">
        <v>1069</v>
      </c>
      <c r="BV10" s="644">
        <v>0.66400000000000003</v>
      </c>
      <c r="BW10" s="644">
        <v>0.64400000000000002</v>
      </c>
      <c r="BX10" s="644">
        <v>0.16200000000000001</v>
      </c>
      <c r="BY10" s="644">
        <v>1227.625</v>
      </c>
      <c r="BZ10" s="644">
        <v>6.7000000000000004E-2</v>
      </c>
      <c r="CA10" s="644">
        <v>8.9999999999999993E-3</v>
      </c>
      <c r="CB10" s="644">
        <v>1231.9970000000001</v>
      </c>
      <c r="CC10" s="644" t="s">
        <v>1069</v>
      </c>
      <c r="CD10" s="643">
        <v>26836891.440000001</v>
      </c>
      <c r="CE10" s="643">
        <v>87445.168999999994</v>
      </c>
      <c r="CF10" s="643">
        <v>78594979.140000001</v>
      </c>
      <c r="CG10" s="643">
        <v>31629862</v>
      </c>
      <c r="CH10" s="643">
        <v>5683092</v>
      </c>
      <c r="CI10" s="643">
        <v>591773.51699999999</v>
      </c>
      <c r="CJ10" s="643">
        <v>8739947</v>
      </c>
      <c r="CK10" s="643">
        <v>10050113.310000001</v>
      </c>
      <c r="CL10" s="643">
        <v>5752841</v>
      </c>
      <c r="CM10" s="643">
        <v>269.09800000000001</v>
      </c>
      <c r="CN10" s="643">
        <v>17756</v>
      </c>
      <c r="CO10" s="643">
        <v>137167202.847</v>
      </c>
      <c r="CP10" s="643">
        <v>30817766.827</v>
      </c>
      <c r="CQ10" s="643">
        <v>25134674.827</v>
      </c>
      <c r="CR10" s="643">
        <v>106129114.36399999</v>
      </c>
      <c r="CS10" s="643">
        <v>61855855.310000002</v>
      </c>
      <c r="CT10" s="694">
        <v>0.15975769434659001</v>
      </c>
      <c r="CU10" s="694">
        <v>5.2055353029321905E-4</v>
      </c>
      <c r="CV10" s="694">
        <v>0.46786911526980901</v>
      </c>
      <c r="CW10" s="694">
        <v>0.18828983367608701</v>
      </c>
      <c r="CX10" s="694">
        <v>3.38309552993276E-2</v>
      </c>
      <c r="CY10" s="694">
        <v>3.5227765802406299E-3</v>
      </c>
      <c r="CZ10" s="694">
        <v>5.2028148809748702E-2</v>
      </c>
      <c r="DA10" s="694">
        <v>5.9827455572386903E-2</v>
      </c>
      <c r="DB10" s="694">
        <v>3.4246165065626097E-2</v>
      </c>
      <c r="DC10" s="694">
        <v>1.6019171270038299E-6</v>
      </c>
      <c r="DD10" s="694">
        <v>1.05699932764569E-4</v>
      </c>
      <c r="DE10" s="694">
        <v>0.81654449867266998</v>
      </c>
      <c r="DF10" s="694">
        <v>0.18345550132732999</v>
      </c>
      <c r="DG10" s="694">
        <v>0.14962454602800199</v>
      </c>
      <c r="DH10" s="694">
        <v>0.63177744157682403</v>
      </c>
      <c r="DI10" s="694">
        <v>0.36822255842317603</v>
      </c>
      <c r="DJ10" s="416"/>
      <c r="DK10" s="417">
        <f>(F10/H10)*1000</f>
        <v>5543.0438429184742</v>
      </c>
      <c r="DL10" s="417">
        <f>(BA10/BS10)*1000</f>
        <v>8729.4035286119142</v>
      </c>
      <c r="DM10" s="417">
        <f>(BY10/BS10)*1000</f>
        <v>8263.6631057439226</v>
      </c>
      <c r="DN10" s="417">
        <f t="shared" ref="DN10:DP11" si="12">IFERROR((AX10/BP10)*1000,"-")</f>
        <v>11404.065943201991</v>
      </c>
      <c r="DO10" s="417">
        <f t="shared" si="12"/>
        <v>19822.612443824008</v>
      </c>
      <c r="DP10" s="417">
        <f t="shared" si="12"/>
        <v>7758.8626199159435</v>
      </c>
      <c r="DQ10" s="417"/>
      <c r="DR10" s="417"/>
      <c r="DS10" s="409"/>
      <c r="DT10" s="419"/>
    </row>
    <row r="11" spans="1:165" ht="13" x14ac:dyDescent="0.3">
      <c r="A11" s="194">
        <v>20</v>
      </c>
      <c r="B11" s="409">
        <v>85</v>
      </c>
      <c r="C11" s="458" t="s">
        <v>366</v>
      </c>
      <c r="E11" s="643">
        <v>89051.4</v>
      </c>
      <c r="F11" s="643">
        <v>910487207.38399994</v>
      </c>
      <c r="G11" s="643">
        <v>439901147.23500001</v>
      </c>
      <c r="H11" s="643">
        <v>204553916.34400001</v>
      </c>
      <c r="I11" s="643">
        <v>101534037.273</v>
      </c>
      <c r="J11" s="643">
        <v>53165.383999999998</v>
      </c>
      <c r="K11" s="643">
        <v>25129.200000000001</v>
      </c>
      <c r="L11" s="643">
        <v>3841.6680000000001</v>
      </c>
      <c r="M11" s="643">
        <v>54378369.527999997</v>
      </c>
      <c r="N11" s="643">
        <v>6433505.4919999996</v>
      </c>
      <c r="O11" s="643">
        <v>821400.56900000002</v>
      </c>
      <c r="P11" s="643">
        <v>54575632.055</v>
      </c>
      <c r="Q11" s="643" t="s">
        <v>1069</v>
      </c>
      <c r="R11" s="644">
        <v>0.52</v>
      </c>
      <c r="S11" s="644">
        <v>0.495</v>
      </c>
      <c r="T11" s="644">
        <v>3.7999999999999999E-2</v>
      </c>
      <c r="U11" s="644">
        <v>531.678</v>
      </c>
      <c r="V11" s="644">
        <v>3.1E-2</v>
      </c>
      <c r="W11" s="644">
        <v>4.0000000000000001E-3</v>
      </c>
      <c r="X11" s="644">
        <v>533.60599999999999</v>
      </c>
      <c r="Y11" s="644" t="s">
        <v>1069</v>
      </c>
      <c r="Z11" s="644">
        <v>0.11700000000000001</v>
      </c>
      <c r="AA11" s="644">
        <v>0.114</v>
      </c>
      <c r="AB11" s="644">
        <v>8.0000000000000002E-3</v>
      </c>
      <c r="AC11" s="644">
        <v>119.449</v>
      </c>
      <c r="AD11" s="644" t="s">
        <v>1069</v>
      </c>
      <c r="AE11" s="644">
        <v>0.94899999999999995</v>
      </c>
      <c r="AF11" s="644">
        <v>0.90300000000000002</v>
      </c>
      <c r="AG11" s="644">
        <v>6.9000000000000006E-2</v>
      </c>
      <c r="AH11" s="644">
        <v>970.14400000000001</v>
      </c>
      <c r="AI11" s="644">
        <v>5.7000000000000002E-2</v>
      </c>
      <c r="AJ11" s="644">
        <v>7.0000000000000001E-3</v>
      </c>
      <c r="AK11" s="644" t="s">
        <v>1069</v>
      </c>
      <c r="AL11" s="644">
        <v>2.742</v>
      </c>
      <c r="AM11" s="644">
        <v>28.259</v>
      </c>
      <c r="AN11" s="644">
        <v>0.69899999999999995</v>
      </c>
      <c r="AO11" s="644">
        <v>0.86199999999999999</v>
      </c>
      <c r="AP11" s="644">
        <v>2.823</v>
      </c>
      <c r="AQ11" s="644">
        <v>29.218</v>
      </c>
      <c r="AR11" s="644">
        <v>0.66500000000000004</v>
      </c>
      <c r="AS11" s="644">
        <v>0.85499999999999998</v>
      </c>
      <c r="AT11" s="644">
        <v>0.61299999999999999</v>
      </c>
      <c r="AU11" s="644">
        <v>2.0089999999999999</v>
      </c>
      <c r="AV11" s="644">
        <v>8.9999999999999993E-3</v>
      </c>
      <c r="AW11" s="644">
        <v>5.5E-2</v>
      </c>
      <c r="AX11" s="644">
        <v>1972.586</v>
      </c>
      <c r="AY11" s="644">
        <v>1664.414</v>
      </c>
      <c r="AZ11" s="644">
        <v>918.76900000000001</v>
      </c>
      <c r="BA11" s="644">
        <v>997.97199999999998</v>
      </c>
      <c r="BB11" s="644" t="s">
        <v>1069</v>
      </c>
      <c r="BC11" s="644" t="s">
        <v>1069</v>
      </c>
      <c r="BD11" s="644">
        <v>0.28499999999999998</v>
      </c>
      <c r="BE11" s="644">
        <v>2.569</v>
      </c>
      <c r="BF11" s="644">
        <v>0.09</v>
      </c>
      <c r="BG11" s="644">
        <v>0.109</v>
      </c>
      <c r="BH11" s="644">
        <v>0.30399999999999999</v>
      </c>
      <c r="BI11" s="644">
        <v>2.8220000000000001</v>
      </c>
      <c r="BJ11" s="644">
        <v>8.5000000000000006E-2</v>
      </c>
      <c r="BK11" s="644">
        <v>0.107</v>
      </c>
      <c r="BL11" s="644">
        <v>6.4000000000000001E-2</v>
      </c>
      <c r="BM11" s="644">
        <v>0.183</v>
      </c>
      <c r="BN11" s="644">
        <v>1E-3</v>
      </c>
      <c r="BO11" s="644">
        <v>7.0000000000000001E-3</v>
      </c>
      <c r="BP11" s="644">
        <v>205.23400000000001</v>
      </c>
      <c r="BQ11" s="644">
        <v>151.28299999999999</v>
      </c>
      <c r="BR11" s="644">
        <v>117.955</v>
      </c>
      <c r="BS11" s="644">
        <v>125.898</v>
      </c>
      <c r="BT11" s="644" t="s">
        <v>1069</v>
      </c>
      <c r="BU11" s="644" t="s">
        <v>1069</v>
      </c>
      <c r="BV11" s="644">
        <v>0.84899999999999998</v>
      </c>
      <c r="BW11" s="644">
        <v>0.79600000000000004</v>
      </c>
      <c r="BX11" s="644">
        <v>5.7000000000000002E-2</v>
      </c>
      <c r="BY11" s="644">
        <v>1047.5150000000001</v>
      </c>
      <c r="BZ11" s="644">
        <v>4.9000000000000002E-2</v>
      </c>
      <c r="CA11" s="644">
        <v>6.0000000000000001E-3</v>
      </c>
      <c r="CB11" s="644">
        <v>1050.5509999999999</v>
      </c>
      <c r="CC11" s="644" t="s">
        <v>1069</v>
      </c>
      <c r="CD11" s="643">
        <v>7855351.7690000003</v>
      </c>
      <c r="CE11" s="643">
        <v>93721.012000000002</v>
      </c>
      <c r="CF11" s="643">
        <v>97166849.457000002</v>
      </c>
      <c r="CG11" s="643">
        <v>16477366</v>
      </c>
      <c r="CH11" s="643">
        <v>13437119.01</v>
      </c>
      <c r="CI11" s="643">
        <v>5041118.87</v>
      </c>
      <c r="CJ11" s="643">
        <v>15792024.41</v>
      </c>
      <c r="CK11" s="643">
        <v>38578240.939999998</v>
      </c>
      <c r="CL11" s="643">
        <v>8165475</v>
      </c>
      <c r="CM11" s="643">
        <v>1538572.469</v>
      </c>
      <c r="CN11" s="643">
        <v>408076.79999999999</v>
      </c>
      <c r="CO11" s="643">
        <v>123539937.507</v>
      </c>
      <c r="CP11" s="643">
        <v>81013978.230000004</v>
      </c>
      <c r="CQ11" s="643">
        <v>67576859.219999999</v>
      </c>
      <c r="CR11" s="643">
        <v>112103690.377</v>
      </c>
      <c r="CS11" s="643">
        <v>92450225.359999999</v>
      </c>
      <c r="CT11" s="694">
        <v>3.8402353436733101E-2</v>
      </c>
      <c r="CU11" s="694">
        <v>4.5817266153193298E-4</v>
      </c>
      <c r="CV11" s="694">
        <v>0.475018281155418</v>
      </c>
      <c r="CW11" s="694">
        <v>8.05526794274882E-2</v>
      </c>
      <c r="CX11" s="694">
        <v>6.5689864511205107E-2</v>
      </c>
      <c r="CY11" s="694">
        <v>2.4644450593072399E-2</v>
      </c>
      <c r="CZ11" s="694">
        <v>7.7202259135944307E-2</v>
      </c>
      <c r="DA11" s="694">
        <v>0.188596932016696</v>
      </c>
      <c r="DB11" s="694">
        <v>3.9918448740421802E-2</v>
      </c>
      <c r="DC11" s="694">
        <v>7.5215987113059204E-3</v>
      </c>
      <c r="DD11" s="694">
        <v>1.99495961018255E-3</v>
      </c>
      <c r="DE11" s="694">
        <v>0.60394804500265997</v>
      </c>
      <c r="DF11" s="694">
        <v>0.39605195499734003</v>
      </c>
      <c r="DG11" s="694">
        <v>0.33036209048613502</v>
      </c>
      <c r="DH11" s="694">
        <v>0.54803981616824404</v>
      </c>
      <c r="DI11" s="694">
        <v>0.45196018383175601</v>
      </c>
      <c r="DJ11" s="416"/>
      <c r="DK11" s="417">
        <f>(F11/H11)*1000</f>
        <v>4451.0866555731254</v>
      </c>
      <c r="DL11" s="417">
        <f>(BA11/BS11)*1000</f>
        <v>7926.8296557530703</v>
      </c>
      <c r="DM11" s="417">
        <f>(BY11/BS11)*1000</f>
        <v>8320.3466298114363</v>
      </c>
      <c r="DN11" s="417">
        <f t="shared" si="12"/>
        <v>9611.3996706198777</v>
      </c>
      <c r="DO11" s="417">
        <f t="shared" si="12"/>
        <v>11001.989648539493</v>
      </c>
      <c r="DP11" s="417">
        <f t="shared" si="12"/>
        <v>7789.1484040523928</v>
      </c>
      <c r="DQ11" s="417"/>
      <c r="DR11" s="417"/>
      <c r="DS11" s="409"/>
      <c r="DT11" s="419"/>
    </row>
    <row r="12" spans="1:165" ht="13" x14ac:dyDescent="0.3">
      <c r="A12" s="194">
        <v>21</v>
      </c>
      <c r="B12" s="409">
        <v>65</v>
      </c>
      <c r="C12" s="458" t="s">
        <v>367</v>
      </c>
      <c r="E12" s="643">
        <v>130411.4</v>
      </c>
      <c r="F12" s="643">
        <v>2265447510.3299999</v>
      </c>
      <c r="G12" s="643">
        <v>1160897225.885</v>
      </c>
      <c r="H12" s="643">
        <v>421638207.94499999</v>
      </c>
      <c r="I12" s="643">
        <v>200067305.78299999</v>
      </c>
      <c r="J12" s="643">
        <v>99484.490999999995</v>
      </c>
      <c r="K12" s="643">
        <v>47461.144999999997</v>
      </c>
      <c r="L12" s="643">
        <v>123711.817</v>
      </c>
      <c r="M12" s="643">
        <v>171512266.82499999</v>
      </c>
      <c r="N12" s="643">
        <v>22927901.379999999</v>
      </c>
      <c r="O12" s="643">
        <v>3195031.4449999998</v>
      </c>
      <c r="P12" s="643">
        <v>172274925.27900001</v>
      </c>
      <c r="Q12" s="643" t="s">
        <v>1069</v>
      </c>
      <c r="R12" s="644">
        <v>0.47199999999999998</v>
      </c>
      <c r="S12" s="644">
        <v>0.47399999999999998</v>
      </c>
      <c r="T12" s="644">
        <v>0.58699999999999997</v>
      </c>
      <c r="U12" s="644">
        <v>813.55200000000002</v>
      </c>
      <c r="V12" s="644">
        <v>5.3999999999999999E-2</v>
      </c>
      <c r="W12" s="644">
        <v>8.0000000000000002E-3</v>
      </c>
      <c r="X12" s="644">
        <v>817.16899999999998</v>
      </c>
      <c r="Y12" s="644" t="s">
        <v>1069</v>
      </c>
      <c r="Z12" s="644">
        <v>8.7999999999999995E-2</v>
      </c>
      <c r="AA12" s="644">
        <v>8.2000000000000003E-2</v>
      </c>
      <c r="AB12" s="644">
        <v>0.109</v>
      </c>
      <c r="AC12" s="644">
        <v>151.416</v>
      </c>
      <c r="AD12" s="644" t="s">
        <v>1069</v>
      </c>
      <c r="AE12" s="644">
        <v>0.72599999999999998</v>
      </c>
      <c r="AF12" s="644">
        <v>0.73</v>
      </c>
      <c r="AG12" s="644">
        <v>0.90300000000000002</v>
      </c>
      <c r="AH12" s="644">
        <v>1252.384</v>
      </c>
      <c r="AI12" s="644">
        <v>8.4000000000000005E-2</v>
      </c>
      <c r="AJ12" s="644">
        <v>1.2E-2</v>
      </c>
      <c r="AK12" s="644" t="s">
        <v>1069</v>
      </c>
      <c r="AL12" s="644">
        <v>1.109</v>
      </c>
      <c r="AM12" s="644">
        <v>3.9089999999999998</v>
      </c>
      <c r="AN12" s="644">
        <v>0.58599999999999997</v>
      </c>
      <c r="AO12" s="644">
        <v>0.72699999999999998</v>
      </c>
      <c r="AP12" s="644">
        <v>1.083</v>
      </c>
      <c r="AQ12" s="644">
        <v>3.8740000000000001</v>
      </c>
      <c r="AR12" s="644">
        <v>0.53500000000000003</v>
      </c>
      <c r="AS12" s="644">
        <v>0.67800000000000005</v>
      </c>
      <c r="AT12" s="644">
        <v>3.1720000000000002</v>
      </c>
      <c r="AU12" s="644">
        <v>9.8089999999999993</v>
      </c>
      <c r="AV12" s="644">
        <v>7.0000000000000001E-3</v>
      </c>
      <c r="AW12" s="644">
        <v>0.90300000000000002</v>
      </c>
      <c r="AX12" s="644">
        <v>2256.7779999999998</v>
      </c>
      <c r="AY12" s="644">
        <v>2155.877</v>
      </c>
      <c r="AZ12" s="644">
        <v>869.87800000000004</v>
      </c>
      <c r="BA12" s="644">
        <v>1256.3820000000001</v>
      </c>
      <c r="BB12" s="644" t="s">
        <v>1069</v>
      </c>
      <c r="BC12" s="644" t="s">
        <v>1069</v>
      </c>
      <c r="BD12" s="644">
        <v>0.10299999999999999</v>
      </c>
      <c r="BE12" s="644">
        <v>0.313</v>
      </c>
      <c r="BF12" s="644">
        <v>0.08</v>
      </c>
      <c r="BG12" s="644">
        <v>8.7999999999999995E-2</v>
      </c>
      <c r="BH12" s="644">
        <v>0.10100000000000001</v>
      </c>
      <c r="BI12" s="644">
        <v>0.309</v>
      </c>
      <c r="BJ12" s="644">
        <v>7.1999999999999995E-2</v>
      </c>
      <c r="BK12" s="644">
        <v>8.2000000000000003E-2</v>
      </c>
      <c r="BL12" s="644">
        <v>0.29499999999999998</v>
      </c>
      <c r="BM12" s="644">
        <v>0.78500000000000003</v>
      </c>
      <c r="BN12" s="644">
        <v>1E-3</v>
      </c>
      <c r="BO12" s="644">
        <v>0.109</v>
      </c>
      <c r="BP12" s="644">
        <v>210.06899999999999</v>
      </c>
      <c r="BQ12" s="644">
        <v>172.56299999999999</v>
      </c>
      <c r="BR12" s="644">
        <v>118.44499999999999</v>
      </c>
      <c r="BS12" s="644">
        <v>151.959</v>
      </c>
      <c r="BT12" s="644" t="s">
        <v>1069</v>
      </c>
      <c r="BU12" s="644" t="s">
        <v>1069</v>
      </c>
      <c r="BV12" s="644">
        <v>0.77300000000000002</v>
      </c>
      <c r="BW12" s="644">
        <v>0.70099999999999996</v>
      </c>
      <c r="BX12" s="644">
        <v>0.72799999999999998</v>
      </c>
      <c r="BY12" s="644">
        <v>1177.373</v>
      </c>
      <c r="BZ12" s="644">
        <v>6.5000000000000002E-2</v>
      </c>
      <c r="CA12" s="644">
        <v>8.9999999999999993E-3</v>
      </c>
      <c r="CB12" s="644">
        <v>1181.606</v>
      </c>
      <c r="CC12" s="644" t="s">
        <v>1069</v>
      </c>
      <c r="CD12" s="643">
        <v>74510144.049999997</v>
      </c>
      <c r="CE12" s="643">
        <v>261481.94699999999</v>
      </c>
      <c r="CF12" s="643">
        <v>196134770.37599999</v>
      </c>
      <c r="CG12" s="643">
        <v>40211257</v>
      </c>
      <c r="CH12" s="643">
        <v>684520.26</v>
      </c>
      <c r="CI12" s="643">
        <v>773485.11600000004</v>
      </c>
      <c r="CJ12" s="643">
        <v>92100198.549999997</v>
      </c>
      <c r="CK12" s="643">
        <v>14744933</v>
      </c>
      <c r="CL12" s="643">
        <v>0</v>
      </c>
      <c r="CM12" s="643">
        <v>1799765.7169999999</v>
      </c>
      <c r="CN12" s="643">
        <v>417652</v>
      </c>
      <c r="CO12" s="643">
        <v>313335071.08999997</v>
      </c>
      <c r="CP12" s="643">
        <v>108303136.926</v>
      </c>
      <c r="CQ12" s="643">
        <v>107618616.66599999</v>
      </c>
      <c r="CR12" s="643">
        <v>273897299.20599997</v>
      </c>
      <c r="CS12" s="643">
        <v>147740908.81</v>
      </c>
      <c r="CT12" s="694">
        <v>0.17671582563782401</v>
      </c>
      <c r="CU12" s="694">
        <v>6.2015714427397805E-4</v>
      </c>
      <c r="CV12" s="694">
        <v>0.465173142867919</v>
      </c>
      <c r="CW12" s="694">
        <v>9.5369101365866002E-2</v>
      </c>
      <c r="CX12" s="694">
        <v>1.6234777754629501E-3</v>
      </c>
      <c r="CY12" s="694">
        <v>1.83447586412911E-3</v>
      </c>
      <c r="CZ12" s="694">
        <v>0.21843418551505001</v>
      </c>
      <c r="DA12" s="694">
        <v>3.4970580748318901E-2</v>
      </c>
      <c r="DB12" s="694">
        <v>0</v>
      </c>
      <c r="DC12" s="694">
        <v>4.2685071769674697E-3</v>
      </c>
      <c r="DD12" s="694">
        <v>9.905459041893831E-4</v>
      </c>
      <c r="DE12" s="694">
        <v>0.74313728009703905</v>
      </c>
      <c r="DF12" s="694">
        <v>0.256862719902961</v>
      </c>
      <c r="DG12" s="694">
        <v>0.25523924212749799</v>
      </c>
      <c r="DH12" s="694">
        <v>0.64960265459530298</v>
      </c>
      <c r="DI12" s="694">
        <v>0.35039734540469702</v>
      </c>
      <c r="DJ12" s="416"/>
      <c r="DK12" s="417">
        <f t="shared" si="6"/>
        <v>5372.96541831786</v>
      </c>
      <c r="DL12" s="417">
        <f t="shared" si="7"/>
        <v>8267.9012101948556</v>
      </c>
      <c r="DM12" s="417">
        <f t="shared" si="8"/>
        <v>7747.9649115879938</v>
      </c>
      <c r="DN12" s="417">
        <f t="shared" si="9"/>
        <v>10743.032051373597</v>
      </c>
      <c r="DO12" s="417">
        <f t="shared" si="10"/>
        <v>12493.274919884332</v>
      </c>
      <c r="DP12" s="417">
        <f t="shared" si="11"/>
        <v>7344.151293849467</v>
      </c>
      <c r="DQ12" s="417"/>
      <c r="DR12" s="417"/>
      <c r="DS12" s="409"/>
      <c r="DT12" s="419"/>
    </row>
    <row r="13" spans="1:165" ht="13" x14ac:dyDescent="0.3">
      <c r="A13" s="194">
        <v>22</v>
      </c>
      <c r="B13" s="409">
        <v>66</v>
      </c>
      <c r="C13" s="458" t="s">
        <v>368</v>
      </c>
      <c r="E13" s="643">
        <v>67680.2</v>
      </c>
      <c r="F13" s="643">
        <v>1536122344.1359999</v>
      </c>
      <c r="G13" s="643">
        <v>744049143.70799994</v>
      </c>
      <c r="H13" s="643">
        <v>237351633.80000001</v>
      </c>
      <c r="I13" s="643">
        <v>113592303.52</v>
      </c>
      <c r="J13" s="643">
        <v>33902.752999999997</v>
      </c>
      <c r="K13" s="643">
        <v>15549.307000000001</v>
      </c>
      <c r="L13" s="643">
        <v>19854.482</v>
      </c>
      <c r="M13" s="643">
        <v>98847877.314999998</v>
      </c>
      <c r="N13" s="643">
        <v>12635070.018999999</v>
      </c>
      <c r="O13" s="643">
        <v>1656407.7220000001</v>
      </c>
      <c r="P13" s="643">
        <v>99252620.437999994</v>
      </c>
      <c r="Q13" s="643" t="s">
        <v>1069</v>
      </c>
      <c r="R13" s="644">
        <v>0.28599999999999998</v>
      </c>
      <c r="S13" s="644">
        <v>0.27400000000000002</v>
      </c>
      <c r="T13" s="644">
        <v>0.16700000000000001</v>
      </c>
      <c r="U13" s="644">
        <v>832.92399999999998</v>
      </c>
      <c r="V13" s="644">
        <v>5.2999999999999999E-2</v>
      </c>
      <c r="W13" s="644">
        <v>7.0000000000000001E-3</v>
      </c>
      <c r="X13" s="644">
        <v>836.33399999999995</v>
      </c>
      <c r="Y13" s="644" t="s">
        <v>1069</v>
      </c>
      <c r="Z13" s="644">
        <v>4.3999999999999997E-2</v>
      </c>
      <c r="AA13" s="644">
        <v>4.2000000000000003E-2</v>
      </c>
      <c r="AB13" s="644">
        <v>2.5999999999999999E-2</v>
      </c>
      <c r="AC13" s="644">
        <v>128.69800000000001</v>
      </c>
      <c r="AD13" s="644" t="s">
        <v>1069</v>
      </c>
      <c r="AE13" s="644">
        <v>0.33800000000000002</v>
      </c>
      <c r="AF13" s="644">
        <v>0.32400000000000001</v>
      </c>
      <c r="AG13" s="644">
        <v>0.19800000000000001</v>
      </c>
      <c r="AH13" s="644">
        <v>986.52800000000002</v>
      </c>
      <c r="AI13" s="644">
        <v>6.3E-2</v>
      </c>
      <c r="AJ13" s="644">
        <v>8.0000000000000002E-3</v>
      </c>
      <c r="AK13" s="644" t="s">
        <v>1069</v>
      </c>
      <c r="AL13" s="644">
        <v>0.51300000000000001</v>
      </c>
      <c r="AM13" s="644">
        <v>10.492000000000001</v>
      </c>
      <c r="AN13" s="644">
        <v>0.182</v>
      </c>
      <c r="AO13" s="644">
        <v>0.24099999999999999</v>
      </c>
      <c r="AP13" s="644">
        <v>0.48499999999999999</v>
      </c>
      <c r="AQ13" s="644">
        <v>10.423999999999999</v>
      </c>
      <c r="AR13" s="644">
        <v>0.18099999999999999</v>
      </c>
      <c r="AS13" s="644">
        <v>0.23400000000000001</v>
      </c>
      <c r="AT13" s="644">
        <v>0.81</v>
      </c>
      <c r="AU13" s="644">
        <v>2.1019999999999999</v>
      </c>
      <c r="AV13" s="644">
        <v>4.2999999999999997E-2</v>
      </c>
      <c r="AW13" s="644">
        <v>0.17699999999999999</v>
      </c>
      <c r="AX13" s="644">
        <v>1585.258</v>
      </c>
      <c r="AY13" s="644">
        <v>1549.2550000000001</v>
      </c>
      <c r="AZ13" s="644">
        <v>858.93799999999999</v>
      </c>
      <c r="BA13" s="644">
        <v>986.226</v>
      </c>
      <c r="BB13" s="644" t="s">
        <v>1069</v>
      </c>
      <c r="BC13" s="644" t="s">
        <v>1069</v>
      </c>
      <c r="BD13" s="644">
        <v>5.5E-2</v>
      </c>
      <c r="BE13" s="644">
        <v>1.1040000000000001</v>
      </c>
      <c r="BF13" s="644">
        <v>2.5999999999999999E-2</v>
      </c>
      <c r="BG13" s="644">
        <v>3.2000000000000001E-2</v>
      </c>
      <c r="BH13" s="644">
        <v>5.1999999999999998E-2</v>
      </c>
      <c r="BI13" s="644">
        <v>1.2509999999999999</v>
      </c>
      <c r="BJ13" s="644">
        <v>2.5000000000000001E-2</v>
      </c>
      <c r="BK13" s="644">
        <v>3.1E-2</v>
      </c>
      <c r="BL13" s="644">
        <v>8.6999999999999994E-2</v>
      </c>
      <c r="BM13" s="644">
        <v>0.221</v>
      </c>
      <c r="BN13" s="644">
        <v>6.0000000000000001E-3</v>
      </c>
      <c r="BO13" s="644">
        <v>2.4E-2</v>
      </c>
      <c r="BP13" s="644">
        <v>170.38900000000001</v>
      </c>
      <c r="BQ13" s="644">
        <v>163.04400000000001</v>
      </c>
      <c r="BR13" s="644">
        <v>120.411</v>
      </c>
      <c r="BS13" s="644">
        <v>131.256</v>
      </c>
      <c r="BT13" s="644" t="s">
        <v>1069</v>
      </c>
      <c r="BU13" s="644" t="s">
        <v>1069</v>
      </c>
      <c r="BV13" s="644">
        <v>0.35399999999999998</v>
      </c>
      <c r="BW13" s="644">
        <v>0.33900000000000002</v>
      </c>
      <c r="BX13" s="644">
        <v>0.20399999999999999</v>
      </c>
      <c r="BY13" s="644">
        <v>1016.511</v>
      </c>
      <c r="BZ13" s="644">
        <v>5.3999999999999999E-2</v>
      </c>
      <c r="CA13" s="644">
        <v>7.0000000000000001E-3</v>
      </c>
      <c r="CB13" s="644">
        <v>1019.9690000000001</v>
      </c>
      <c r="CC13" s="644" t="s">
        <v>1069</v>
      </c>
      <c r="CD13" s="643">
        <v>18374988.384</v>
      </c>
      <c r="CE13" s="643">
        <v>1155056.4509999999</v>
      </c>
      <c r="CF13" s="643">
        <v>174502495.37799999</v>
      </c>
      <c r="CG13" s="643">
        <v>28058287</v>
      </c>
      <c r="CH13" s="643">
        <v>251607</v>
      </c>
      <c r="CI13" s="643">
        <v>3666177.2940000002</v>
      </c>
      <c r="CJ13" s="643">
        <v>0</v>
      </c>
      <c r="CK13" s="643">
        <v>8646287</v>
      </c>
      <c r="CL13" s="643">
        <v>0</v>
      </c>
      <c r="CM13" s="643">
        <v>1633386.3589999999</v>
      </c>
      <c r="CN13" s="643">
        <v>1063348.8529999999</v>
      </c>
      <c r="CO13" s="643">
        <v>224787562.42500001</v>
      </c>
      <c r="CP13" s="643">
        <v>12564071.294</v>
      </c>
      <c r="CQ13" s="643">
        <v>12312464.294</v>
      </c>
      <c r="CR13" s="643">
        <v>200395452.71900001</v>
      </c>
      <c r="CS13" s="643">
        <v>36956181</v>
      </c>
      <c r="CT13" s="694">
        <v>7.7416734387234495E-2</v>
      </c>
      <c r="CU13" s="694">
        <v>4.86643564614124E-3</v>
      </c>
      <c r="CV13" s="694">
        <v>0.73520663263937402</v>
      </c>
      <c r="CW13" s="694">
        <v>0.11821400409326099</v>
      </c>
      <c r="CX13" s="694">
        <v>1.0600601144286901E-3</v>
      </c>
      <c r="CY13" s="694">
        <v>1.5446185208652799E-2</v>
      </c>
      <c r="CZ13" s="694">
        <v>0</v>
      </c>
      <c r="DA13" s="694">
        <v>3.6428175633441501E-2</v>
      </c>
      <c r="DB13" s="694">
        <v>0</v>
      </c>
      <c r="DC13" s="694">
        <v>6.8817152568402496E-3</v>
      </c>
      <c r="DD13" s="694">
        <v>4.4800570206266002E-3</v>
      </c>
      <c r="DE13" s="694">
        <v>0.94706557904347699</v>
      </c>
      <c r="DF13" s="694">
        <v>5.2934420956523003E-2</v>
      </c>
      <c r="DG13" s="694">
        <v>5.1874360842094298E-2</v>
      </c>
      <c r="DH13" s="694">
        <v>0.84429776015886904</v>
      </c>
      <c r="DI13" s="694">
        <v>0.15570223984113099</v>
      </c>
      <c r="DJ13" s="416"/>
      <c r="DK13" s="417">
        <f t="shared" si="6"/>
        <v>6471.9265654197479</v>
      </c>
      <c r="DL13" s="417">
        <f t="shared" si="7"/>
        <v>7513.7593710001829</v>
      </c>
      <c r="DM13" s="417">
        <f t="shared" si="8"/>
        <v>7744.4916803803253</v>
      </c>
      <c r="DN13" s="417">
        <f t="shared" si="9"/>
        <v>9303.757871693595</v>
      </c>
      <c r="DO13" s="417">
        <f t="shared" si="10"/>
        <v>9502.0669267191679</v>
      </c>
      <c r="DP13" s="417">
        <f t="shared" si="11"/>
        <v>7133.3848236456797</v>
      </c>
      <c r="DQ13" s="417"/>
      <c r="DR13" s="417"/>
      <c r="DS13" s="409"/>
      <c r="DT13" s="419"/>
    </row>
    <row r="14" spans="1:165" ht="13" x14ac:dyDescent="0.3">
      <c r="A14" s="194">
        <v>23</v>
      </c>
      <c r="B14" s="409">
        <v>67</v>
      </c>
      <c r="C14" s="458" t="s">
        <v>369</v>
      </c>
      <c r="E14" s="643">
        <v>1045.2</v>
      </c>
      <c r="F14" s="643">
        <v>18937391.313999999</v>
      </c>
      <c r="G14" s="643">
        <v>7730992.1670000004</v>
      </c>
      <c r="H14" s="643">
        <v>2616354.0010000002</v>
      </c>
      <c r="I14" s="643">
        <v>1123051.8759999999</v>
      </c>
      <c r="J14" s="643">
        <v>9389.8050000000003</v>
      </c>
      <c r="K14" s="643">
        <v>3929.7350000000001</v>
      </c>
      <c r="L14" s="643">
        <v>3893.6930000000002</v>
      </c>
      <c r="M14" s="643">
        <v>1483984.3870000001</v>
      </c>
      <c r="N14" s="643">
        <v>353826.663</v>
      </c>
      <c r="O14" s="643">
        <v>53840.525999999998</v>
      </c>
      <c r="P14" s="643">
        <v>1496429.459</v>
      </c>
      <c r="Q14" s="643" t="s">
        <v>1069</v>
      </c>
      <c r="R14" s="644">
        <v>7.1779999999999999</v>
      </c>
      <c r="S14" s="644">
        <v>6.9980000000000002</v>
      </c>
      <c r="T14" s="644">
        <v>2.976</v>
      </c>
      <c r="U14" s="644">
        <v>1134.3910000000001</v>
      </c>
      <c r="V14" s="644">
        <v>0.13500000000000001</v>
      </c>
      <c r="W14" s="644">
        <v>2.1000000000000001E-2</v>
      </c>
      <c r="X14" s="644">
        <v>1143.904</v>
      </c>
      <c r="Y14" s="644" t="s">
        <v>1069</v>
      </c>
      <c r="Z14" s="644">
        <v>0.99199999999999999</v>
      </c>
      <c r="AA14" s="644">
        <v>1.0169999999999999</v>
      </c>
      <c r="AB14" s="644">
        <v>0.41099999999999998</v>
      </c>
      <c r="AC14" s="644">
        <v>156.72499999999999</v>
      </c>
      <c r="AD14" s="644" t="s">
        <v>1069</v>
      </c>
      <c r="AE14" s="644">
        <v>10.57</v>
      </c>
      <c r="AF14" s="644">
        <v>10.305999999999999</v>
      </c>
      <c r="AG14" s="644">
        <v>4.383</v>
      </c>
      <c r="AH14" s="644">
        <v>1670.472</v>
      </c>
      <c r="AI14" s="644">
        <v>0.19900000000000001</v>
      </c>
      <c r="AJ14" s="644">
        <v>0.03</v>
      </c>
      <c r="AK14" s="644" t="s">
        <v>1069</v>
      </c>
      <c r="AL14" s="644">
        <v>0</v>
      </c>
      <c r="AM14" s="644">
        <v>10.787000000000001</v>
      </c>
      <c r="AN14" s="644">
        <v>0</v>
      </c>
      <c r="AO14" s="644">
        <v>10.787000000000001</v>
      </c>
      <c r="AP14" s="644">
        <v>0</v>
      </c>
      <c r="AQ14" s="644">
        <v>10.618</v>
      </c>
      <c r="AR14" s="644">
        <v>0</v>
      </c>
      <c r="AS14" s="644">
        <v>10.618</v>
      </c>
      <c r="AT14" s="644">
        <v>0</v>
      </c>
      <c r="AU14" s="644">
        <v>4.4880000000000004</v>
      </c>
      <c r="AV14" s="644">
        <v>0</v>
      </c>
      <c r="AW14" s="644">
        <v>4.4880000000000004</v>
      </c>
      <c r="AX14" s="644">
        <v>0</v>
      </c>
      <c r="AY14" s="644">
        <v>1690.098</v>
      </c>
      <c r="AZ14" s="644">
        <v>0</v>
      </c>
      <c r="BA14" s="644">
        <v>1690.098</v>
      </c>
      <c r="BB14" s="644" t="s">
        <v>1069</v>
      </c>
      <c r="BC14" s="644" t="s">
        <v>1069</v>
      </c>
      <c r="BD14" s="644">
        <v>0</v>
      </c>
      <c r="BE14" s="644">
        <v>1.0249999999999999</v>
      </c>
      <c r="BF14" s="644">
        <v>0</v>
      </c>
      <c r="BG14" s="644">
        <v>1.0249999999999999</v>
      </c>
      <c r="BH14" s="644">
        <v>0</v>
      </c>
      <c r="BI14" s="644">
        <v>1.0109999999999999</v>
      </c>
      <c r="BJ14" s="644">
        <v>0</v>
      </c>
      <c r="BK14" s="644">
        <v>1.0109999999999999</v>
      </c>
      <c r="BL14" s="644">
        <v>0</v>
      </c>
      <c r="BM14" s="644">
        <v>0.42699999999999999</v>
      </c>
      <c r="BN14" s="644">
        <v>0</v>
      </c>
      <c r="BO14" s="644">
        <v>0.42699999999999999</v>
      </c>
      <c r="BP14" s="644">
        <v>0</v>
      </c>
      <c r="BQ14" s="644">
        <v>160.61699999999999</v>
      </c>
      <c r="BR14" s="644">
        <v>0</v>
      </c>
      <c r="BS14" s="644">
        <v>160.61699999999999</v>
      </c>
      <c r="BT14" s="644" t="s">
        <v>1069</v>
      </c>
      <c r="BU14" s="644" t="s">
        <v>1069</v>
      </c>
      <c r="BV14" s="644">
        <v>11.266</v>
      </c>
      <c r="BW14" s="644">
        <v>11.077</v>
      </c>
      <c r="BX14" s="644">
        <v>4.1989999999999998</v>
      </c>
      <c r="BY14" s="644">
        <v>1649.3530000000001</v>
      </c>
      <c r="BZ14" s="644">
        <v>0.17599999999999999</v>
      </c>
      <c r="CA14" s="644">
        <v>2.7E-2</v>
      </c>
      <c r="CB14" s="644">
        <v>1661.915</v>
      </c>
      <c r="CC14" s="644" t="s">
        <v>1069</v>
      </c>
      <c r="CD14" s="643">
        <v>0</v>
      </c>
      <c r="CE14" s="643">
        <v>1683592.267</v>
      </c>
      <c r="CF14" s="643">
        <v>0</v>
      </c>
      <c r="CG14" s="643">
        <v>0</v>
      </c>
      <c r="CH14" s="643">
        <v>114971</v>
      </c>
      <c r="CI14" s="643">
        <v>95913.733999999997</v>
      </c>
      <c r="CJ14" s="643">
        <v>386781</v>
      </c>
      <c r="CK14" s="643">
        <v>154486</v>
      </c>
      <c r="CL14" s="643">
        <v>183391</v>
      </c>
      <c r="CM14" s="643">
        <v>0</v>
      </c>
      <c r="CN14" s="643">
        <v>-2781</v>
      </c>
      <c r="CO14" s="643">
        <v>1680811.267</v>
      </c>
      <c r="CP14" s="643">
        <v>935542.73400000005</v>
      </c>
      <c r="CQ14" s="643">
        <v>820571.73400000005</v>
      </c>
      <c r="CR14" s="643">
        <v>1776725.0009999999</v>
      </c>
      <c r="CS14" s="643">
        <v>839629</v>
      </c>
      <c r="CT14" s="694">
        <v>0</v>
      </c>
      <c r="CU14" s="694">
        <v>0.64348794786810604</v>
      </c>
      <c r="CV14" s="694">
        <v>0</v>
      </c>
      <c r="CW14" s="694">
        <v>0</v>
      </c>
      <c r="CX14" s="694">
        <v>4.3943212560707302E-2</v>
      </c>
      <c r="CY14" s="694">
        <v>3.6659310614443101E-2</v>
      </c>
      <c r="CZ14" s="694">
        <v>0.14783205936664801</v>
      </c>
      <c r="DA14" s="694">
        <v>5.9046291113875903E-2</v>
      </c>
      <c r="DB14" s="694">
        <v>7.0094108033509905E-2</v>
      </c>
      <c r="DC14" s="694">
        <v>0</v>
      </c>
      <c r="DD14" s="694">
        <v>0</v>
      </c>
      <c r="DE14" s="694">
        <v>0.642425018310815</v>
      </c>
      <c r="DF14" s="694">
        <v>0.357574981689185</v>
      </c>
      <c r="DG14" s="694">
        <v>0.31363176912847701</v>
      </c>
      <c r="DH14" s="694">
        <v>0.67908432892525805</v>
      </c>
      <c r="DI14" s="694">
        <v>0.320915671074742</v>
      </c>
      <c r="DJ14" s="416"/>
      <c r="DK14" s="417">
        <f t="shared" si="6"/>
        <v>7238.0844896225481</v>
      </c>
      <c r="DL14" s="417">
        <f t="shared" si="7"/>
        <v>10522.534974504568</v>
      </c>
      <c r="DM14" s="417">
        <f t="shared" si="8"/>
        <v>10268.856970308248</v>
      </c>
      <c r="DN14" s="417" t="str">
        <f t="shared" si="9"/>
        <v>-</v>
      </c>
      <c r="DO14" s="417">
        <f t="shared" si="10"/>
        <v>10522.534974504568</v>
      </c>
      <c r="DP14" s="417" t="str">
        <f t="shared" si="11"/>
        <v>-</v>
      </c>
      <c r="DQ14" s="417"/>
      <c r="DR14" s="417"/>
      <c r="DS14" s="409"/>
      <c r="DT14" s="419"/>
    </row>
    <row r="15" spans="1:165" ht="13" x14ac:dyDescent="0.3">
      <c r="A15" s="194">
        <v>24</v>
      </c>
      <c r="B15" s="409">
        <v>68</v>
      </c>
      <c r="C15" s="458" t="s">
        <v>370</v>
      </c>
      <c r="E15" s="643">
        <v>2220</v>
      </c>
      <c r="F15" s="643">
        <v>64330749.494000003</v>
      </c>
      <c r="G15" s="643">
        <v>27486168.328000002</v>
      </c>
      <c r="H15" s="643">
        <v>6564236.0010000002</v>
      </c>
      <c r="I15" s="643">
        <v>2850279.003</v>
      </c>
      <c r="J15" s="643">
        <v>12867.179</v>
      </c>
      <c r="K15" s="643">
        <v>5541.1660000000002</v>
      </c>
      <c r="L15" s="643">
        <v>21439.55</v>
      </c>
      <c r="M15" s="643">
        <v>5360015.6670000004</v>
      </c>
      <c r="N15" s="643">
        <v>1156250.4680000001</v>
      </c>
      <c r="O15" s="643">
        <v>176265.66699999999</v>
      </c>
      <c r="P15" s="643">
        <v>5400732.3820000002</v>
      </c>
      <c r="Q15" s="643" t="s">
        <v>1069</v>
      </c>
      <c r="R15" s="644">
        <v>3.92</v>
      </c>
      <c r="S15" s="644">
        <v>3.8879999999999999</v>
      </c>
      <c r="T15" s="644">
        <v>6.532</v>
      </c>
      <c r="U15" s="644">
        <v>1633.097</v>
      </c>
      <c r="V15" s="644">
        <v>0.17599999999999999</v>
      </c>
      <c r="W15" s="644">
        <v>2.7E-2</v>
      </c>
      <c r="X15" s="644">
        <v>1645.502</v>
      </c>
      <c r="Y15" s="644" t="s">
        <v>1069</v>
      </c>
      <c r="Z15" s="644">
        <v>0.4</v>
      </c>
      <c r="AA15" s="644">
        <v>0.40300000000000002</v>
      </c>
      <c r="AB15" s="644">
        <v>0.66700000000000004</v>
      </c>
      <c r="AC15" s="644">
        <v>166.63900000000001</v>
      </c>
      <c r="AD15" s="644" t="s">
        <v>1069</v>
      </c>
      <c r="AE15" s="644">
        <v>4.3310000000000004</v>
      </c>
      <c r="AF15" s="644">
        <v>4.2960000000000003</v>
      </c>
      <c r="AG15" s="644">
        <v>7.2169999999999996</v>
      </c>
      <c r="AH15" s="644">
        <v>1804.2270000000001</v>
      </c>
      <c r="AI15" s="644">
        <v>0.19500000000000001</v>
      </c>
      <c r="AJ15" s="644">
        <v>0.03</v>
      </c>
      <c r="AK15" s="644" t="s">
        <v>1069</v>
      </c>
      <c r="AL15" s="644">
        <v>2.8250000000000002</v>
      </c>
      <c r="AM15" s="644">
        <v>4.5339999999999998</v>
      </c>
      <c r="AN15" s="644">
        <v>0</v>
      </c>
      <c r="AO15" s="644">
        <v>4.1929999999999996</v>
      </c>
      <c r="AP15" s="644">
        <v>2.7789999999999999</v>
      </c>
      <c r="AQ15" s="644">
        <v>4.5789999999999997</v>
      </c>
      <c r="AR15" s="644">
        <v>0</v>
      </c>
      <c r="AS15" s="644">
        <v>4.2169999999999996</v>
      </c>
      <c r="AT15" s="644">
        <v>5.2279999999999998</v>
      </c>
      <c r="AU15" s="644">
        <v>8.3179999999999996</v>
      </c>
      <c r="AV15" s="644">
        <v>0</v>
      </c>
      <c r="AW15" s="644">
        <v>7.702</v>
      </c>
      <c r="AX15" s="644">
        <v>2393.7199999999998</v>
      </c>
      <c r="AY15" s="644">
        <v>1638.066</v>
      </c>
      <c r="AZ15" s="644">
        <v>0</v>
      </c>
      <c r="BA15" s="644">
        <v>1788.702</v>
      </c>
      <c r="BB15" s="644" t="s">
        <v>1069</v>
      </c>
      <c r="BC15" s="644" t="s">
        <v>1069</v>
      </c>
      <c r="BD15" s="644">
        <v>0.252</v>
      </c>
      <c r="BE15" s="644">
        <v>0.45200000000000001</v>
      </c>
      <c r="BF15" s="644">
        <v>0</v>
      </c>
      <c r="BG15" s="644">
        <v>0.40899999999999997</v>
      </c>
      <c r="BH15" s="644">
        <v>0.249</v>
      </c>
      <c r="BI15" s="644">
        <v>0.46</v>
      </c>
      <c r="BJ15" s="644">
        <v>0</v>
      </c>
      <c r="BK15" s="644">
        <v>0.41299999999999998</v>
      </c>
      <c r="BL15" s="644">
        <v>0.46700000000000003</v>
      </c>
      <c r="BM15" s="644">
        <v>0.82899999999999996</v>
      </c>
      <c r="BN15" s="644">
        <v>0</v>
      </c>
      <c r="BO15" s="644">
        <v>0.751</v>
      </c>
      <c r="BP15" s="644">
        <v>213.892</v>
      </c>
      <c r="BQ15" s="644">
        <v>163.316</v>
      </c>
      <c r="BR15" s="644">
        <v>0</v>
      </c>
      <c r="BS15" s="644">
        <v>174.31100000000001</v>
      </c>
      <c r="BT15" s="644" t="s">
        <v>1069</v>
      </c>
      <c r="BU15" s="644" t="s">
        <v>1069</v>
      </c>
      <c r="BV15" s="644">
        <v>4.4720000000000004</v>
      </c>
      <c r="BW15" s="644">
        <v>4.4509999999999996</v>
      </c>
      <c r="BX15" s="644">
        <v>7.7960000000000003</v>
      </c>
      <c r="BY15" s="644">
        <v>1784.0060000000001</v>
      </c>
      <c r="BZ15" s="644">
        <v>0.17199999999999999</v>
      </c>
      <c r="CA15" s="644">
        <v>2.7E-2</v>
      </c>
      <c r="CB15" s="644">
        <v>1796.3109999999999</v>
      </c>
      <c r="CC15" s="644" t="s">
        <v>1069</v>
      </c>
      <c r="CD15" s="643">
        <v>1084555.1000000001</v>
      </c>
      <c r="CE15" s="643">
        <v>4471615.1529999999</v>
      </c>
      <c r="CF15" s="643">
        <v>0</v>
      </c>
      <c r="CG15" s="643">
        <v>0</v>
      </c>
      <c r="CH15" s="643">
        <v>0</v>
      </c>
      <c r="CI15" s="643">
        <v>186723.71</v>
      </c>
      <c r="CJ15" s="643">
        <v>271110</v>
      </c>
      <c r="CK15" s="643">
        <v>351508</v>
      </c>
      <c r="CL15" s="643">
        <v>0</v>
      </c>
      <c r="CM15" s="643">
        <v>198724.533</v>
      </c>
      <c r="CN15" s="643">
        <v>0</v>
      </c>
      <c r="CO15" s="643">
        <v>5754894.7860000003</v>
      </c>
      <c r="CP15" s="643">
        <v>809341.71</v>
      </c>
      <c r="CQ15" s="643">
        <v>809341.71</v>
      </c>
      <c r="CR15" s="643">
        <v>5941618.4960000003</v>
      </c>
      <c r="CS15" s="643">
        <v>622618</v>
      </c>
      <c r="CT15" s="694">
        <v>0.16522181988124399</v>
      </c>
      <c r="CU15" s="694">
        <v>0.68120872179496195</v>
      </c>
      <c r="CV15" s="694">
        <v>0</v>
      </c>
      <c r="CW15" s="694">
        <v>0</v>
      </c>
      <c r="CX15" s="694">
        <v>0</v>
      </c>
      <c r="CY15" s="694">
        <v>2.8445609799979399E-2</v>
      </c>
      <c r="CZ15" s="694">
        <v>4.1301071368346397E-2</v>
      </c>
      <c r="DA15" s="694">
        <v>5.3548954278870901E-2</v>
      </c>
      <c r="DB15" s="694">
        <v>0</v>
      </c>
      <c r="DC15" s="694">
        <v>3.0273822876597301E-2</v>
      </c>
      <c r="DD15" s="694">
        <v>0</v>
      </c>
      <c r="DE15" s="694">
        <v>0.87670436455280298</v>
      </c>
      <c r="DF15" s="694">
        <v>0.123295635447197</v>
      </c>
      <c r="DG15" s="694">
        <v>0.123295635447197</v>
      </c>
      <c r="DH15" s="694">
        <v>0.90514997435278299</v>
      </c>
      <c r="DI15" s="694">
        <v>9.4850025647217298E-2</v>
      </c>
      <c r="DJ15" s="416"/>
      <c r="DK15" s="417">
        <f t="shared" si="6"/>
        <v>9800.1883972788019</v>
      </c>
      <c r="DL15" s="417">
        <f t="shared" si="7"/>
        <v>10261.555495637107</v>
      </c>
      <c r="DM15" s="417">
        <f t="shared" si="8"/>
        <v>10234.615141901544</v>
      </c>
      <c r="DN15" s="417">
        <f t="shared" si="9"/>
        <v>11191.255399921454</v>
      </c>
      <c r="DO15" s="417">
        <f t="shared" si="10"/>
        <v>10030.039922604032</v>
      </c>
      <c r="DP15" s="417" t="str">
        <f t="shared" si="11"/>
        <v>-</v>
      </c>
      <c r="DQ15" s="417"/>
      <c r="DR15" s="417"/>
      <c r="DS15" s="409"/>
      <c r="DT15" s="419"/>
    </row>
    <row r="16" spans="1:165" ht="13" x14ac:dyDescent="0.3">
      <c r="A16" s="194">
        <v>25</v>
      </c>
      <c r="B16" s="409">
        <v>69</v>
      </c>
      <c r="C16" s="458" t="s">
        <v>371</v>
      </c>
      <c r="E16" s="643">
        <v>8177.7</v>
      </c>
      <c r="F16" s="643">
        <v>219619275.486</v>
      </c>
      <c r="G16" s="643">
        <v>112466698.22400001</v>
      </c>
      <c r="H16" s="643">
        <v>24114780.660999998</v>
      </c>
      <c r="I16" s="643">
        <v>11484133.545</v>
      </c>
      <c r="J16" s="643">
        <v>11089.459000000001</v>
      </c>
      <c r="K16" s="643">
        <v>5723.4589999999998</v>
      </c>
      <c r="L16" s="643">
        <v>4736.46</v>
      </c>
      <c r="M16" s="643">
        <v>19076415.713</v>
      </c>
      <c r="N16" s="643">
        <v>3573181.1039999998</v>
      </c>
      <c r="O16" s="643">
        <v>520813.49900000001</v>
      </c>
      <c r="P16" s="643">
        <v>19198681.686000001</v>
      </c>
      <c r="Q16" s="643" t="s">
        <v>1069</v>
      </c>
      <c r="R16" s="644">
        <v>0.92</v>
      </c>
      <c r="S16" s="644">
        <v>0.997</v>
      </c>
      <c r="T16" s="644">
        <v>0.39300000000000002</v>
      </c>
      <c r="U16" s="644">
        <v>1582.135</v>
      </c>
      <c r="V16" s="644">
        <v>0.14799999999999999</v>
      </c>
      <c r="W16" s="644">
        <v>2.1999999999999999E-2</v>
      </c>
      <c r="X16" s="644">
        <v>1592.2750000000001</v>
      </c>
      <c r="Y16" s="644" t="s">
        <v>1069</v>
      </c>
      <c r="Z16" s="644">
        <v>0.10100000000000001</v>
      </c>
      <c r="AA16" s="644">
        <v>0.10199999999999999</v>
      </c>
      <c r="AB16" s="644">
        <v>4.2999999999999997E-2</v>
      </c>
      <c r="AC16" s="644">
        <v>173.72300000000001</v>
      </c>
      <c r="AD16" s="644" t="s">
        <v>1069</v>
      </c>
      <c r="AE16" s="644">
        <v>1.0129999999999999</v>
      </c>
      <c r="AF16" s="644">
        <v>1.0980000000000001</v>
      </c>
      <c r="AG16" s="644">
        <v>0.433</v>
      </c>
      <c r="AH16" s="644">
        <v>1743.317</v>
      </c>
      <c r="AI16" s="644">
        <v>0.16300000000000001</v>
      </c>
      <c r="AJ16" s="644">
        <v>2.4E-2</v>
      </c>
      <c r="AK16" s="644" t="s">
        <v>1069</v>
      </c>
      <c r="AL16" s="644">
        <v>0.76100000000000001</v>
      </c>
      <c r="AM16" s="644">
        <v>1.0189999999999999</v>
      </c>
      <c r="AN16" s="644">
        <v>1.341</v>
      </c>
      <c r="AO16" s="644">
        <v>0.97599999999999998</v>
      </c>
      <c r="AP16" s="644">
        <v>0.79</v>
      </c>
      <c r="AQ16" s="644">
        <v>0.99199999999999999</v>
      </c>
      <c r="AR16" s="644">
        <v>1.5009999999999999</v>
      </c>
      <c r="AS16" s="644">
        <v>1.046</v>
      </c>
      <c r="AT16" s="644">
        <v>0.50600000000000001</v>
      </c>
      <c r="AU16" s="644">
        <v>2.31</v>
      </c>
      <c r="AV16" s="644">
        <v>7.0999999999999994E-2</v>
      </c>
      <c r="AW16" s="644">
        <v>0.36699999999999999</v>
      </c>
      <c r="AX16" s="644">
        <v>2198.654</v>
      </c>
      <c r="AY16" s="644">
        <v>1564.183</v>
      </c>
      <c r="AZ16" s="644">
        <v>1167.079</v>
      </c>
      <c r="BA16" s="644">
        <v>1814.125</v>
      </c>
      <c r="BB16" s="644" t="s">
        <v>1069</v>
      </c>
      <c r="BC16" s="644" t="s">
        <v>1069</v>
      </c>
      <c r="BD16" s="644">
        <v>7.1999999999999995E-2</v>
      </c>
      <c r="BE16" s="644">
        <v>0.10199999999999999</v>
      </c>
      <c r="BF16" s="644">
        <v>0.13700000000000001</v>
      </c>
      <c r="BG16" s="644">
        <v>9.5000000000000001E-2</v>
      </c>
      <c r="BH16" s="644">
        <v>7.3999999999999996E-2</v>
      </c>
      <c r="BI16" s="644">
        <v>9.8000000000000004E-2</v>
      </c>
      <c r="BJ16" s="644">
        <v>0.13600000000000001</v>
      </c>
      <c r="BK16" s="644">
        <v>9.7000000000000003E-2</v>
      </c>
      <c r="BL16" s="644">
        <v>4.8000000000000001E-2</v>
      </c>
      <c r="BM16" s="644">
        <v>0.23</v>
      </c>
      <c r="BN16" s="644">
        <v>7.0000000000000001E-3</v>
      </c>
      <c r="BO16" s="644">
        <v>3.5999999999999997E-2</v>
      </c>
      <c r="BP16" s="644">
        <v>209.48099999999999</v>
      </c>
      <c r="BQ16" s="644">
        <v>155.94</v>
      </c>
      <c r="BR16" s="644">
        <v>119.621</v>
      </c>
      <c r="BS16" s="644">
        <v>177.50700000000001</v>
      </c>
      <c r="BT16" s="644" t="s">
        <v>1069</v>
      </c>
      <c r="BU16" s="644" t="s">
        <v>1069</v>
      </c>
      <c r="BV16" s="644">
        <v>1.161</v>
      </c>
      <c r="BW16" s="644">
        <v>1.2370000000000001</v>
      </c>
      <c r="BX16" s="644">
        <v>0.37</v>
      </c>
      <c r="BY16" s="644">
        <v>1555.943</v>
      </c>
      <c r="BZ16" s="644">
        <v>0.13300000000000001</v>
      </c>
      <c r="CA16" s="644">
        <v>1.9E-2</v>
      </c>
      <c r="CB16" s="644">
        <v>1565.03</v>
      </c>
      <c r="CC16" s="644" t="s">
        <v>1069</v>
      </c>
      <c r="CD16" s="643">
        <v>13113744.762</v>
      </c>
      <c r="CE16" s="643">
        <v>277669.96899999998</v>
      </c>
      <c r="CF16" s="643">
        <v>7752645.6670000004</v>
      </c>
      <c r="CG16" s="643">
        <v>0</v>
      </c>
      <c r="CH16" s="643">
        <v>1179385.83</v>
      </c>
      <c r="CI16" s="643">
        <v>725508.41399999999</v>
      </c>
      <c r="CJ16" s="643">
        <v>748679</v>
      </c>
      <c r="CK16" s="643">
        <v>301525</v>
      </c>
      <c r="CL16" s="643">
        <v>0</v>
      </c>
      <c r="CM16" s="643">
        <v>15622.902</v>
      </c>
      <c r="CN16" s="643">
        <v>0</v>
      </c>
      <c r="CO16" s="643">
        <v>21159683.300000001</v>
      </c>
      <c r="CP16" s="643">
        <v>2955098.2439999999</v>
      </c>
      <c r="CQ16" s="643">
        <v>1775712.4140000001</v>
      </c>
      <c r="CR16" s="643">
        <v>21885191.714000002</v>
      </c>
      <c r="CS16" s="643">
        <v>2229589.83</v>
      </c>
      <c r="CT16" s="694">
        <v>0.54380524816584297</v>
      </c>
      <c r="CU16" s="694">
        <v>1.1514513141799E-2</v>
      </c>
      <c r="CV16" s="694">
        <v>0.32148935924857802</v>
      </c>
      <c r="CW16" s="694">
        <v>0</v>
      </c>
      <c r="CX16" s="694">
        <v>4.8907174541394198E-2</v>
      </c>
      <c r="CY16" s="694">
        <v>3.0085630785260602E-2</v>
      </c>
      <c r="CZ16" s="694">
        <v>3.1046476561852901E-2</v>
      </c>
      <c r="DA16" s="694">
        <v>1.25037417174954E-2</v>
      </c>
      <c r="DB16" s="694">
        <v>0</v>
      </c>
      <c r="DC16" s="694">
        <v>6.4785583777710498E-4</v>
      </c>
      <c r="DD16" s="694">
        <v>0</v>
      </c>
      <c r="DE16" s="694">
        <v>0.877456976393997</v>
      </c>
      <c r="DF16" s="694">
        <v>0.122543023606003</v>
      </c>
      <c r="DG16" s="694">
        <v>7.3635849064608905E-2</v>
      </c>
      <c r="DH16" s="694">
        <v>0.90754260717925705</v>
      </c>
      <c r="DI16" s="694">
        <v>9.2457392820742501E-2</v>
      </c>
      <c r="DJ16" s="416"/>
      <c r="DK16" s="417">
        <f t="shared" si="6"/>
        <v>9107.2474833321903</v>
      </c>
      <c r="DL16" s="417">
        <f t="shared" si="7"/>
        <v>10220.01949218904</v>
      </c>
      <c r="DM16" s="417">
        <f t="shared" si="8"/>
        <v>8765.5303734500594</v>
      </c>
      <c r="DN16" s="417">
        <f t="shared" si="9"/>
        <v>10495.720375594923</v>
      </c>
      <c r="DO16" s="417">
        <f t="shared" si="10"/>
        <v>10030.672053353854</v>
      </c>
      <c r="DP16" s="417">
        <f t="shared" si="11"/>
        <v>9756.4725257270875</v>
      </c>
      <c r="DQ16" s="417"/>
      <c r="DR16" s="417"/>
      <c r="DS16" s="409"/>
      <c r="DT16" s="419"/>
    </row>
    <row r="17" spans="1:124" ht="13" x14ac:dyDescent="0.3">
      <c r="A17" s="194">
        <v>26</v>
      </c>
      <c r="B17" s="409">
        <v>70</v>
      </c>
      <c r="C17" s="458" t="s">
        <v>372</v>
      </c>
      <c r="E17" s="643">
        <v>75973</v>
      </c>
      <c r="F17" s="643">
        <v>1250354416.892</v>
      </c>
      <c r="G17" s="643">
        <v>598639763.43900001</v>
      </c>
      <c r="H17" s="643">
        <v>242821306.178</v>
      </c>
      <c r="I17" s="643">
        <v>104662080.90800001</v>
      </c>
      <c r="J17" s="643">
        <v>91542.06</v>
      </c>
      <c r="K17" s="643">
        <v>42994.03</v>
      </c>
      <c r="L17" s="643">
        <v>119064.65399999999</v>
      </c>
      <c r="M17" s="643">
        <v>120899511.38699999</v>
      </c>
      <c r="N17" s="643">
        <v>25992944.009</v>
      </c>
      <c r="O17" s="643">
        <v>3757128.0959999999</v>
      </c>
      <c r="P17" s="643">
        <v>121781406.38600001</v>
      </c>
      <c r="Q17" s="643" t="s">
        <v>1069</v>
      </c>
      <c r="R17" s="644">
        <v>0.754</v>
      </c>
      <c r="S17" s="644">
        <v>0.82199999999999995</v>
      </c>
      <c r="T17" s="644">
        <v>0.98099999999999998</v>
      </c>
      <c r="U17" s="644">
        <v>995.79</v>
      </c>
      <c r="V17" s="644">
        <v>0.107</v>
      </c>
      <c r="W17" s="644">
        <v>1.4999999999999999E-2</v>
      </c>
      <c r="X17" s="644">
        <v>1003.054</v>
      </c>
      <c r="Y17" s="644" t="s">
        <v>1069</v>
      </c>
      <c r="Z17" s="644">
        <v>0.14599999999999999</v>
      </c>
      <c r="AA17" s="644">
        <v>0.14399999999999999</v>
      </c>
      <c r="AB17" s="644">
        <v>0.19</v>
      </c>
      <c r="AC17" s="644">
        <v>193.38399999999999</v>
      </c>
      <c r="AD17" s="644" t="s">
        <v>1069</v>
      </c>
      <c r="AE17" s="644">
        <v>1.464</v>
      </c>
      <c r="AF17" s="644">
        <v>1.5960000000000001</v>
      </c>
      <c r="AG17" s="644">
        <v>1.905</v>
      </c>
      <c r="AH17" s="644">
        <v>1934.1590000000001</v>
      </c>
      <c r="AI17" s="644">
        <v>0.20799999999999999</v>
      </c>
      <c r="AJ17" s="644">
        <v>0.03</v>
      </c>
      <c r="AK17" s="644" t="s">
        <v>1069</v>
      </c>
      <c r="AL17" s="644">
        <v>1.659</v>
      </c>
      <c r="AM17" s="644">
        <v>7.3920000000000003</v>
      </c>
      <c r="AN17" s="644">
        <v>0.52100000000000002</v>
      </c>
      <c r="AO17" s="644">
        <v>1.4379999999999999</v>
      </c>
      <c r="AP17" s="644">
        <v>1.645</v>
      </c>
      <c r="AQ17" s="644">
        <v>4.9669999999999996</v>
      </c>
      <c r="AR17" s="644">
        <v>0.49199999999999999</v>
      </c>
      <c r="AS17" s="644">
        <v>1.407</v>
      </c>
      <c r="AT17" s="644">
        <v>2.4140000000000001</v>
      </c>
      <c r="AU17" s="644">
        <v>1.087</v>
      </c>
      <c r="AV17" s="644">
        <v>0.02</v>
      </c>
      <c r="AW17" s="644">
        <v>1.919</v>
      </c>
      <c r="AX17" s="644">
        <v>2226.4899999999998</v>
      </c>
      <c r="AY17" s="644">
        <v>1093.232</v>
      </c>
      <c r="AZ17" s="644">
        <v>962.89700000000005</v>
      </c>
      <c r="BA17" s="644">
        <v>1964.2760000000001</v>
      </c>
      <c r="BB17" s="644" t="s">
        <v>1069</v>
      </c>
      <c r="BC17" s="644" t="s">
        <v>1069</v>
      </c>
      <c r="BD17" s="644">
        <v>0.157</v>
      </c>
      <c r="BE17" s="644">
        <v>0.96499999999999997</v>
      </c>
      <c r="BF17" s="644">
        <v>6.4000000000000001E-2</v>
      </c>
      <c r="BG17" s="644">
        <v>0.14299999999999999</v>
      </c>
      <c r="BH17" s="644">
        <v>0.157</v>
      </c>
      <c r="BI17" s="644">
        <v>0.88800000000000001</v>
      </c>
      <c r="BJ17" s="644">
        <v>0.06</v>
      </c>
      <c r="BK17" s="644">
        <v>0.14099999999999999</v>
      </c>
      <c r="BL17" s="644">
        <v>0.22900000000000001</v>
      </c>
      <c r="BM17" s="644">
        <v>0.14199999999999999</v>
      </c>
      <c r="BN17" s="644">
        <v>2E-3</v>
      </c>
      <c r="BO17" s="644">
        <v>0.191</v>
      </c>
      <c r="BP17" s="644">
        <v>211.40799999999999</v>
      </c>
      <c r="BQ17" s="644">
        <v>142.744</v>
      </c>
      <c r="BR17" s="644">
        <v>118.431</v>
      </c>
      <c r="BS17" s="644">
        <v>195.80600000000001</v>
      </c>
      <c r="BT17" s="644" t="s">
        <v>1069</v>
      </c>
      <c r="BU17" s="644" t="s">
        <v>1069</v>
      </c>
      <c r="BV17" s="644">
        <v>1.43</v>
      </c>
      <c r="BW17" s="644">
        <v>1.381</v>
      </c>
      <c r="BX17" s="644">
        <v>1.7150000000000001</v>
      </c>
      <c r="BY17" s="644">
        <v>1808.2819999999999</v>
      </c>
      <c r="BZ17" s="644">
        <v>0.183</v>
      </c>
      <c r="CA17" s="644">
        <v>2.5999999999999999E-2</v>
      </c>
      <c r="CB17" s="644">
        <v>1820.6189999999999</v>
      </c>
      <c r="CC17" s="644" t="s">
        <v>1069</v>
      </c>
      <c r="CD17" s="643">
        <v>96229385.883000001</v>
      </c>
      <c r="CE17" s="643">
        <v>419423.73499999999</v>
      </c>
      <c r="CF17" s="643">
        <v>25828070.282000002</v>
      </c>
      <c r="CG17" s="643">
        <v>21003393</v>
      </c>
      <c r="CH17" s="643">
        <v>10624696.59</v>
      </c>
      <c r="CI17" s="643">
        <v>1826504.727</v>
      </c>
      <c r="CJ17" s="643">
        <v>83948227</v>
      </c>
      <c r="CK17" s="643">
        <v>2229935.21</v>
      </c>
      <c r="CL17" s="643">
        <v>0</v>
      </c>
      <c r="CM17" s="643">
        <v>327106.86700000003</v>
      </c>
      <c r="CN17" s="643">
        <v>384563.609</v>
      </c>
      <c r="CO17" s="643">
        <v>144191943.37599999</v>
      </c>
      <c r="CP17" s="643">
        <v>98629363.526999995</v>
      </c>
      <c r="CQ17" s="643">
        <v>88004666.937000006</v>
      </c>
      <c r="CR17" s="643">
        <v>125015055.103</v>
      </c>
      <c r="CS17" s="643">
        <v>117806251.8</v>
      </c>
      <c r="CT17" s="694">
        <v>0.39629712528250599</v>
      </c>
      <c r="CU17" s="694">
        <v>1.7272937879687299E-3</v>
      </c>
      <c r="CV17" s="694">
        <v>0.10636657306320101</v>
      </c>
      <c r="CW17" s="694">
        <v>8.6497322940405102E-2</v>
      </c>
      <c r="CX17" s="694">
        <v>4.3755207174814598E-2</v>
      </c>
      <c r="CY17" s="694">
        <v>7.5220117636943399E-3</v>
      </c>
      <c r="CZ17" s="694">
        <v>0.34572018440513103</v>
      </c>
      <c r="DA17" s="694">
        <v>9.1834412656826396E-3</v>
      </c>
      <c r="DB17" s="694">
        <v>0</v>
      </c>
      <c r="DC17" s="694">
        <v>1.34710940803341E-3</v>
      </c>
      <c r="DD17" s="694">
        <v>1.5837309085632301E-3</v>
      </c>
      <c r="DE17" s="694">
        <v>0.59381915539067798</v>
      </c>
      <c r="DF17" s="694">
        <v>0.40618084460932202</v>
      </c>
      <c r="DG17" s="694">
        <v>0.36242563743450801</v>
      </c>
      <c r="DH17" s="694">
        <v>0.51484384421396701</v>
      </c>
      <c r="DI17" s="694">
        <v>0.48515615578603299</v>
      </c>
      <c r="DJ17" s="416"/>
      <c r="DK17" s="417">
        <f t="shared" si="6"/>
        <v>5149.2780290681267</v>
      </c>
      <c r="DL17" s="417">
        <f t="shared" si="7"/>
        <v>10031.745707485979</v>
      </c>
      <c r="DM17" s="417">
        <f t="shared" si="8"/>
        <v>9235.0694054319065</v>
      </c>
      <c r="DN17" s="417">
        <f t="shared" si="9"/>
        <v>10531.720653901461</v>
      </c>
      <c r="DO17" s="417">
        <f t="shared" si="10"/>
        <v>7658.6896822283243</v>
      </c>
      <c r="DP17" s="417">
        <f t="shared" si="11"/>
        <v>8130.4472646519916</v>
      </c>
      <c r="DQ17" s="417"/>
      <c r="DR17" s="417"/>
      <c r="DS17" s="409"/>
      <c r="DT17" s="419"/>
    </row>
    <row r="18" spans="1:124" ht="13" x14ac:dyDescent="0.3">
      <c r="A18" s="194">
        <v>27</v>
      </c>
      <c r="B18" s="409">
        <v>72</v>
      </c>
      <c r="C18" s="458" t="s">
        <v>373</v>
      </c>
      <c r="E18" s="643">
        <v>39851.699999999997</v>
      </c>
      <c r="F18" s="643">
        <v>508980792.76499999</v>
      </c>
      <c r="G18" s="643">
        <v>235605421.954</v>
      </c>
      <c r="H18" s="643">
        <v>103068943.759</v>
      </c>
      <c r="I18" s="643">
        <v>46193026.563000001</v>
      </c>
      <c r="J18" s="643">
        <v>16864.692999999999</v>
      </c>
      <c r="K18" s="643">
        <v>7300.2610000000004</v>
      </c>
      <c r="L18" s="643">
        <v>4824.7969999999996</v>
      </c>
      <c r="M18" s="643">
        <v>27796015.524999999</v>
      </c>
      <c r="N18" s="643">
        <v>7470000.3480000002</v>
      </c>
      <c r="O18" s="643">
        <v>971798.62699999998</v>
      </c>
      <c r="P18" s="643">
        <v>28034171.965</v>
      </c>
      <c r="Q18" s="643" t="s">
        <v>1069</v>
      </c>
      <c r="R18" s="644">
        <v>0.32700000000000001</v>
      </c>
      <c r="S18" s="644">
        <v>0.316</v>
      </c>
      <c r="T18" s="644">
        <v>9.4E-2</v>
      </c>
      <c r="U18" s="644">
        <v>539.36699999999996</v>
      </c>
      <c r="V18" s="644">
        <v>7.1999999999999995E-2</v>
      </c>
      <c r="W18" s="644">
        <v>8.9999999999999993E-3</v>
      </c>
      <c r="X18" s="644">
        <v>543.98900000000003</v>
      </c>
      <c r="Y18" s="644" t="s">
        <v>1069</v>
      </c>
      <c r="Z18" s="644">
        <v>6.6000000000000003E-2</v>
      </c>
      <c r="AA18" s="644">
        <v>6.2E-2</v>
      </c>
      <c r="AB18" s="644">
        <v>1.9E-2</v>
      </c>
      <c r="AC18" s="644">
        <v>109.22199999999999</v>
      </c>
      <c r="AD18" s="644" t="s">
        <v>1069</v>
      </c>
      <c r="AE18" s="644">
        <v>0.52800000000000002</v>
      </c>
      <c r="AF18" s="644">
        <v>0.51</v>
      </c>
      <c r="AG18" s="644">
        <v>0.151</v>
      </c>
      <c r="AH18" s="644">
        <v>869.73900000000003</v>
      </c>
      <c r="AI18" s="644">
        <v>0.11700000000000001</v>
      </c>
      <c r="AJ18" s="644">
        <v>1.4999999999999999E-2</v>
      </c>
      <c r="AK18" s="644" t="s">
        <v>1069</v>
      </c>
      <c r="AL18" s="644">
        <v>2.5350000000000001</v>
      </c>
      <c r="AM18" s="644">
        <v>5.84</v>
      </c>
      <c r="AN18" s="644">
        <v>0.20300000000000001</v>
      </c>
      <c r="AO18" s="644">
        <v>0.23100000000000001</v>
      </c>
      <c r="AP18" s="644">
        <v>3.68</v>
      </c>
      <c r="AQ18" s="644">
        <v>4.0979999999999999</v>
      </c>
      <c r="AR18" s="644">
        <v>0.19900000000000001</v>
      </c>
      <c r="AS18" s="644">
        <v>0.22</v>
      </c>
      <c r="AT18" s="644">
        <v>1.387</v>
      </c>
      <c r="AU18" s="644">
        <v>3.0670000000000002</v>
      </c>
      <c r="AV18" s="644">
        <v>0.02</v>
      </c>
      <c r="AW18" s="644">
        <v>3.5000000000000003E-2</v>
      </c>
      <c r="AX18" s="644">
        <v>2293.7330000000002</v>
      </c>
      <c r="AY18" s="644">
        <v>2204.3919999999998</v>
      </c>
      <c r="AZ18" s="644">
        <v>848.83799999999997</v>
      </c>
      <c r="BA18" s="644">
        <v>859.91399999999999</v>
      </c>
      <c r="BB18" s="644" t="s">
        <v>1069</v>
      </c>
      <c r="BC18" s="644" t="s">
        <v>1069</v>
      </c>
      <c r="BD18" s="644">
        <v>0.22700000000000001</v>
      </c>
      <c r="BE18" s="644">
        <v>0.38300000000000001</v>
      </c>
      <c r="BF18" s="644">
        <v>2.9000000000000001E-2</v>
      </c>
      <c r="BG18" s="644">
        <v>3.2000000000000001E-2</v>
      </c>
      <c r="BH18" s="644">
        <v>0.27100000000000002</v>
      </c>
      <c r="BI18" s="644">
        <v>0.255</v>
      </c>
      <c r="BJ18" s="644">
        <v>2.8000000000000001E-2</v>
      </c>
      <c r="BK18" s="644">
        <v>3.1E-2</v>
      </c>
      <c r="BL18" s="644">
        <v>0.124</v>
      </c>
      <c r="BM18" s="644">
        <v>0.20100000000000001</v>
      </c>
      <c r="BN18" s="644">
        <v>3.0000000000000001E-3</v>
      </c>
      <c r="BO18" s="644">
        <v>5.0000000000000001E-3</v>
      </c>
      <c r="BP18" s="644">
        <v>204.93100000000001</v>
      </c>
      <c r="BQ18" s="644">
        <v>144.53200000000001</v>
      </c>
      <c r="BR18" s="644">
        <v>119.551</v>
      </c>
      <c r="BS18" s="644">
        <v>120.375</v>
      </c>
      <c r="BT18" s="644" t="s">
        <v>1069</v>
      </c>
      <c r="BU18" s="644" t="s">
        <v>1069</v>
      </c>
      <c r="BV18" s="644">
        <v>0.41099999999999998</v>
      </c>
      <c r="BW18" s="644">
        <v>0.36099999999999999</v>
      </c>
      <c r="BX18" s="644">
        <v>0.13</v>
      </c>
      <c r="BY18" s="644">
        <v>900.48900000000003</v>
      </c>
      <c r="BZ18" s="644">
        <v>7.2999999999999995E-2</v>
      </c>
      <c r="CA18" s="644">
        <v>8.9999999999999993E-3</v>
      </c>
      <c r="CB18" s="644">
        <v>905.11800000000005</v>
      </c>
      <c r="CC18" s="644" t="s">
        <v>1069</v>
      </c>
      <c r="CD18" s="643">
        <v>578806.81700000004</v>
      </c>
      <c r="CE18" s="643">
        <v>243492.66200000001</v>
      </c>
      <c r="CF18" s="643">
        <v>55950673.629000001</v>
      </c>
      <c r="CG18" s="643">
        <v>27072626</v>
      </c>
      <c r="CH18" s="643">
        <v>5840245.5599999996</v>
      </c>
      <c r="CI18" s="643">
        <v>5328618.7659999998</v>
      </c>
      <c r="CJ18" s="643">
        <v>3780159.25</v>
      </c>
      <c r="CK18" s="643">
        <v>2457857.3199999998</v>
      </c>
      <c r="CL18" s="643">
        <v>0</v>
      </c>
      <c r="CM18" s="643">
        <v>1720733.702</v>
      </c>
      <c r="CN18" s="643">
        <v>95729</v>
      </c>
      <c r="CO18" s="643">
        <v>85662061.810000002</v>
      </c>
      <c r="CP18" s="643">
        <v>17406880.896000002</v>
      </c>
      <c r="CQ18" s="643">
        <v>11566635.335999999</v>
      </c>
      <c r="CR18" s="643">
        <v>63918054.575999998</v>
      </c>
      <c r="CS18" s="643">
        <v>39150888.130000003</v>
      </c>
      <c r="CT18" s="694">
        <v>5.6157247935590404E-3</v>
      </c>
      <c r="CU18" s="694">
        <v>2.3624251458031599E-3</v>
      </c>
      <c r="CV18" s="694">
        <v>0.54284707070874905</v>
      </c>
      <c r="CW18" s="694">
        <v>0.26266521504177598</v>
      </c>
      <c r="CX18" s="694">
        <v>5.66634856889826E-2</v>
      </c>
      <c r="CY18" s="694">
        <v>5.1699557850318399E-2</v>
      </c>
      <c r="CZ18" s="694">
        <v>3.6676026267027401E-2</v>
      </c>
      <c r="DA18" s="694">
        <v>2.3846730697635401E-2</v>
      </c>
      <c r="DB18" s="694">
        <v>0</v>
      </c>
      <c r="DC18" s="694">
        <v>1.6694977719023701E-2</v>
      </c>
      <c r="DD18" s="694">
        <v>9.2878608712483905E-4</v>
      </c>
      <c r="DE18" s="694">
        <v>0.83111419949603604</v>
      </c>
      <c r="DF18" s="694">
        <v>0.16888580050396401</v>
      </c>
      <c r="DG18" s="694">
        <v>0.112222314814981</v>
      </c>
      <c r="DH18" s="694">
        <v>0.62014854230457805</v>
      </c>
      <c r="DI18" s="694">
        <v>0.379851457695422</v>
      </c>
      <c r="DJ18" s="416"/>
      <c r="DK18" s="417">
        <f>(F18/H18)*1000</f>
        <v>4938.2556394011326</v>
      </c>
      <c r="DL18" s="417">
        <f>(BA18/BS18)*1000</f>
        <v>7143.6261682242985</v>
      </c>
      <c r="DM18" s="417">
        <f>(BY18/BS18)*1000</f>
        <v>7480.6978193146424</v>
      </c>
      <c r="DN18" s="417">
        <f t="shared" ref="DN18:DP20" si="13">IFERROR((AX18/BP18)*1000,"-")</f>
        <v>11192.708765389327</v>
      </c>
      <c r="DO18" s="417">
        <f t="shared" si="13"/>
        <v>15251.930368361329</v>
      </c>
      <c r="DP18" s="417">
        <f t="shared" si="13"/>
        <v>7100.2166439427519</v>
      </c>
      <c r="DQ18" s="417"/>
      <c r="DR18" s="417"/>
      <c r="DS18" s="409"/>
      <c r="DT18" s="419"/>
    </row>
    <row r="19" spans="1:124" ht="13" x14ac:dyDescent="0.3">
      <c r="A19" s="194">
        <v>28</v>
      </c>
      <c r="B19" s="409">
        <v>86</v>
      </c>
      <c r="C19" s="458" t="s">
        <v>374</v>
      </c>
      <c r="E19" s="643">
        <v>79135.5</v>
      </c>
      <c r="F19" s="643">
        <v>1089360733.767</v>
      </c>
      <c r="G19" s="643">
        <v>486028811.70700002</v>
      </c>
      <c r="H19" s="643">
        <v>282815849.05199999</v>
      </c>
      <c r="I19" s="643">
        <v>119082556.506</v>
      </c>
      <c r="J19" s="643">
        <v>78144.676999999996</v>
      </c>
      <c r="K19" s="643">
        <v>34738.608999999997</v>
      </c>
      <c r="L19" s="643">
        <v>48492.349000000002</v>
      </c>
      <c r="M19" s="643">
        <v>89737301.174999997</v>
      </c>
      <c r="N19" s="643">
        <v>16429445.174000001</v>
      </c>
      <c r="O19" s="643">
        <v>2346387.8650000002</v>
      </c>
      <c r="P19" s="643">
        <v>90292280.965000004</v>
      </c>
      <c r="Q19" s="643" t="s">
        <v>1069</v>
      </c>
      <c r="R19" s="644">
        <v>0.55300000000000005</v>
      </c>
      <c r="S19" s="644">
        <v>0.58299999999999996</v>
      </c>
      <c r="T19" s="644">
        <v>0.34300000000000003</v>
      </c>
      <c r="U19" s="644">
        <v>634.59900000000005</v>
      </c>
      <c r="V19" s="644">
        <v>5.8000000000000003E-2</v>
      </c>
      <c r="W19" s="644">
        <v>8.0000000000000002E-3</v>
      </c>
      <c r="X19" s="644">
        <v>638.52300000000002</v>
      </c>
      <c r="Y19" s="644" t="s">
        <v>1069</v>
      </c>
      <c r="Z19" s="644">
        <v>0.14299999999999999</v>
      </c>
      <c r="AA19" s="644">
        <v>0.14299999999999999</v>
      </c>
      <c r="AB19" s="644">
        <v>8.8999999999999996E-2</v>
      </c>
      <c r="AC19" s="644">
        <v>164.75200000000001</v>
      </c>
      <c r="AD19" s="644" t="s">
        <v>1069</v>
      </c>
      <c r="AE19" s="644">
        <v>1.3240000000000001</v>
      </c>
      <c r="AF19" s="644">
        <v>1.3979999999999999</v>
      </c>
      <c r="AG19" s="644">
        <v>0.82199999999999995</v>
      </c>
      <c r="AH19" s="644">
        <v>1520.4749999999999</v>
      </c>
      <c r="AI19" s="644">
        <v>0.13900000000000001</v>
      </c>
      <c r="AJ19" s="644">
        <v>0.02</v>
      </c>
      <c r="AK19" s="644" t="s">
        <v>1069</v>
      </c>
      <c r="AL19" s="644">
        <v>1.9830000000000001</v>
      </c>
      <c r="AM19" s="644">
        <v>1.59</v>
      </c>
      <c r="AN19" s="644">
        <v>0.67600000000000005</v>
      </c>
      <c r="AO19" s="644">
        <v>1.3009999999999999</v>
      </c>
      <c r="AP19" s="644">
        <v>1.9850000000000001</v>
      </c>
      <c r="AQ19" s="644">
        <v>1.488</v>
      </c>
      <c r="AR19" s="644">
        <v>0.69199999999999995</v>
      </c>
      <c r="AS19" s="644">
        <v>1.3160000000000001</v>
      </c>
      <c r="AT19" s="644">
        <v>1.5549999999999999</v>
      </c>
      <c r="AU19" s="644">
        <v>16.638999999999999</v>
      </c>
      <c r="AV19" s="644">
        <v>8.9999999999999993E-3</v>
      </c>
      <c r="AW19" s="644">
        <v>0.81</v>
      </c>
      <c r="AX19" s="644">
        <v>2283.2220000000002</v>
      </c>
      <c r="AY19" s="644">
        <v>1822.7159999999999</v>
      </c>
      <c r="AZ19" s="644">
        <v>908.59199999999998</v>
      </c>
      <c r="BA19" s="644">
        <v>1565.2180000000001</v>
      </c>
      <c r="BB19" s="644" t="s">
        <v>1069</v>
      </c>
      <c r="BC19" s="644" t="s">
        <v>1069</v>
      </c>
      <c r="BD19" s="644">
        <v>0.18</v>
      </c>
      <c r="BE19" s="644">
        <v>0.19600000000000001</v>
      </c>
      <c r="BF19" s="644">
        <v>8.7999999999999995E-2</v>
      </c>
      <c r="BG19" s="644">
        <v>0.14099999999999999</v>
      </c>
      <c r="BH19" s="644">
        <v>0.17899999999999999</v>
      </c>
      <c r="BI19" s="644">
        <v>0.186</v>
      </c>
      <c r="BJ19" s="644">
        <v>8.8999999999999996E-2</v>
      </c>
      <c r="BK19" s="644">
        <v>0.14000000000000001</v>
      </c>
      <c r="BL19" s="644">
        <v>0.14099999999999999</v>
      </c>
      <c r="BM19" s="644">
        <v>2.056</v>
      </c>
      <c r="BN19" s="644">
        <v>1E-3</v>
      </c>
      <c r="BO19" s="644">
        <v>8.7999999999999995E-2</v>
      </c>
      <c r="BP19" s="644">
        <v>207.286</v>
      </c>
      <c r="BQ19" s="644">
        <v>225.24199999999999</v>
      </c>
      <c r="BR19" s="644">
        <v>118.685</v>
      </c>
      <c r="BS19" s="644">
        <v>169.16200000000001</v>
      </c>
      <c r="BT19" s="644" t="s">
        <v>1069</v>
      </c>
      <c r="BU19" s="644" t="s">
        <v>1069</v>
      </c>
      <c r="BV19" s="644">
        <v>1.526</v>
      </c>
      <c r="BW19" s="644">
        <v>1.5129999999999999</v>
      </c>
      <c r="BX19" s="644">
        <v>0.75800000000000001</v>
      </c>
      <c r="BY19" s="644">
        <v>1545.7460000000001</v>
      </c>
      <c r="BZ19" s="644">
        <v>0.13900000000000001</v>
      </c>
      <c r="CA19" s="644">
        <v>0.02</v>
      </c>
      <c r="CB19" s="644">
        <v>1555.1769999999999</v>
      </c>
      <c r="CC19" s="644" t="s">
        <v>1069</v>
      </c>
      <c r="CD19" s="643">
        <v>53734880.770000003</v>
      </c>
      <c r="CE19" s="643">
        <v>532249.04</v>
      </c>
      <c r="CF19" s="643">
        <v>59582309.498999998</v>
      </c>
      <c r="CG19" s="643">
        <v>8511288</v>
      </c>
      <c r="CH19" s="643">
        <v>115371498.39</v>
      </c>
      <c r="CI19" s="643">
        <v>3164871.176</v>
      </c>
      <c r="CJ19" s="643">
        <v>32482354</v>
      </c>
      <c r="CK19" s="643">
        <v>6539173.8200000003</v>
      </c>
      <c r="CL19" s="643">
        <v>1873060</v>
      </c>
      <c r="CM19" s="643">
        <v>717708.37</v>
      </c>
      <c r="CN19" s="643">
        <v>306455.74400000001</v>
      </c>
      <c r="CO19" s="643">
        <v>123384891.42299999</v>
      </c>
      <c r="CP19" s="643">
        <v>159430957.38600001</v>
      </c>
      <c r="CQ19" s="643">
        <v>44059458.995999999</v>
      </c>
      <c r="CR19" s="643">
        <v>118038474.59900001</v>
      </c>
      <c r="CS19" s="643">
        <v>164777374.21000001</v>
      </c>
      <c r="CT19" s="694">
        <v>0.189999538555882</v>
      </c>
      <c r="CU19" s="694">
        <v>1.88196327129975E-3</v>
      </c>
      <c r="CV19" s="694">
        <v>0.21067528481842299</v>
      </c>
      <c r="CW19" s="694">
        <v>3.0094805633570101E-2</v>
      </c>
      <c r="CX19" s="694">
        <v>0.40793858928293703</v>
      </c>
      <c r="CY19" s="694">
        <v>1.1190572202116601E-2</v>
      </c>
      <c r="CZ19" s="694">
        <v>0.11485337238627299</v>
      </c>
      <c r="DA19" s="694">
        <v>2.3121666793207998E-2</v>
      </c>
      <c r="DB19" s="694">
        <v>6.6228961633086302E-3</v>
      </c>
      <c r="DC19" s="694">
        <v>2.5377233030695698E-3</v>
      </c>
      <c r="DD19" s="694">
        <v>1.08358758991249E-3</v>
      </c>
      <c r="DE19" s="694">
        <v>0.436272903172156</v>
      </c>
      <c r="DF19" s="694">
        <v>0.56372709682784405</v>
      </c>
      <c r="DG19" s="694">
        <v>0.155788507544906</v>
      </c>
      <c r="DH19" s="694">
        <v>0.41736866974070302</v>
      </c>
      <c r="DI19" s="694">
        <v>0.58263133025929703</v>
      </c>
      <c r="DJ19" s="416"/>
      <c r="DK19" s="417">
        <f>(F19/H19)*1000</f>
        <v>3851.8376442428603</v>
      </c>
      <c r="DL19" s="417">
        <f>(BA19/BS19)*1000</f>
        <v>9252.7754460221549</v>
      </c>
      <c r="DM19" s="417">
        <f>(BY19/BS19)*1000</f>
        <v>9137.6668518934512</v>
      </c>
      <c r="DN19" s="417">
        <f t="shared" si="13"/>
        <v>11014.839400634874</v>
      </c>
      <c r="DO19" s="417">
        <f t="shared" si="13"/>
        <v>8092.2563287486346</v>
      </c>
      <c r="DP19" s="417">
        <f t="shared" si="13"/>
        <v>7655.4914268862958</v>
      </c>
      <c r="DQ19" s="417"/>
      <c r="DR19" s="417"/>
      <c r="DS19" s="409"/>
      <c r="DT19" s="419"/>
    </row>
    <row r="20" spans="1:124" ht="13" x14ac:dyDescent="0.3">
      <c r="A20" s="194">
        <v>29</v>
      </c>
      <c r="B20" s="409">
        <v>73</v>
      </c>
      <c r="C20" s="458" t="s">
        <v>375</v>
      </c>
      <c r="E20" s="643">
        <v>14076.4</v>
      </c>
      <c r="F20" s="643">
        <v>223387774.961</v>
      </c>
      <c r="G20" s="643">
        <v>112952776.536</v>
      </c>
      <c r="H20" s="643">
        <v>32499681.010000002</v>
      </c>
      <c r="I20" s="643">
        <v>14553976.177999999</v>
      </c>
      <c r="J20" s="643">
        <v>3673.759</v>
      </c>
      <c r="K20" s="643">
        <v>1935.3440000000001</v>
      </c>
      <c r="L20" s="643">
        <v>172.756</v>
      </c>
      <c r="M20" s="643">
        <v>13272151.169</v>
      </c>
      <c r="N20" s="643">
        <v>630509.353</v>
      </c>
      <c r="O20" s="643">
        <v>69932.846999999994</v>
      </c>
      <c r="P20" s="643">
        <v>13290452.528000001</v>
      </c>
      <c r="Q20" s="643" t="s">
        <v>1069</v>
      </c>
      <c r="R20" s="644">
        <v>0.22600000000000001</v>
      </c>
      <c r="S20" s="644">
        <v>0.26600000000000001</v>
      </c>
      <c r="T20" s="644">
        <v>1.0999999999999999E-2</v>
      </c>
      <c r="U20" s="644">
        <v>816.75599999999997</v>
      </c>
      <c r="V20" s="644">
        <v>1.9E-2</v>
      </c>
      <c r="W20" s="644">
        <v>2E-3</v>
      </c>
      <c r="X20" s="644">
        <v>817.88199999999995</v>
      </c>
      <c r="Y20" s="644" t="s">
        <v>1069</v>
      </c>
      <c r="Z20" s="644">
        <v>3.3000000000000002E-2</v>
      </c>
      <c r="AA20" s="644">
        <v>3.4000000000000002E-2</v>
      </c>
      <c r="AB20" s="644">
        <v>2E-3</v>
      </c>
      <c r="AC20" s="644">
        <v>118.82599999999999</v>
      </c>
      <c r="AD20" s="644" t="s">
        <v>1069</v>
      </c>
      <c r="AE20" s="644">
        <v>0.248</v>
      </c>
      <c r="AF20" s="644">
        <v>0.29099999999999998</v>
      </c>
      <c r="AG20" s="644">
        <v>1.2E-2</v>
      </c>
      <c r="AH20" s="644">
        <v>894.73500000000001</v>
      </c>
      <c r="AI20" s="644">
        <v>2.1000000000000001E-2</v>
      </c>
      <c r="AJ20" s="644">
        <v>2E-3</v>
      </c>
      <c r="AK20" s="644" t="s">
        <v>1069</v>
      </c>
      <c r="AL20" s="644">
        <v>0</v>
      </c>
      <c r="AM20" s="644">
        <v>10.206</v>
      </c>
      <c r="AN20" s="644">
        <v>0.216</v>
      </c>
      <c r="AO20" s="644">
        <v>0.223</v>
      </c>
      <c r="AP20" s="644">
        <v>0</v>
      </c>
      <c r="AQ20" s="644">
        <v>11.507999999999999</v>
      </c>
      <c r="AR20" s="644">
        <v>0.23799999999999999</v>
      </c>
      <c r="AS20" s="644">
        <v>0.24299999999999999</v>
      </c>
      <c r="AT20" s="644">
        <v>0</v>
      </c>
      <c r="AU20" s="644">
        <v>1.27</v>
      </c>
      <c r="AV20" s="644">
        <v>7.0000000000000001E-3</v>
      </c>
      <c r="AW20" s="644">
        <v>8.0000000000000002E-3</v>
      </c>
      <c r="AX20" s="644">
        <v>0</v>
      </c>
      <c r="AY20" s="644">
        <v>2144.5140000000001</v>
      </c>
      <c r="AZ20" s="644">
        <v>892.96699999999998</v>
      </c>
      <c r="BA20" s="644">
        <v>893.78899999999999</v>
      </c>
      <c r="BB20" s="644" t="s">
        <v>1069</v>
      </c>
      <c r="BC20" s="644" t="s">
        <v>1069</v>
      </c>
      <c r="BD20" s="644">
        <v>0</v>
      </c>
      <c r="BE20" s="644">
        <v>0.61299999999999999</v>
      </c>
      <c r="BF20" s="644">
        <v>2.9000000000000001E-2</v>
      </c>
      <c r="BG20" s="644">
        <v>0.03</v>
      </c>
      <c r="BH20" s="644">
        <v>0</v>
      </c>
      <c r="BI20" s="644">
        <v>0.40100000000000002</v>
      </c>
      <c r="BJ20" s="644">
        <v>3.1E-2</v>
      </c>
      <c r="BK20" s="644">
        <v>3.1E-2</v>
      </c>
      <c r="BL20" s="644">
        <v>0</v>
      </c>
      <c r="BM20" s="644">
        <v>7.5999999999999998E-2</v>
      </c>
      <c r="BN20" s="644">
        <v>1E-3</v>
      </c>
      <c r="BO20" s="644">
        <v>1E-3</v>
      </c>
      <c r="BP20" s="644">
        <v>0</v>
      </c>
      <c r="BQ20" s="644">
        <v>128.732</v>
      </c>
      <c r="BR20" s="644">
        <v>118.92700000000001</v>
      </c>
      <c r="BS20" s="644">
        <v>118.94199999999999</v>
      </c>
      <c r="BT20" s="644" t="s">
        <v>1069</v>
      </c>
      <c r="BU20" s="644" t="s">
        <v>1069</v>
      </c>
      <c r="BV20" s="644">
        <v>0.309</v>
      </c>
      <c r="BW20" s="644">
        <v>0.33300000000000002</v>
      </c>
      <c r="BX20" s="644">
        <v>1.0999999999999999E-2</v>
      </c>
      <c r="BY20" s="644">
        <v>930.84900000000005</v>
      </c>
      <c r="BZ20" s="644">
        <v>0.02</v>
      </c>
      <c r="CA20" s="644">
        <v>2E-3</v>
      </c>
      <c r="CB20" s="644">
        <v>932</v>
      </c>
      <c r="CC20" s="644" t="s">
        <v>1069</v>
      </c>
      <c r="CD20" s="643">
        <v>0</v>
      </c>
      <c r="CE20" s="643">
        <v>65083.006000000001</v>
      </c>
      <c r="CF20" s="643">
        <v>29278907.537999999</v>
      </c>
      <c r="CG20" s="643">
        <v>2821401</v>
      </c>
      <c r="CH20" s="643">
        <v>0</v>
      </c>
      <c r="CI20" s="643">
        <v>145417.12</v>
      </c>
      <c r="CJ20" s="643">
        <v>0</v>
      </c>
      <c r="CK20" s="643">
        <v>11057</v>
      </c>
      <c r="CL20" s="643">
        <v>0</v>
      </c>
      <c r="CM20" s="643">
        <v>177734.89</v>
      </c>
      <c r="CN20" s="643">
        <v>80</v>
      </c>
      <c r="CO20" s="643">
        <v>32343206.434</v>
      </c>
      <c r="CP20" s="643">
        <v>156474.12</v>
      </c>
      <c r="CQ20" s="643">
        <v>156474.12</v>
      </c>
      <c r="CR20" s="643">
        <v>29667222.554000001</v>
      </c>
      <c r="CS20" s="643">
        <v>2832458</v>
      </c>
      <c r="CT20" s="694">
        <v>0</v>
      </c>
      <c r="CU20" s="694">
        <v>2.0025737142819302E-3</v>
      </c>
      <c r="CV20" s="694">
        <v>0.90089831773427698</v>
      </c>
      <c r="CW20" s="694">
        <v>8.6813191757749403E-2</v>
      </c>
      <c r="CX20" s="694">
        <v>0</v>
      </c>
      <c r="CY20" s="694">
        <v>4.4744169026025198E-3</v>
      </c>
      <c r="CZ20" s="694">
        <v>0</v>
      </c>
      <c r="DA20" s="694">
        <v>3.4021872866190798E-4</v>
      </c>
      <c r="DB20" s="694">
        <v>0</v>
      </c>
      <c r="DC20" s="694">
        <v>5.46881959977064E-3</v>
      </c>
      <c r="DD20" s="694">
        <v>2.4615626565028999E-6</v>
      </c>
      <c r="DE20" s="694">
        <v>0.99518536436873595</v>
      </c>
      <c r="DF20" s="694">
        <v>4.8146356312644299E-3</v>
      </c>
      <c r="DG20" s="694">
        <v>4.8146356312644299E-3</v>
      </c>
      <c r="DH20" s="694">
        <v>0.91284658951358899</v>
      </c>
      <c r="DI20" s="694">
        <v>8.7153410486411301E-2</v>
      </c>
      <c r="DJ20" s="416"/>
      <c r="DK20" s="417">
        <f>(F20/H20)*1000</f>
        <v>6873.5374630989336</v>
      </c>
      <c r="DL20" s="417">
        <f>(BA20/BS20)*1000</f>
        <v>7514.4944594844546</v>
      </c>
      <c r="DM20" s="417">
        <f>(BY20/BS20)*1000</f>
        <v>7826.074893645643</v>
      </c>
      <c r="DN20" s="417" t="str">
        <f t="shared" si="13"/>
        <v>-</v>
      </c>
      <c r="DO20" s="417">
        <f t="shared" si="13"/>
        <v>16658.748407544357</v>
      </c>
      <c r="DP20" s="417">
        <f t="shared" si="13"/>
        <v>7508.5304430448923</v>
      </c>
      <c r="DQ20" s="417"/>
      <c r="DR20" s="417"/>
      <c r="DS20" s="409"/>
      <c r="DT20" s="419"/>
    </row>
    <row r="21" spans="1:124" ht="13" x14ac:dyDescent="0.3">
      <c r="A21" s="194">
        <v>30</v>
      </c>
      <c r="B21" s="409">
        <v>71</v>
      </c>
      <c r="C21" s="458" t="s">
        <v>376</v>
      </c>
      <c r="E21" s="643">
        <v>5867.5</v>
      </c>
      <c r="F21" s="643">
        <v>120510033.559</v>
      </c>
      <c r="G21" s="643">
        <v>61366014.420999996</v>
      </c>
      <c r="H21" s="643">
        <v>11938038.027000001</v>
      </c>
      <c r="I21" s="643">
        <v>5990556.1380000003</v>
      </c>
      <c r="J21" s="643">
        <v>5443.7179999999998</v>
      </c>
      <c r="K21" s="643">
        <v>2772.817</v>
      </c>
      <c r="L21" s="643">
        <v>1576.4690000000001</v>
      </c>
      <c r="M21" s="643">
        <v>7228120.9239999996</v>
      </c>
      <c r="N21" s="643">
        <v>1502288.5290000001</v>
      </c>
      <c r="O21" s="643">
        <v>193417.38699999999</v>
      </c>
      <c r="P21" s="643">
        <v>7275718.7220000001</v>
      </c>
      <c r="Q21" s="643" t="s">
        <v>1069</v>
      </c>
      <c r="R21" s="644">
        <v>0.91200000000000003</v>
      </c>
      <c r="S21" s="644">
        <v>0.92600000000000005</v>
      </c>
      <c r="T21" s="644">
        <v>0.26400000000000001</v>
      </c>
      <c r="U21" s="644">
        <v>1210.94</v>
      </c>
      <c r="V21" s="644">
        <v>0.126</v>
      </c>
      <c r="W21" s="644">
        <v>1.6E-2</v>
      </c>
      <c r="X21" s="644">
        <v>1218.914</v>
      </c>
      <c r="Y21" s="644" t="s">
        <v>1069</v>
      </c>
      <c r="Z21" s="644">
        <v>0.09</v>
      </c>
      <c r="AA21" s="644">
        <v>0.09</v>
      </c>
      <c r="AB21" s="644">
        <v>2.5999999999999999E-2</v>
      </c>
      <c r="AC21" s="644">
        <v>119.959</v>
      </c>
      <c r="AD21" s="644" t="s">
        <v>1069</v>
      </c>
      <c r="AE21" s="644">
        <v>0.92800000000000005</v>
      </c>
      <c r="AF21" s="644">
        <v>0.94199999999999995</v>
      </c>
      <c r="AG21" s="644">
        <v>0.26900000000000002</v>
      </c>
      <c r="AH21" s="644">
        <v>1232.7739999999999</v>
      </c>
      <c r="AI21" s="644">
        <v>0.128</v>
      </c>
      <c r="AJ21" s="644">
        <v>1.6E-2</v>
      </c>
      <c r="AK21" s="644" t="s">
        <v>1069</v>
      </c>
      <c r="AL21" s="644">
        <v>0</v>
      </c>
      <c r="AM21" s="644">
        <v>4.6059999999999999</v>
      </c>
      <c r="AN21" s="644">
        <v>0.59899999999999998</v>
      </c>
      <c r="AO21" s="644">
        <v>0.65300000000000002</v>
      </c>
      <c r="AP21" s="644">
        <v>0</v>
      </c>
      <c r="AQ21" s="644">
        <v>6.4219999999999997</v>
      </c>
      <c r="AR21" s="644">
        <v>0.623</v>
      </c>
      <c r="AS21" s="644">
        <v>0.69899999999999995</v>
      </c>
      <c r="AT21" s="644">
        <v>0</v>
      </c>
      <c r="AU21" s="644">
        <v>0.46100000000000002</v>
      </c>
      <c r="AV21" s="644">
        <v>0.23200000000000001</v>
      </c>
      <c r="AW21" s="644">
        <v>0.23499999999999999</v>
      </c>
      <c r="AX21" s="644">
        <v>0</v>
      </c>
      <c r="AY21" s="644">
        <v>2071.1840000000002</v>
      </c>
      <c r="AZ21" s="644">
        <v>1146.2850000000001</v>
      </c>
      <c r="BA21" s="644">
        <v>1158.625</v>
      </c>
      <c r="BB21" s="644" t="s">
        <v>1069</v>
      </c>
      <c r="BC21" s="644" t="s">
        <v>1069</v>
      </c>
      <c r="BD21" s="644">
        <v>0</v>
      </c>
      <c r="BE21" s="644">
        <v>0.36099999999999999</v>
      </c>
      <c r="BF21" s="644">
        <v>6.3E-2</v>
      </c>
      <c r="BG21" s="644">
        <v>6.9000000000000006E-2</v>
      </c>
      <c r="BH21" s="644">
        <v>0</v>
      </c>
      <c r="BI21" s="644">
        <v>0.34699999999999998</v>
      </c>
      <c r="BJ21" s="644">
        <v>6.4000000000000001E-2</v>
      </c>
      <c r="BK21" s="644">
        <v>7.0999999999999994E-2</v>
      </c>
      <c r="BL21" s="644">
        <v>0</v>
      </c>
      <c r="BM21" s="644">
        <v>3.5999999999999997E-2</v>
      </c>
      <c r="BN21" s="644">
        <v>2.4E-2</v>
      </c>
      <c r="BO21" s="644">
        <v>2.5000000000000001E-2</v>
      </c>
      <c r="BP21" s="644">
        <v>0</v>
      </c>
      <c r="BQ21" s="644">
        <v>162.21199999999999</v>
      </c>
      <c r="BR21" s="644">
        <v>120.929</v>
      </c>
      <c r="BS21" s="644">
        <v>121.66800000000001</v>
      </c>
      <c r="BT21" s="644" t="s">
        <v>1069</v>
      </c>
      <c r="BU21" s="644" t="s">
        <v>1069</v>
      </c>
      <c r="BV21" s="644">
        <v>0.89300000000000002</v>
      </c>
      <c r="BW21" s="644">
        <v>0.90900000000000003</v>
      </c>
      <c r="BX21" s="644">
        <v>0.32400000000000001</v>
      </c>
      <c r="BY21" s="644">
        <v>1317.3140000000001</v>
      </c>
      <c r="BZ21" s="644">
        <v>0.04</v>
      </c>
      <c r="CA21" s="644">
        <v>5.0000000000000001E-3</v>
      </c>
      <c r="CB21" s="644">
        <v>1319.797</v>
      </c>
      <c r="CC21" s="644" t="s">
        <v>1069</v>
      </c>
      <c r="CD21" s="643">
        <v>0</v>
      </c>
      <c r="CE21" s="643">
        <v>603902.86399999994</v>
      </c>
      <c r="CF21" s="643">
        <v>10191948.616</v>
      </c>
      <c r="CG21" s="643">
        <v>0</v>
      </c>
      <c r="CH21" s="643">
        <v>0</v>
      </c>
      <c r="CI21" s="643">
        <v>419316.33899999998</v>
      </c>
      <c r="CJ21" s="643">
        <v>0</v>
      </c>
      <c r="CK21" s="643">
        <v>211444</v>
      </c>
      <c r="CL21" s="643">
        <v>0</v>
      </c>
      <c r="CM21" s="643">
        <v>512502.29499999998</v>
      </c>
      <c r="CN21" s="643">
        <v>-1076</v>
      </c>
      <c r="CO21" s="643">
        <v>11307277.775</v>
      </c>
      <c r="CP21" s="643">
        <v>630760.33900000004</v>
      </c>
      <c r="CQ21" s="643">
        <v>630760.33900000004</v>
      </c>
      <c r="CR21" s="643">
        <v>11726594.114</v>
      </c>
      <c r="CS21" s="643">
        <v>211444</v>
      </c>
      <c r="CT21" s="694">
        <v>0</v>
      </c>
      <c r="CU21" s="694">
        <v>5.0586441275622097E-2</v>
      </c>
      <c r="CV21" s="694">
        <v>0.85373731585323698</v>
      </c>
      <c r="CW21" s="694">
        <v>0</v>
      </c>
      <c r="CX21" s="694">
        <v>0</v>
      </c>
      <c r="CY21" s="694">
        <v>3.5124392718118298E-2</v>
      </c>
      <c r="CZ21" s="694">
        <v>0</v>
      </c>
      <c r="DA21" s="694">
        <v>1.7711787982318001E-2</v>
      </c>
      <c r="DB21" s="694">
        <v>0</v>
      </c>
      <c r="DC21" s="694">
        <v>4.2930194233420801E-2</v>
      </c>
      <c r="DD21" s="694">
        <v>0</v>
      </c>
      <c r="DE21" s="694">
        <v>0.94716381929956395</v>
      </c>
      <c r="DF21" s="694">
        <v>5.2836180700436303E-2</v>
      </c>
      <c r="DG21" s="694">
        <v>5.2836180700436303E-2</v>
      </c>
      <c r="DH21" s="694">
        <v>0.98228821201768202</v>
      </c>
      <c r="DI21" s="694">
        <v>1.7711787982318001E-2</v>
      </c>
      <c r="DJ21" s="416"/>
      <c r="DK21" s="417">
        <f t="shared" si="6"/>
        <v>10094.626377168936</v>
      </c>
      <c r="DL21" s="417">
        <f t="shared" si="7"/>
        <v>9522.8408455797744</v>
      </c>
      <c r="DM21" s="417">
        <f t="shared" si="8"/>
        <v>10827.119702797778</v>
      </c>
      <c r="DN21" s="417" t="str">
        <f t="shared" si="9"/>
        <v>-</v>
      </c>
      <c r="DO21" s="417">
        <f t="shared" si="10"/>
        <v>12768.377185411686</v>
      </c>
      <c r="DP21" s="417">
        <f t="shared" si="11"/>
        <v>9478.9918051087843</v>
      </c>
      <c r="DQ21" s="417"/>
      <c r="DR21" s="417">
        <v>1905.2406919438802</v>
      </c>
      <c r="DS21" s="409"/>
      <c r="DT21" s="419"/>
    </row>
    <row r="22" spans="1:124" ht="13" x14ac:dyDescent="0.3">
      <c r="A22" s="194">
        <v>31</v>
      </c>
      <c r="B22" s="409">
        <v>74</v>
      </c>
      <c r="C22" s="458" t="s">
        <v>377</v>
      </c>
      <c r="E22" s="643">
        <v>25578.1</v>
      </c>
      <c r="F22" s="643">
        <v>182150908.41</v>
      </c>
      <c r="G22" s="643">
        <v>85229287.981000006</v>
      </c>
      <c r="H22" s="643">
        <v>85506174.471000001</v>
      </c>
      <c r="I22" s="643">
        <v>36644959.256999999</v>
      </c>
      <c r="J22" s="643">
        <v>4290.8289999999997</v>
      </c>
      <c r="K22" s="643">
        <v>1960.1110000000001</v>
      </c>
      <c r="L22" s="643">
        <v>628.35400000000004</v>
      </c>
      <c r="M22" s="643">
        <v>9964947.0419999994</v>
      </c>
      <c r="N22" s="643">
        <v>1302743.5390000001</v>
      </c>
      <c r="O22" s="643">
        <v>161797.02499999999</v>
      </c>
      <c r="P22" s="643">
        <v>10005339.093</v>
      </c>
      <c r="Q22" s="643" t="s">
        <v>1069</v>
      </c>
      <c r="R22" s="644">
        <v>0.1</v>
      </c>
      <c r="S22" s="644">
        <v>0.107</v>
      </c>
      <c r="T22" s="644">
        <v>1.4999999999999999E-2</v>
      </c>
      <c r="U22" s="644">
        <v>233.08099999999999</v>
      </c>
      <c r="V22" s="644">
        <v>1.4999999999999999E-2</v>
      </c>
      <c r="W22" s="644">
        <v>2E-3</v>
      </c>
      <c r="X22" s="644">
        <v>234.02600000000001</v>
      </c>
      <c r="Y22" s="644" t="s">
        <v>1069</v>
      </c>
      <c r="Z22" s="644">
        <v>4.7E-2</v>
      </c>
      <c r="AA22" s="644">
        <v>4.5999999999999999E-2</v>
      </c>
      <c r="AB22" s="644">
        <v>7.0000000000000001E-3</v>
      </c>
      <c r="AC22" s="644">
        <v>109.414</v>
      </c>
      <c r="AD22" s="644" t="s">
        <v>1069</v>
      </c>
      <c r="AE22" s="644">
        <v>0.36</v>
      </c>
      <c r="AF22" s="644">
        <v>0.38400000000000001</v>
      </c>
      <c r="AG22" s="644">
        <v>5.2999999999999999E-2</v>
      </c>
      <c r="AH22" s="644">
        <v>836.82100000000003</v>
      </c>
      <c r="AI22" s="644">
        <v>5.5E-2</v>
      </c>
      <c r="AJ22" s="644">
        <v>7.0000000000000001E-3</v>
      </c>
      <c r="AK22" s="644" t="s">
        <v>1069</v>
      </c>
      <c r="AL22" s="644">
        <v>0</v>
      </c>
      <c r="AM22" s="644">
        <v>2.1320000000000001</v>
      </c>
      <c r="AN22" s="644">
        <v>0.21099999999999999</v>
      </c>
      <c r="AO22" s="644">
        <v>0.24199999999999999</v>
      </c>
      <c r="AP22" s="644">
        <v>0</v>
      </c>
      <c r="AQ22" s="644">
        <v>2.0169999999999999</v>
      </c>
      <c r="AR22" s="644">
        <v>0.20599999999999999</v>
      </c>
      <c r="AS22" s="644">
        <v>0.23899999999999999</v>
      </c>
      <c r="AT22" s="644">
        <v>0</v>
      </c>
      <c r="AU22" s="644">
        <v>0.84</v>
      </c>
      <c r="AV22" s="644">
        <v>1.4E-2</v>
      </c>
      <c r="AW22" s="644">
        <v>2.7E-2</v>
      </c>
      <c r="AX22" s="644">
        <v>0</v>
      </c>
      <c r="AY22" s="644">
        <v>865.63900000000001</v>
      </c>
      <c r="AZ22" s="644">
        <v>850.15700000000004</v>
      </c>
      <c r="BA22" s="644">
        <v>850.40800000000002</v>
      </c>
      <c r="BB22" s="644" t="s">
        <v>1069</v>
      </c>
      <c r="BC22" s="644" t="s">
        <v>1069</v>
      </c>
      <c r="BD22" s="644">
        <v>0</v>
      </c>
      <c r="BE22" s="644">
        <v>0.25700000000000001</v>
      </c>
      <c r="BF22" s="644">
        <v>2.9000000000000001E-2</v>
      </c>
      <c r="BG22" s="644">
        <v>3.4000000000000002E-2</v>
      </c>
      <c r="BH22" s="644">
        <v>0</v>
      </c>
      <c r="BI22" s="644">
        <v>0.215</v>
      </c>
      <c r="BJ22" s="644">
        <v>2.8000000000000001E-2</v>
      </c>
      <c r="BK22" s="644">
        <v>3.3000000000000002E-2</v>
      </c>
      <c r="BL22" s="644">
        <v>0</v>
      </c>
      <c r="BM22" s="644">
        <v>0.10100000000000001</v>
      </c>
      <c r="BN22" s="644">
        <v>2E-3</v>
      </c>
      <c r="BO22" s="644">
        <v>4.0000000000000001E-3</v>
      </c>
      <c r="BP22" s="644">
        <v>0</v>
      </c>
      <c r="BQ22" s="644">
        <v>104.435</v>
      </c>
      <c r="BR22" s="644">
        <v>118.444</v>
      </c>
      <c r="BS22" s="644">
        <v>118.18300000000001</v>
      </c>
      <c r="BT22" s="644" t="s">
        <v>1069</v>
      </c>
      <c r="BU22" s="644" t="s">
        <v>1069</v>
      </c>
      <c r="BV22" s="644">
        <v>0.439</v>
      </c>
      <c r="BW22" s="644">
        <v>0.43099999999999999</v>
      </c>
      <c r="BX22" s="644">
        <v>6.2E-2</v>
      </c>
      <c r="BY22" s="644">
        <v>880.74300000000005</v>
      </c>
      <c r="BZ22" s="644">
        <v>4.7E-2</v>
      </c>
      <c r="CA22" s="644">
        <v>6.0000000000000001E-3</v>
      </c>
      <c r="CB22" s="644">
        <v>883.60299999999995</v>
      </c>
      <c r="CC22" s="644" t="s">
        <v>1069</v>
      </c>
      <c r="CD22" s="643">
        <v>0</v>
      </c>
      <c r="CE22" s="643">
        <v>31618.157999999999</v>
      </c>
      <c r="CF22" s="643">
        <v>22172593.339000002</v>
      </c>
      <c r="CG22" s="643">
        <v>28355182</v>
      </c>
      <c r="CH22" s="643">
        <v>28374339</v>
      </c>
      <c r="CI22" s="643">
        <v>1338577.4129999999</v>
      </c>
      <c r="CJ22" s="643">
        <v>4156369</v>
      </c>
      <c r="CK22" s="643">
        <v>804077</v>
      </c>
      <c r="CL22" s="643">
        <v>0</v>
      </c>
      <c r="CM22" s="643">
        <v>285455.33799999999</v>
      </c>
      <c r="CN22" s="643">
        <v>-12037</v>
      </c>
      <c r="CO22" s="643">
        <v>50832811.835000001</v>
      </c>
      <c r="CP22" s="643">
        <v>34673362.413000003</v>
      </c>
      <c r="CQ22" s="643">
        <v>6299023.4129999997</v>
      </c>
      <c r="CR22" s="643">
        <v>23816207.248</v>
      </c>
      <c r="CS22" s="643">
        <v>61689967</v>
      </c>
      <c r="CT22" s="694">
        <v>0</v>
      </c>
      <c r="CU22" s="694">
        <v>3.6977631472898597E-4</v>
      </c>
      <c r="CV22" s="694">
        <v>0.25930985141132801</v>
      </c>
      <c r="CW22" s="694">
        <v>0.33161560845605498</v>
      </c>
      <c r="CX22" s="694">
        <v>0.331839650756725</v>
      </c>
      <c r="CY22" s="694">
        <v>1.5654745692604902E-2</v>
      </c>
      <c r="CZ22" s="694">
        <v>4.8608992702035399E-2</v>
      </c>
      <c r="DA22" s="694">
        <v>9.4037302811358896E-3</v>
      </c>
      <c r="DB22" s="694">
        <v>0</v>
      </c>
      <c r="DC22" s="694">
        <v>3.3384178453835702E-3</v>
      </c>
      <c r="DD22" s="694">
        <v>0</v>
      </c>
      <c r="DE22" s="694">
        <v>0.59449288056749905</v>
      </c>
      <c r="DF22" s="694">
        <v>0.40550711943250101</v>
      </c>
      <c r="DG22" s="694">
        <v>7.3667468675776199E-2</v>
      </c>
      <c r="DH22" s="694">
        <v>0.27853201780404802</v>
      </c>
      <c r="DI22" s="694">
        <v>0.72146798219595198</v>
      </c>
      <c r="DJ22" s="416"/>
      <c r="DK22" s="417">
        <f t="shared" si="6"/>
        <v>2130.2661420290497</v>
      </c>
      <c r="DL22" s="417">
        <f t="shared" si="7"/>
        <v>7195.6880431195686</v>
      </c>
      <c r="DM22" s="417">
        <f t="shared" si="8"/>
        <v>7452.3662455683134</v>
      </c>
      <c r="DN22" s="417" t="str">
        <f t="shared" si="9"/>
        <v>-</v>
      </c>
      <c r="DO22" s="417">
        <f t="shared" si="10"/>
        <v>8288.7824962895575</v>
      </c>
      <c r="DP22" s="417">
        <f t="shared" si="11"/>
        <v>7177.712674343994</v>
      </c>
      <c r="DQ22" s="417"/>
      <c r="DR22" s="417">
        <v>1695.0753356354426</v>
      </c>
      <c r="DS22" s="409"/>
      <c r="DT22" s="419"/>
    </row>
    <row r="23" spans="1:124" ht="13" x14ac:dyDescent="0.3">
      <c r="A23" s="194">
        <v>32</v>
      </c>
      <c r="B23" s="409">
        <v>75</v>
      </c>
      <c r="C23" s="458" t="s">
        <v>378</v>
      </c>
      <c r="E23" s="643">
        <v>79307</v>
      </c>
      <c r="F23" s="643">
        <v>1409304227.47</v>
      </c>
      <c r="G23" s="643">
        <v>650512973.375</v>
      </c>
      <c r="H23" s="643">
        <v>290415250.31599998</v>
      </c>
      <c r="I23" s="643">
        <v>129236298.23899999</v>
      </c>
      <c r="J23" s="643">
        <v>42971.73</v>
      </c>
      <c r="K23" s="643">
        <v>18855.906999999999</v>
      </c>
      <c r="L23" s="643">
        <v>48959.531000000003</v>
      </c>
      <c r="M23" s="643">
        <v>97693765.555999994</v>
      </c>
      <c r="N23" s="643">
        <v>14309163.641000001</v>
      </c>
      <c r="O23" s="643">
        <v>1926849.057</v>
      </c>
      <c r="P23" s="643">
        <v>98159730.615999997</v>
      </c>
      <c r="Q23" s="643" t="s">
        <v>1069</v>
      </c>
      <c r="R23" s="644">
        <v>0.29599999999999999</v>
      </c>
      <c r="S23" s="644">
        <v>0.29199999999999998</v>
      </c>
      <c r="T23" s="644">
        <v>0.33700000000000002</v>
      </c>
      <c r="U23" s="644">
        <v>672.78700000000003</v>
      </c>
      <c r="V23" s="644">
        <v>4.9000000000000002E-2</v>
      </c>
      <c r="W23" s="644">
        <v>7.0000000000000001E-3</v>
      </c>
      <c r="X23" s="644">
        <v>675.99599999999998</v>
      </c>
      <c r="Y23" s="644" t="s">
        <v>1069</v>
      </c>
      <c r="Z23" s="644">
        <v>6.0999999999999999E-2</v>
      </c>
      <c r="AA23" s="644">
        <v>5.8000000000000003E-2</v>
      </c>
      <c r="AB23" s="644">
        <v>6.9000000000000006E-2</v>
      </c>
      <c r="AC23" s="644">
        <v>138.64099999999999</v>
      </c>
      <c r="AD23" s="644" t="s">
        <v>1069</v>
      </c>
      <c r="AE23" s="644">
        <v>0.48699999999999999</v>
      </c>
      <c r="AF23" s="644">
        <v>0.48</v>
      </c>
      <c r="AG23" s="644">
        <v>0.55500000000000005</v>
      </c>
      <c r="AH23" s="644">
        <v>1106.9929999999999</v>
      </c>
      <c r="AI23" s="644">
        <v>8.1000000000000003E-2</v>
      </c>
      <c r="AJ23" s="644">
        <v>1.0999999999999999E-2</v>
      </c>
      <c r="AK23" s="644" t="s">
        <v>1069</v>
      </c>
      <c r="AL23" s="644">
        <v>1.4219999999999999</v>
      </c>
      <c r="AM23" s="644">
        <v>5.2770000000000001</v>
      </c>
      <c r="AN23" s="644">
        <v>0.17299999999999999</v>
      </c>
      <c r="AO23" s="644">
        <v>0.41899999999999998</v>
      </c>
      <c r="AP23" s="644">
        <v>1.359</v>
      </c>
      <c r="AQ23" s="644">
        <v>3.7160000000000002</v>
      </c>
      <c r="AR23" s="644">
        <v>0.16300000000000001</v>
      </c>
      <c r="AS23" s="644">
        <v>0.40699999999999997</v>
      </c>
      <c r="AT23" s="644">
        <v>2.92</v>
      </c>
      <c r="AU23" s="644">
        <v>0.36899999999999999</v>
      </c>
      <c r="AV23" s="644">
        <v>1.2999999999999999E-2</v>
      </c>
      <c r="AW23" s="644">
        <v>0.53600000000000003</v>
      </c>
      <c r="AX23" s="644">
        <v>2233.9319999999998</v>
      </c>
      <c r="AY23" s="644">
        <v>1597.944</v>
      </c>
      <c r="AZ23" s="644">
        <v>851.99699999999996</v>
      </c>
      <c r="BA23" s="644">
        <v>1103.0070000000001</v>
      </c>
      <c r="BB23" s="644" t="s">
        <v>1069</v>
      </c>
      <c r="BC23" s="644" t="s">
        <v>1069</v>
      </c>
      <c r="BD23" s="644">
        <v>0.13100000000000001</v>
      </c>
      <c r="BE23" s="644">
        <v>0.40799999999999997</v>
      </c>
      <c r="BF23" s="644">
        <v>2.4E-2</v>
      </c>
      <c r="BG23" s="644">
        <v>5.3999999999999999E-2</v>
      </c>
      <c r="BH23" s="644">
        <v>0.126</v>
      </c>
      <c r="BI23" s="644">
        <v>0.28799999999999998</v>
      </c>
      <c r="BJ23" s="644">
        <v>2.3E-2</v>
      </c>
      <c r="BK23" s="644">
        <v>5.1999999999999998E-2</v>
      </c>
      <c r="BL23" s="644">
        <v>0.26900000000000002</v>
      </c>
      <c r="BM23" s="644">
        <v>2.9000000000000001E-2</v>
      </c>
      <c r="BN23" s="644">
        <v>2E-3</v>
      </c>
      <c r="BO23" s="644">
        <v>6.9000000000000006E-2</v>
      </c>
      <c r="BP23" s="644">
        <v>206.154</v>
      </c>
      <c r="BQ23" s="644">
        <v>123.66200000000001</v>
      </c>
      <c r="BR23" s="644">
        <v>119.548</v>
      </c>
      <c r="BS23" s="644">
        <v>141.09899999999999</v>
      </c>
      <c r="BT23" s="644" t="s">
        <v>1069</v>
      </c>
      <c r="BU23" s="644" t="s">
        <v>1069</v>
      </c>
      <c r="BV23" s="644">
        <v>0.83799999999999997</v>
      </c>
      <c r="BW23" s="644">
        <v>0.76</v>
      </c>
      <c r="BX23" s="644">
        <v>0.95499999999999996</v>
      </c>
      <c r="BY23" s="644">
        <v>1357.299</v>
      </c>
      <c r="BZ23" s="644">
        <v>0.106</v>
      </c>
      <c r="CA23" s="644">
        <v>1.4999999999999999E-2</v>
      </c>
      <c r="CB23" s="644">
        <v>1364.366</v>
      </c>
      <c r="CC23" s="644" t="s">
        <v>1069</v>
      </c>
      <c r="CD23" s="643">
        <v>29968363.265000001</v>
      </c>
      <c r="CE23" s="643">
        <v>229947.18</v>
      </c>
      <c r="CF23" s="643">
        <v>141430694.97600001</v>
      </c>
      <c r="CG23" s="643">
        <v>104656850</v>
      </c>
      <c r="CH23" s="643">
        <v>4084335</v>
      </c>
      <c r="CI23" s="643">
        <v>2768180.9350000001</v>
      </c>
      <c r="CJ23" s="643">
        <v>2887662</v>
      </c>
      <c r="CK23" s="643">
        <v>2283423.2000000002</v>
      </c>
      <c r="CL23" s="643">
        <v>0</v>
      </c>
      <c r="CM23" s="643">
        <v>2111491.1159999999</v>
      </c>
      <c r="CN23" s="643">
        <v>-5700</v>
      </c>
      <c r="CO23" s="643">
        <v>278391646.537</v>
      </c>
      <c r="CP23" s="643">
        <v>12023601.135</v>
      </c>
      <c r="CQ23" s="643">
        <v>7939266.1349999998</v>
      </c>
      <c r="CR23" s="643">
        <v>176502977.472</v>
      </c>
      <c r="CS23" s="643">
        <v>113912270.2</v>
      </c>
      <c r="CT23" s="694">
        <v>0.10319142505508801</v>
      </c>
      <c r="CU23" s="694">
        <v>7.9178755882578996E-4</v>
      </c>
      <c r="CV23" s="694">
        <v>0.48699472947692601</v>
      </c>
      <c r="CW23" s="694">
        <v>0.36036968044529599</v>
      </c>
      <c r="CX23" s="694">
        <v>1.4063776033594899E-2</v>
      </c>
      <c r="CY23" s="694">
        <v>9.5318030206403993E-3</v>
      </c>
      <c r="CZ23" s="694">
        <v>9.9432175932490097E-3</v>
      </c>
      <c r="DA23" s="694">
        <v>7.8626147156671908E-3</v>
      </c>
      <c r="DB23" s="694">
        <v>0</v>
      </c>
      <c r="DC23" s="694">
        <v>7.2705931693529896E-3</v>
      </c>
      <c r="DD23" s="694">
        <v>0</v>
      </c>
      <c r="DE23" s="694">
        <v>0.95859858863684899</v>
      </c>
      <c r="DF23" s="694">
        <v>4.1401411363151501E-2</v>
      </c>
      <c r="DG23" s="694">
        <v>2.73376353295566E-2</v>
      </c>
      <c r="DH23" s="694">
        <v>0.60776071121219299</v>
      </c>
      <c r="DI23" s="694">
        <v>0.39223928878780701</v>
      </c>
      <c r="DJ23" s="416"/>
      <c r="DK23" s="417">
        <f t="shared" si="6"/>
        <v>4852.7211499276991</v>
      </c>
      <c r="DL23" s="417">
        <f t="shared" si="7"/>
        <v>7817.2559692131063</v>
      </c>
      <c r="DM23" s="417">
        <f t="shared" si="8"/>
        <v>9619.4799396168637</v>
      </c>
      <c r="DN23" s="417">
        <f t="shared" si="9"/>
        <v>10836.229226694606</v>
      </c>
      <c r="DO23" s="417">
        <f t="shared" si="10"/>
        <v>12921.867671556338</v>
      </c>
      <c r="DP23" s="417">
        <f t="shared" si="11"/>
        <v>7126.8193528959073</v>
      </c>
      <c r="DQ23" s="417"/>
      <c r="DR23" s="417">
        <v>969.40140163403612</v>
      </c>
      <c r="DS23" s="409"/>
      <c r="DT23" s="419"/>
    </row>
    <row r="24" spans="1:124" ht="13" x14ac:dyDescent="0.3">
      <c r="A24" s="194">
        <v>33</v>
      </c>
      <c r="B24" s="409">
        <v>76</v>
      </c>
      <c r="C24" s="458" t="s">
        <v>379</v>
      </c>
      <c r="E24" s="643">
        <v>29832.6</v>
      </c>
      <c r="F24" s="643">
        <v>669319419.37100005</v>
      </c>
      <c r="G24" s="643">
        <v>301127107.95599997</v>
      </c>
      <c r="H24" s="643">
        <v>94434453.761000007</v>
      </c>
      <c r="I24" s="643">
        <v>40171986.693000004</v>
      </c>
      <c r="J24" s="643">
        <v>33690.953999999998</v>
      </c>
      <c r="K24" s="643">
        <v>14680.485000000001</v>
      </c>
      <c r="L24" s="643">
        <v>54038.381000000001</v>
      </c>
      <c r="M24" s="643">
        <v>57324576.651000001</v>
      </c>
      <c r="N24" s="643">
        <v>10880447.448000001</v>
      </c>
      <c r="O24" s="643">
        <v>1552375.9080000001</v>
      </c>
      <c r="P24" s="643">
        <v>57691886.252999999</v>
      </c>
      <c r="Q24" s="643" t="s">
        <v>1069</v>
      </c>
      <c r="R24" s="644">
        <v>0.71399999999999997</v>
      </c>
      <c r="S24" s="644">
        <v>0.73099999999999998</v>
      </c>
      <c r="T24" s="644">
        <v>1.1439999999999999</v>
      </c>
      <c r="U24" s="644">
        <v>1214.0609999999999</v>
      </c>
      <c r="V24" s="644">
        <v>0.115</v>
      </c>
      <c r="W24" s="644">
        <v>1.6E-2</v>
      </c>
      <c r="X24" s="644">
        <v>1221.8399999999999</v>
      </c>
      <c r="Y24" s="644" t="s">
        <v>1069</v>
      </c>
      <c r="Z24" s="644">
        <v>0.10100000000000001</v>
      </c>
      <c r="AA24" s="644">
        <v>9.8000000000000004E-2</v>
      </c>
      <c r="AB24" s="644">
        <v>0.161</v>
      </c>
      <c r="AC24" s="644">
        <v>171.292</v>
      </c>
      <c r="AD24" s="644" t="s">
        <v>1069</v>
      </c>
      <c r="AE24" s="644">
        <v>0.95799999999999996</v>
      </c>
      <c r="AF24" s="644">
        <v>0.98199999999999998</v>
      </c>
      <c r="AG24" s="644">
        <v>1.5369999999999999</v>
      </c>
      <c r="AH24" s="644">
        <v>1630.8</v>
      </c>
      <c r="AI24" s="644">
        <v>0.155</v>
      </c>
      <c r="AJ24" s="644">
        <v>2.1999999999999999E-2</v>
      </c>
      <c r="AK24" s="644" t="s">
        <v>1069</v>
      </c>
      <c r="AL24" s="644">
        <v>1.2589999999999999</v>
      </c>
      <c r="AM24" s="644">
        <v>12.382</v>
      </c>
      <c r="AN24" s="644">
        <v>0.44800000000000001</v>
      </c>
      <c r="AO24" s="644">
        <v>0.93200000000000005</v>
      </c>
      <c r="AP24" s="644">
        <v>1.2430000000000001</v>
      </c>
      <c r="AQ24" s="644">
        <v>12.78</v>
      </c>
      <c r="AR24" s="644">
        <v>0.44</v>
      </c>
      <c r="AS24" s="644">
        <v>0.92100000000000004</v>
      </c>
      <c r="AT24" s="644">
        <v>2.73</v>
      </c>
      <c r="AU24" s="644">
        <v>1.99</v>
      </c>
      <c r="AV24" s="644">
        <v>4.5999999999999999E-2</v>
      </c>
      <c r="AW24" s="644">
        <v>1.5569999999999999</v>
      </c>
      <c r="AX24" s="644">
        <v>2239.212</v>
      </c>
      <c r="AY24" s="644">
        <v>1735.3910000000001</v>
      </c>
      <c r="AZ24" s="644">
        <v>910.40700000000004</v>
      </c>
      <c r="BA24" s="644">
        <v>1658.2760000000001</v>
      </c>
      <c r="BB24" s="644" t="s">
        <v>1069</v>
      </c>
      <c r="BC24" s="644" t="s">
        <v>1069</v>
      </c>
      <c r="BD24" s="644">
        <v>0.11700000000000001</v>
      </c>
      <c r="BE24" s="644">
        <v>1.43</v>
      </c>
      <c r="BF24" s="644">
        <v>5.8000000000000003E-2</v>
      </c>
      <c r="BG24" s="644">
        <v>9.9000000000000005E-2</v>
      </c>
      <c r="BH24" s="644">
        <v>0.115</v>
      </c>
      <c r="BI24" s="644">
        <v>1.4930000000000001</v>
      </c>
      <c r="BJ24" s="644">
        <v>5.5E-2</v>
      </c>
      <c r="BK24" s="644">
        <v>9.6000000000000002E-2</v>
      </c>
      <c r="BL24" s="644">
        <v>0.254</v>
      </c>
      <c r="BM24" s="644">
        <v>0.23</v>
      </c>
      <c r="BN24" s="644">
        <v>6.0000000000000001E-3</v>
      </c>
      <c r="BO24" s="644">
        <v>0.16600000000000001</v>
      </c>
      <c r="BP24" s="644">
        <v>208.512</v>
      </c>
      <c r="BQ24" s="644">
        <v>200.47300000000001</v>
      </c>
      <c r="BR24" s="644">
        <v>118.273</v>
      </c>
      <c r="BS24" s="644">
        <v>176.28100000000001</v>
      </c>
      <c r="BT24" s="644" t="s">
        <v>1069</v>
      </c>
      <c r="BU24" s="644" t="s">
        <v>1069</v>
      </c>
      <c r="BV24" s="644">
        <v>1.079</v>
      </c>
      <c r="BW24" s="644">
        <v>1.07</v>
      </c>
      <c r="BX24" s="644">
        <v>1.8160000000000001</v>
      </c>
      <c r="BY24" s="644">
        <v>1717.019</v>
      </c>
      <c r="BZ24" s="644">
        <v>0.16</v>
      </c>
      <c r="CA24" s="644">
        <v>2.3E-2</v>
      </c>
      <c r="CB24" s="644">
        <v>1727.848</v>
      </c>
      <c r="CC24" s="644" t="s">
        <v>1069</v>
      </c>
      <c r="CD24" s="643">
        <v>37052568.096000001</v>
      </c>
      <c r="CE24" s="643">
        <v>1140612.55</v>
      </c>
      <c r="CF24" s="643">
        <v>29382461.173</v>
      </c>
      <c r="CG24" s="643">
        <v>16384335</v>
      </c>
      <c r="CH24" s="643">
        <v>-261038</v>
      </c>
      <c r="CI24" s="643">
        <v>1422695.716</v>
      </c>
      <c r="CJ24" s="643">
        <v>7629388</v>
      </c>
      <c r="CK24" s="643">
        <v>379374</v>
      </c>
      <c r="CL24" s="643">
        <v>0</v>
      </c>
      <c r="CM24" s="643">
        <v>1304140.1370000001</v>
      </c>
      <c r="CN24" s="643">
        <v>-83</v>
      </c>
      <c r="CO24" s="643">
        <v>85264033.956</v>
      </c>
      <c r="CP24" s="643">
        <v>9170419.716</v>
      </c>
      <c r="CQ24" s="643">
        <v>9431457.716</v>
      </c>
      <c r="CR24" s="643">
        <v>70302394.672000006</v>
      </c>
      <c r="CS24" s="643">
        <v>24132059</v>
      </c>
      <c r="CT24" s="694">
        <v>0.39128122618910099</v>
      </c>
      <c r="CU24" s="694">
        <v>1.20450565265639E-2</v>
      </c>
      <c r="CV24" s="694">
        <v>0.31028363287634703</v>
      </c>
      <c r="CW24" s="694">
        <v>0.173021278106364</v>
      </c>
      <c r="CX24" s="694">
        <v>0</v>
      </c>
      <c r="CY24" s="694">
        <v>1.50239012531646E-2</v>
      </c>
      <c r="CZ24" s="694">
        <v>8.0567594774481693E-2</v>
      </c>
      <c r="DA24" s="694">
        <v>4.0062519693551098E-3</v>
      </c>
      <c r="DB24" s="694">
        <v>0</v>
      </c>
      <c r="DC24" s="694">
        <v>1.37719347983027E-2</v>
      </c>
      <c r="DD24" s="694">
        <v>0</v>
      </c>
      <c r="DE24" s="694">
        <v>0.90289116567718297</v>
      </c>
      <c r="DF24" s="694">
        <v>9.7108834322817195E-2</v>
      </c>
      <c r="DG24" s="694">
        <v>9.9597747997001398E-2</v>
      </c>
      <c r="DH24" s="694">
        <v>0.74445704865495299</v>
      </c>
      <c r="DI24" s="694">
        <v>0.25554295134504701</v>
      </c>
      <c r="DJ24" s="416"/>
      <c r="DK24" s="417">
        <f t="shared" si="6"/>
        <v>7087.6612583046335</v>
      </c>
      <c r="DL24" s="417">
        <f t="shared" si="7"/>
        <v>9407.0035908577775</v>
      </c>
      <c r="DM24" s="417">
        <f t="shared" si="8"/>
        <v>9740.2385963319921</v>
      </c>
      <c r="DN24" s="417">
        <f t="shared" si="9"/>
        <v>10739.007826887662</v>
      </c>
      <c r="DO24" s="417">
        <f t="shared" si="10"/>
        <v>8656.4824190788786</v>
      </c>
      <c r="DP24" s="417">
        <f t="shared" si="11"/>
        <v>7697.5049250462916</v>
      </c>
      <c r="DQ24" s="417"/>
      <c r="DR24" s="417">
        <v>1222.0127064439494</v>
      </c>
      <c r="DS24" s="409"/>
      <c r="DT24" s="419"/>
    </row>
    <row r="25" spans="1:124" ht="13" x14ac:dyDescent="0.3">
      <c r="A25" s="194">
        <v>34</v>
      </c>
      <c r="B25" s="409">
        <v>77</v>
      </c>
      <c r="C25" s="458" t="s">
        <v>380</v>
      </c>
      <c r="E25" s="643">
        <v>138789.70000000001</v>
      </c>
      <c r="F25" s="643">
        <v>3128162475.0679998</v>
      </c>
      <c r="G25" s="643">
        <v>1476385836.0669999</v>
      </c>
      <c r="H25" s="643">
        <v>521426349.759</v>
      </c>
      <c r="I25" s="643">
        <v>230451464.25299999</v>
      </c>
      <c r="J25" s="643">
        <v>149082.22899999999</v>
      </c>
      <c r="K25" s="643">
        <v>60919.684000000001</v>
      </c>
      <c r="L25" s="643">
        <v>177388.18299999999</v>
      </c>
      <c r="M25" s="643">
        <v>272740309.949</v>
      </c>
      <c r="N25" s="643">
        <v>49372302.410999998</v>
      </c>
      <c r="O25" s="643">
        <v>7086179.3099999996</v>
      </c>
      <c r="P25" s="643">
        <v>274411838.70499998</v>
      </c>
      <c r="Q25" s="643" t="s">
        <v>1069</v>
      </c>
      <c r="R25" s="644">
        <v>0.57199999999999995</v>
      </c>
      <c r="S25" s="644">
        <v>0.52900000000000003</v>
      </c>
      <c r="T25" s="644">
        <v>0.68</v>
      </c>
      <c r="U25" s="644">
        <v>1046.1320000000001</v>
      </c>
      <c r="V25" s="644">
        <v>9.5000000000000001E-2</v>
      </c>
      <c r="W25" s="644">
        <v>1.4E-2</v>
      </c>
      <c r="X25" s="644">
        <v>1052.5429999999999</v>
      </c>
      <c r="Y25" s="644" t="s">
        <v>1069</v>
      </c>
      <c r="Z25" s="644">
        <v>9.5000000000000001E-2</v>
      </c>
      <c r="AA25" s="644">
        <v>8.3000000000000004E-2</v>
      </c>
      <c r="AB25" s="644">
        <v>0.113</v>
      </c>
      <c r="AC25" s="644">
        <v>174.37700000000001</v>
      </c>
      <c r="AD25" s="644" t="s">
        <v>1069</v>
      </c>
      <c r="AE25" s="644">
        <v>0.88100000000000001</v>
      </c>
      <c r="AF25" s="644">
        <v>0.81399999999999995</v>
      </c>
      <c r="AG25" s="644">
        <v>1.048</v>
      </c>
      <c r="AH25" s="644">
        <v>1611.2460000000001</v>
      </c>
      <c r="AI25" s="644">
        <v>0.14599999999999999</v>
      </c>
      <c r="AJ25" s="644">
        <v>2.1000000000000001E-2</v>
      </c>
      <c r="AK25" s="644" t="s">
        <v>1069</v>
      </c>
      <c r="AL25" s="644">
        <v>1.246</v>
      </c>
      <c r="AM25" s="644">
        <v>1.5049999999999999</v>
      </c>
      <c r="AN25" s="644">
        <v>0.35299999999999998</v>
      </c>
      <c r="AO25" s="644">
        <v>0.86799999999999999</v>
      </c>
      <c r="AP25" s="644">
        <v>1.0189999999999999</v>
      </c>
      <c r="AQ25" s="644">
        <v>1.3879999999999999</v>
      </c>
      <c r="AR25" s="644">
        <v>0.38700000000000001</v>
      </c>
      <c r="AS25" s="644">
        <v>0.77500000000000002</v>
      </c>
      <c r="AT25" s="644">
        <v>1.8149999999999999</v>
      </c>
      <c r="AU25" s="644">
        <v>3.5179999999999998</v>
      </c>
      <c r="AV25" s="644">
        <v>2.1000000000000001E-2</v>
      </c>
      <c r="AW25" s="644">
        <v>1.0569999999999999</v>
      </c>
      <c r="AX25" s="644">
        <v>2158.192</v>
      </c>
      <c r="AY25" s="644">
        <v>2476.5160000000001</v>
      </c>
      <c r="AZ25" s="644">
        <v>904.66099999999994</v>
      </c>
      <c r="BA25" s="644">
        <v>1629.8689999999999</v>
      </c>
      <c r="BB25" s="644" t="s">
        <v>1069</v>
      </c>
      <c r="BC25" s="644" t="s">
        <v>1069</v>
      </c>
      <c r="BD25" s="644">
        <v>0.11899999999999999</v>
      </c>
      <c r="BE25" s="644">
        <v>0.115</v>
      </c>
      <c r="BF25" s="644">
        <v>4.5999999999999999E-2</v>
      </c>
      <c r="BG25" s="644">
        <v>9.4E-2</v>
      </c>
      <c r="BH25" s="644">
        <v>9.7000000000000003E-2</v>
      </c>
      <c r="BI25" s="644">
        <v>0.107</v>
      </c>
      <c r="BJ25" s="644">
        <v>4.9000000000000002E-2</v>
      </c>
      <c r="BK25" s="644">
        <v>8.2000000000000003E-2</v>
      </c>
      <c r="BL25" s="644">
        <v>0.17299999999999999</v>
      </c>
      <c r="BM25" s="644">
        <v>0.26800000000000002</v>
      </c>
      <c r="BN25" s="644">
        <v>3.0000000000000001E-3</v>
      </c>
      <c r="BO25" s="644">
        <v>0.114</v>
      </c>
      <c r="BP25" s="644">
        <v>206.203</v>
      </c>
      <c r="BQ25" s="644">
        <v>188.75399999999999</v>
      </c>
      <c r="BR25" s="644">
        <v>118.628</v>
      </c>
      <c r="BS25" s="644">
        <v>176.018</v>
      </c>
      <c r="BT25" s="644" t="s">
        <v>1069</v>
      </c>
      <c r="BU25" s="644" t="s">
        <v>1069</v>
      </c>
      <c r="BV25" s="644">
        <v>1.0549999999999999</v>
      </c>
      <c r="BW25" s="644">
        <v>0.95499999999999996</v>
      </c>
      <c r="BX25" s="644">
        <v>1.1279999999999999</v>
      </c>
      <c r="BY25" s="644">
        <v>1798.8309999999999</v>
      </c>
      <c r="BZ25" s="644">
        <v>0.17199999999999999</v>
      </c>
      <c r="CA25" s="644">
        <v>2.5000000000000001E-2</v>
      </c>
      <c r="CB25" s="644">
        <v>1810.499</v>
      </c>
      <c r="CC25" s="644" t="s">
        <v>1069</v>
      </c>
      <c r="CD25" s="643">
        <v>185455630.354</v>
      </c>
      <c r="CE25" s="643">
        <v>1497490.0049999999</v>
      </c>
      <c r="CF25" s="643">
        <v>144627913.23800001</v>
      </c>
      <c r="CG25" s="643">
        <v>148434331</v>
      </c>
      <c r="CH25" s="643">
        <v>5655220.1200000001</v>
      </c>
      <c r="CI25" s="643">
        <v>2637129.4240000001</v>
      </c>
      <c r="CJ25" s="643">
        <v>26977478.829999998</v>
      </c>
      <c r="CK25" s="643">
        <v>1813492.2</v>
      </c>
      <c r="CL25" s="643">
        <v>0</v>
      </c>
      <c r="CM25" s="643">
        <v>3901786.7149999999</v>
      </c>
      <c r="CN25" s="643">
        <v>425879.946</v>
      </c>
      <c r="CO25" s="643">
        <v>484343031.25800002</v>
      </c>
      <c r="CP25" s="643">
        <v>37083320.574000001</v>
      </c>
      <c r="CQ25" s="643">
        <v>31428100.454</v>
      </c>
      <c r="CR25" s="643">
        <v>338545829.68199998</v>
      </c>
      <c r="CS25" s="643">
        <v>182880522.15000001</v>
      </c>
      <c r="CT25" s="694">
        <v>0.355669846187123</v>
      </c>
      <c r="CU25" s="694">
        <v>2.8719108647628998E-3</v>
      </c>
      <c r="CV25" s="694">
        <v>0.27736978142715402</v>
      </c>
      <c r="CW25" s="694">
        <v>0.28466979177113899</v>
      </c>
      <c r="CX25" s="694">
        <v>1.08456737948336E-2</v>
      </c>
      <c r="CY25" s="694">
        <v>5.0575300130777899E-3</v>
      </c>
      <c r="CZ25" s="694">
        <v>5.1737850868519099E-2</v>
      </c>
      <c r="DA25" s="694">
        <v>3.4779450513546298E-3</v>
      </c>
      <c r="DB25" s="694">
        <v>0</v>
      </c>
      <c r="DC25" s="694">
        <v>7.48291048446498E-3</v>
      </c>
      <c r="DD25" s="694">
        <v>8.1675953757169497E-4</v>
      </c>
      <c r="DE25" s="694">
        <v>0.92888100027221499</v>
      </c>
      <c r="DF25" s="694">
        <v>7.1118999727785098E-2</v>
      </c>
      <c r="DG25" s="694">
        <v>6.0273325932951601E-2</v>
      </c>
      <c r="DH25" s="694">
        <v>0.64926873851415401</v>
      </c>
      <c r="DI25" s="694">
        <v>0.35073126148584599</v>
      </c>
      <c r="DJ25" s="416"/>
      <c r="DK25" s="417">
        <f t="shared" si="6"/>
        <v>5999.2412667940871</v>
      </c>
      <c r="DL25" s="417">
        <f t="shared" si="7"/>
        <v>9259.6723062414076</v>
      </c>
      <c r="DM25" s="417">
        <f t="shared" si="8"/>
        <v>10219.585496937812</v>
      </c>
      <c r="DN25" s="417">
        <f t="shared" si="9"/>
        <v>10466.346270422835</v>
      </c>
      <c r="DO25" s="417">
        <f t="shared" si="10"/>
        <v>13120.336522669719</v>
      </c>
      <c r="DP25" s="417">
        <f t="shared" si="11"/>
        <v>7626.0326398489387</v>
      </c>
      <c r="DQ25" s="417"/>
      <c r="DR25" s="417">
        <v>989.5555599227016</v>
      </c>
      <c r="DS25" s="409"/>
      <c r="DT25" s="419"/>
    </row>
    <row r="26" spans="1:124" ht="13" x14ac:dyDescent="0.3">
      <c r="A26" s="194">
        <v>35</v>
      </c>
      <c r="B26" s="409">
        <v>87</v>
      </c>
      <c r="C26" s="458" t="s">
        <v>381</v>
      </c>
      <c r="E26" s="643">
        <v>23374</v>
      </c>
      <c r="F26" s="643">
        <v>425286051.51200002</v>
      </c>
      <c r="G26" s="643">
        <v>192532118.917</v>
      </c>
      <c r="H26" s="643">
        <v>66044054.329999998</v>
      </c>
      <c r="I26" s="643">
        <v>29000429.671</v>
      </c>
      <c r="J26" s="643">
        <v>20067.966</v>
      </c>
      <c r="K26" s="643">
        <v>8572.5239999999994</v>
      </c>
      <c r="L26" s="643">
        <v>11353.271000000001</v>
      </c>
      <c r="M26" s="643">
        <v>38267891.984999999</v>
      </c>
      <c r="N26" s="643">
        <v>7185952.8899999997</v>
      </c>
      <c r="O26" s="643">
        <v>1030736.8540000001</v>
      </c>
      <c r="P26" s="643">
        <v>38511296.163000003</v>
      </c>
      <c r="Q26" s="643" t="s">
        <v>1069</v>
      </c>
      <c r="R26" s="644">
        <v>0.60799999999999998</v>
      </c>
      <c r="S26" s="644">
        <v>0.59099999999999997</v>
      </c>
      <c r="T26" s="644">
        <v>0.34399999999999997</v>
      </c>
      <c r="U26" s="644">
        <v>1158.8599999999999</v>
      </c>
      <c r="V26" s="644">
        <v>0.109</v>
      </c>
      <c r="W26" s="644">
        <v>1.6E-2</v>
      </c>
      <c r="X26" s="644">
        <v>1166.231</v>
      </c>
      <c r="Y26" s="644" t="s">
        <v>1069</v>
      </c>
      <c r="Z26" s="644">
        <v>9.4E-2</v>
      </c>
      <c r="AA26" s="644">
        <v>8.8999999999999996E-2</v>
      </c>
      <c r="AB26" s="644">
        <v>5.2999999999999999E-2</v>
      </c>
      <c r="AC26" s="644">
        <v>179.96299999999999</v>
      </c>
      <c r="AD26" s="644" t="s">
        <v>1069</v>
      </c>
      <c r="AE26" s="644">
        <v>0.96499999999999997</v>
      </c>
      <c r="AF26" s="644">
        <v>0.93799999999999994</v>
      </c>
      <c r="AG26" s="644">
        <v>0.54600000000000004</v>
      </c>
      <c r="AH26" s="644">
        <v>1839.4649999999999</v>
      </c>
      <c r="AI26" s="644">
        <v>0.17299999999999999</v>
      </c>
      <c r="AJ26" s="644">
        <v>2.5000000000000001E-2</v>
      </c>
      <c r="AK26" s="644" t="s">
        <v>1069</v>
      </c>
      <c r="AL26" s="644">
        <v>1.2250000000000001</v>
      </c>
      <c r="AM26" s="644">
        <v>22.788</v>
      </c>
      <c r="AN26" s="644">
        <v>0.47099999999999997</v>
      </c>
      <c r="AO26" s="644">
        <v>0.96099999999999997</v>
      </c>
      <c r="AP26" s="644">
        <v>1.1579999999999999</v>
      </c>
      <c r="AQ26" s="644">
        <v>23.908000000000001</v>
      </c>
      <c r="AR26" s="644">
        <v>0.47399999999999998</v>
      </c>
      <c r="AS26" s="644">
        <v>0.89700000000000002</v>
      </c>
      <c r="AT26" s="644">
        <v>0.84299999999999997</v>
      </c>
      <c r="AU26" s="644">
        <v>4.3040000000000003</v>
      </c>
      <c r="AV26" s="644">
        <v>1.7999999999999999E-2</v>
      </c>
      <c r="AW26" s="644">
        <v>0.54800000000000004</v>
      </c>
      <c r="AX26" s="644">
        <v>2284.5230000000001</v>
      </c>
      <c r="AY26" s="644">
        <v>2324.5940000000001</v>
      </c>
      <c r="AZ26" s="644">
        <v>1071.104</v>
      </c>
      <c r="BA26" s="644">
        <v>1849.4349999999999</v>
      </c>
      <c r="BB26" s="644" t="s">
        <v>1069</v>
      </c>
      <c r="BC26" s="644" t="s">
        <v>1069</v>
      </c>
      <c r="BD26" s="644">
        <v>0.111</v>
      </c>
      <c r="BE26" s="644">
        <v>1.601</v>
      </c>
      <c r="BF26" s="644">
        <v>5.2999999999999999E-2</v>
      </c>
      <c r="BG26" s="644">
        <v>9.4E-2</v>
      </c>
      <c r="BH26" s="644">
        <v>0.106</v>
      </c>
      <c r="BI26" s="644">
        <v>1.615</v>
      </c>
      <c r="BJ26" s="644">
        <v>5.3999999999999999E-2</v>
      </c>
      <c r="BK26" s="644">
        <v>8.8999999999999996E-2</v>
      </c>
      <c r="BL26" s="644">
        <v>7.6999999999999999E-2</v>
      </c>
      <c r="BM26" s="644">
        <v>0.30199999999999999</v>
      </c>
      <c r="BN26" s="644">
        <v>2E-3</v>
      </c>
      <c r="BO26" s="644">
        <v>5.3999999999999999E-2</v>
      </c>
      <c r="BP26" s="644">
        <v>207.64500000000001</v>
      </c>
      <c r="BQ26" s="644">
        <v>163.32599999999999</v>
      </c>
      <c r="BR26" s="644">
        <v>121.134</v>
      </c>
      <c r="BS26" s="644">
        <v>180.81200000000001</v>
      </c>
      <c r="BT26" s="644" t="s">
        <v>1069</v>
      </c>
      <c r="BU26" s="644" t="s">
        <v>1069</v>
      </c>
      <c r="BV26" s="644">
        <v>0.85899999999999999</v>
      </c>
      <c r="BW26" s="644">
        <v>0.80700000000000005</v>
      </c>
      <c r="BX26" s="644">
        <v>0.40200000000000002</v>
      </c>
      <c r="BY26" s="644">
        <v>1614.2049999999999</v>
      </c>
      <c r="BZ26" s="644">
        <v>0.128</v>
      </c>
      <c r="CA26" s="644">
        <v>1.7999999999999999E-2</v>
      </c>
      <c r="CB26" s="644">
        <v>1622.8040000000001</v>
      </c>
      <c r="CC26" s="644" t="s">
        <v>1069</v>
      </c>
      <c r="CD26" s="643">
        <v>26212803.59</v>
      </c>
      <c r="CE26" s="643">
        <v>27853.383000000002</v>
      </c>
      <c r="CF26" s="643">
        <v>15136584.033</v>
      </c>
      <c r="CG26" s="643">
        <v>0</v>
      </c>
      <c r="CH26" s="643">
        <v>6218312</v>
      </c>
      <c r="CI26" s="643">
        <v>169082.42199999999</v>
      </c>
      <c r="CJ26" s="643">
        <v>16494058</v>
      </c>
      <c r="CK26" s="643">
        <v>1724050.95</v>
      </c>
      <c r="CL26" s="643">
        <v>0</v>
      </c>
      <c r="CM26" s="643">
        <v>6452</v>
      </c>
      <c r="CN26" s="643">
        <v>54858</v>
      </c>
      <c r="CO26" s="643">
        <v>41438551.005999997</v>
      </c>
      <c r="CP26" s="643">
        <v>24605503.372000001</v>
      </c>
      <c r="CQ26" s="643">
        <v>18387191.372000001</v>
      </c>
      <c r="CR26" s="643">
        <v>41607633.428000003</v>
      </c>
      <c r="CS26" s="643">
        <v>24436420.949999999</v>
      </c>
      <c r="CT26" s="694">
        <v>0.39689876457269402</v>
      </c>
      <c r="CU26" s="694">
        <v>4.2173944743886398E-4</v>
      </c>
      <c r="CV26" s="694">
        <v>0.22918920068665799</v>
      </c>
      <c r="CW26" s="694">
        <v>0</v>
      </c>
      <c r="CX26" s="694">
        <v>9.4154001576126606E-2</v>
      </c>
      <c r="CY26" s="694">
        <v>2.56014600545667E-3</v>
      </c>
      <c r="CZ26" s="694">
        <v>0.24974326841894101</v>
      </c>
      <c r="DA26" s="694">
        <v>2.6104559543429499E-2</v>
      </c>
      <c r="DB26" s="694">
        <v>0</v>
      </c>
      <c r="DC26" s="694">
        <v>9.7692367023264305E-5</v>
      </c>
      <c r="DD26" s="694">
        <v>8.3062738223221204E-4</v>
      </c>
      <c r="DE26" s="694">
        <v>0.62743802445604602</v>
      </c>
      <c r="DF26" s="694">
        <v>0.37256197554395398</v>
      </c>
      <c r="DG26" s="694">
        <v>0.27840797396782702</v>
      </c>
      <c r="DH26" s="694">
        <v>0.62999817046150297</v>
      </c>
      <c r="DI26" s="694">
        <v>0.37000182953849697</v>
      </c>
      <c r="DJ26" s="416"/>
      <c r="DK26" s="417">
        <f>(F26/H26)*1000</f>
        <v>6439.4297991911308</v>
      </c>
      <c r="DL26" s="417">
        <f>(BA26/BS26)*1000</f>
        <v>10228.497002411343</v>
      </c>
      <c r="DM26" s="417">
        <f>(BY26/BS26)*1000</f>
        <v>8927.5324646594254</v>
      </c>
      <c r="DN26" s="417">
        <f t="shared" ref="DN26:DP29" si="14">IFERROR((AX26/BP26)*1000,"-")</f>
        <v>11002.061210238628</v>
      </c>
      <c r="DO26" s="417">
        <f t="shared" si="14"/>
        <v>14232.847189057467</v>
      </c>
      <c r="DP26" s="417">
        <f t="shared" si="14"/>
        <v>8842.3068667756361</v>
      </c>
      <c r="DQ26" s="417"/>
      <c r="DR26" s="417">
        <v>1742.7477683760681</v>
      </c>
      <c r="DS26" s="409"/>
      <c r="DT26" s="419"/>
    </row>
    <row r="27" spans="1:124" ht="13" x14ac:dyDescent="0.3">
      <c r="A27" s="194">
        <v>36</v>
      </c>
      <c r="B27" s="409">
        <v>83</v>
      </c>
      <c r="C27" s="458" t="s">
        <v>382</v>
      </c>
      <c r="E27" s="643">
        <v>26827.8</v>
      </c>
      <c r="F27" s="643">
        <v>374325907.37300003</v>
      </c>
      <c r="G27" s="643">
        <v>189646670.123</v>
      </c>
      <c r="H27" s="643">
        <v>73370170.813999996</v>
      </c>
      <c r="I27" s="643">
        <v>33162072.291000001</v>
      </c>
      <c r="J27" s="643">
        <v>19938.793000000001</v>
      </c>
      <c r="K27" s="643">
        <v>9277.7610000000004</v>
      </c>
      <c r="L27" s="643">
        <v>6381.5510000000004</v>
      </c>
      <c r="M27" s="643">
        <v>36381644.853</v>
      </c>
      <c r="N27" s="643">
        <v>7929750.6689999998</v>
      </c>
      <c r="O27" s="643">
        <v>1148887.594</v>
      </c>
      <c r="P27" s="643">
        <v>36651950.989</v>
      </c>
      <c r="Q27" s="643" t="s">
        <v>1069</v>
      </c>
      <c r="R27" s="644">
        <v>0.54400000000000004</v>
      </c>
      <c r="S27" s="644">
        <v>0.56000000000000005</v>
      </c>
      <c r="T27" s="644">
        <v>0.17399999999999999</v>
      </c>
      <c r="U27" s="644">
        <v>991.72900000000004</v>
      </c>
      <c r="V27" s="644">
        <v>0.108</v>
      </c>
      <c r="W27" s="644">
        <v>1.6E-2</v>
      </c>
      <c r="X27" s="644">
        <v>999.09699999999998</v>
      </c>
      <c r="Y27" s="644" t="s">
        <v>1069</v>
      </c>
      <c r="Z27" s="644">
        <v>0.107</v>
      </c>
      <c r="AA27" s="644">
        <v>9.8000000000000004E-2</v>
      </c>
      <c r="AB27" s="644">
        <v>3.4000000000000002E-2</v>
      </c>
      <c r="AC27" s="644">
        <v>194.38499999999999</v>
      </c>
      <c r="AD27" s="644" t="s">
        <v>1069</v>
      </c>
      <c r="AE27" s="644">
        <v>1.073</v>
      </c>
      <c r="AF27" s="644">
        <v>1.105</v>
      </c>
      <c r="AG27" s="644">
        <v>0.34300000000000003</v>
      </c>
      <c r="AH27" s="644">
        <v>1957.8309999999999</v>
      </c>
      <c r="AI27" s="644">
        <v>0.21299999999999999</v>
      </c>
      <c r="AJ27" s="644">
        <v>3.1E-2</v>
      </c>
      <c r="AK27" s="644" t="s">
        <v>1069</v>
      </c>
      <c r="AL27" s="644">
        <v>0.96899999999999997</v>
      </c>
      <c r="AM27" s="644">
        <v>29.259</v>
      </c>
      <c r="AN27" s="644">
        <v>1.3320000000000001</v>
      </c>
      <c r="AO27" s="644">
        <v>1.075</v>
      </c>
      <c r="AP27" s="644">
        <v>0.96099999999999997</v>
      </c>
      <c r="AQ27" s="644">
        <v>25.968</v>
      </c>
      <c r="AR27" s="644">
        <v>0.98799999999999999</v>
      </c>
      <c r="AS27" s="644">
        <v>0.98199999999999998</v>
      </c>
      <c r="AT27" s="644">
        <v>0.40100000000000002</v>
      </c>
      <c r="AU27" s="644">
        <v>2.1269999999999998</v>
      </c>
      <c r="AV27" s="644">
        <v>7.3999999999999996E-2</v>
      </c>
      <c r="AW27" s="644">
        <v>0.34300000000000003</v>
      </c>
      <c r="AX27" s="644">
        <v>2170.873</v>
      </c>
      <c r="AY27" s="644">
        <v>3263.5830000000001</v>
      </c>
      <c r="AZ27" s="644">
        <v>1019.482</v>
      </c>
      <c r="BA27" s="644">
        <v>1961.5409999999999</v>
      </c>
      <c r="BB27" s="644" t="s">
        <v>1069</v>
      </c>
      <c r="BC27" s="644" t="s">
        <v>1069</v>
      </c>
      <c r="BD27" s="644">
        <v>9.2999999999999999E-2</v>
      </c>
      <c r="BE27" s="644">
        <v>1.46</v>
      </c>
      <c r="BF27" s="644">
        <v>0.156</v>
      </c>
      <c r="BG27" s="644">
        <v>0.107</v>
      </c>
      <c r="BH27" s="644">
        <v>9.2999999999999999E-2</v>
      </c>
      <c r="BI27" s="644">
        <v>1.6559999999999999</v>
      </c>
      <c r="BJ27" s="644">
        <v>0.11899999999999999</v>
      </c>
      <c r="BK27" s="644">
        <v>9.8000000000000004E-2</v>
      </c>
      <c r="BL27" s="644">
        <v>3.9E-2</v>
      </c>
      <c r="BM27" s="644">
        <v>0.106</v>
      </c>
      <c r="BN27" s="644">
        <v>8.9999999999999993E-3</v>
      </c>
      <c r="BO27" s="644">
        <v>3.4000000000000002E-2</v>
      </c>
      <c r="BP27" s="644">
        <v>208.78</v>
      </c>
      <c r="BQ27" s="644">
        <v>162.864</v>
      </c>
      <c r="BR27" s="644">
        <v>119.523</v>
      </c>
      <c r="BS27" s="644">
        <v>194.80600000000001</v>
      </c>
      <c r="BT27" s="644" t="s">
        <v>1069</v>
      </c>
      <c r="BU27" s="644" t="s">
        <v>1069</v>
      </c>
      <c r="BV27" s="644">
        <v>1.1919999999999999</v>
      </c>
      <c r="BW27" s="644">
        <v>1.042</v>
      </c>
      <c r="BX27" s="644">
        <v>0.35</v>
      </c>
      <c r="BY27" s="644">
        <v>1926.223</v>
      </c>
      <c r="BZ27" s="644">
        <v>0.20399999999999999</v>
      </c>
      <c r="CA27" s="644">
        <v>2.9000000000000001E-2</v>
      </c>
      <c r="CB27" s="644">
        <v>1940.098</v>
      </c>
      <c r="CC27" s="644" t="s">
        <v>1069</v>
      </c>
      <c r="CD27" s="643">
        <v>29795057.941</v>
      </c>
      <c r="CE27" s="643">
        <v>313592.527</v>
      </c>
      <c r="CF27" s="643">
        <v>6981816.5259999996</v>
      </c>
      <c r="CG27" s="643">
        <v>8574732</v>
      </c>
      <c r="CH27" s="643">
        <v>151476</v>
      </c>
      <c r="CI27" s="643">
        <v>69803</v>
      </c>
      <c r="CJ27" s="643">
        <v>27379680</v>
      </c>
      <c r="CK27" s="643">
        <v>99035</v>
      </c>
      <c r="CL27" s="643">
        <v>0</v>
      </c>
      <c r="CM27" s="643">
        <v>0</v>
      </c>
      <c r="CN27" s="643">
        <v>4978</v>
      </c>
      <c r="CO27" s="643">
        <v>45670176.994000003</v>
      </c>
      <c r="CP27" s="643">
        <v>27699994</v>
      </c>
      <c r="CQ27" s="643">
        <v>27548518</v>
      </c>
      <c r="CR27" s="643">
        <v>37165247.994000003</v>
      </c>
      <c r="CS27" s="643">
        <v>36204923</v>
      </c>
      <c r="CT27" s="694">
        <v>0.40609225162411799</v>
      </c>
      <c r="CU27" s="694">
        <v>4.2741147083553196E-3</v>
      </c>
      <c r="CV27" s="694">
        <v>9.5158787711847506E-2</v>
      </c>
      <c r="CW27" s="694">
        <v>0.11686945639940299</v>
      </c>
      <c r="CX27" s="694">
        <v>2.0645447318418698E-3</v>
      </c>
      <c r="CY27" s="694">
        <v>9.5138118194801899E-4</v>
      </c>
      <c r="CZ27" s="694">
        <v>0.37317181668063798</v>
      </c>
      <c r="DA27" s="694">
        <v>1.3497992257384701E-3</v>
      </c>
      <c r="DB27" s="694">
        <v>0</v>
      </c>
      <c r="DC27" s="694">
        <v>0</v>
      </c>
      <c r="DD27" s="694">
        <v>6.78477361107293E-5</v>
      </c>
      <c r="DE27" s="694">
        <v>0.62246245817983403</v>
      </c>
      <c r="DF27" s="694">
        <v>0.37753754182016602</v>
      </c>
      <c r="DG27" s="694">
        <v>0.37547299708832399</v>
      </c>
      <c r="DH27" s="694">
        <v>0.50654438296237903</v>
      </c>
      <c r="DI27" s="694">
        <v>0.49345561703762097</v>
      </c>
      <c r="DJ27" s="416"/>
      <c r="DK27" s="417">
        <f>(F27/H27)*1000</f>
        <v>5101.8813670469699</v>
      </c>
      <c r="DL27" s="417">
        <f>(BA27/BS27)*1000</f>
        <v>10069.202180630986</v>
      </c>
      <c r="DM27" s="417">
        <f>(BY27/BS27)*1000</f>
        <v>9887.9038633306973</v>
      </c>
      <c r="DN27" s="417">
        <f t="shared" si="14"/>
        <v>10397.897308171281</v>
      </c>
      <c r="DO27" s="417">
        <f t="shared" si="14"/>
        <v>20038.70100206307</v>
      </c>
      <c r="DP27" s="417">
        <f t="shared" si="14"/>
        <v>8529.5884474117956</v>
      </c>
      <c r="DQ27" s="417"/>
      <c r="DR27" s="417">
        <v>1592.9152941222237</v>
      </c>
      <c r="DS27" s="409"/>
      <c r="DT27" s="419"/>
    </row>
    <row r="28" spans="1:124" ht="13" x14ac:dyDescent="0.3">
      <c r="A28" s="194">
        <v>37</v>
      </c>
      <c r="B28" s="409">
        <v>84</v>
      </c>
      <c r="C28" s="458" t="s">
        <v>383</v>
      </c>
      <c r="E28" s="643">
        <v>56227.5</v>
      </c>
      <c r="F28" s="643">
        <v>936855526.16999996</v>
      </c>
      <c r="G28" s="643">
        <v>479824960.88599998</v>
      </c>
      <c r="H28" s="643">
        <v>148803952.984</v>
      </c>
      <c r="I28" s="643">
        <v>69497335.268000007</v>
      </c>
      <c r="J28" s="643">
        <v>57525.921999999999</v>
      </c>
      <c r="K28" s="643">
        <v>30326.584999999999</v>
      </c>
      <c r="L28" s="643">
        <v>70930.464000000007</v>
      </c>
      <c r="M28" s="643">
        <v>76753129.383000001</v>
      </c>
      <c r="N28" s="643">
        <v>11912470.204</v>
      </c>
      <c r="O28" s="643">
        <v>1720863.942</v>
      </c>
      <c r="P28" s="643">
        <v>77158443.986000001</v>
      </c>
      <c r="Q28" s="643" t="s">
        <v>1069</v>
      </c>
      <c r="R28" s="644">
        <v>0.77300000000000002</v>
      </c>
      <c r="S28" s="644">
        <v>0.873</v>
      </c>
      <c r="T28" s="644">
        <v>0.95299999999999996</v>
      </c>
      <c r="U28" s="644">
        <v>1031.6010000000001</v>
      </c>
      <c r="V28" s="644">
        <v>0.08</v>
      </c>
      <c r="W28" s="644">
        <v>1.2E-2</v>
      </c>
      <c r="X28" s="644">
        <v>1037.048</v>
      </c>
      <c r="Y28" s="644" t="s">
        <v>1069</v>
      </c>
      <c r="Z28" s="644">
        <v>0.123</v>
      </c>
      <c r="AA28" s="644">
        <v>0.126</v>
      </c>
      <c r="AB28" s="644">
        <v>0.151</v>
      </c>
      <c r="AC28" s="644">
        <v>163.85300000000001</v>
      </c>
      <c r="AD28" s="644" t="s">
        <v>1069</v>
      </c>
      <c r="AE28" s="644">
        <v>1.169</v>
      </c>
      <c r="AF28" s="644">
        <v>1.32</v>
      </c>
      <c r="AG28" s="644">
        <v>1.4410000000000001</v>
      </c>
      <c r="AH28" s="644">
        <v>1559.8019999999999</v>
      </c>
      <c r="AI28" s="644">
        <v>0.121</v>
      </c>
      <c r="AJ28" s="644">
        <v>1.7000000000000001E-2</v>
      </c>
      <c r="AK28" s="644" t="s">
        <v>1069</v>
      </c>
      <c r="AL28" s="644">
        <v>1.643</v>
      </c>
      <c r="AM28" s="644">
        <v>30.303999999999998</v>
      </c>
      <c r="AN28" s="644">
        <v>0.69599999999999995</v>
      </c>
      <c r="AO28" s="644">
        <v>1.173</v>
      </c>
      <c r="AP28" s="644">
        <v>1.698</v>
      </c>
      <c r="AQ28" s="644">
        <v>28.721</v>
      </c>
      <c r="AR28" s="644">
        <v>0.72299999999999998</v>
      </c>
      <c r="AS28" s="644">
        <v>1.2210000000000001</v>
      </c>
      <c r="AT28" s="644">
        <v>2.827</v>
      </c>
      <c r="AU28" s="644">
        <v>3.2789999999999999</v>
      </c>
      <c r="AV28" s="644">
        <v>3.1E-2</v>
      </c>
      <c r="AW28" s="644">
        <v>1.4319999999999999</v>
      </c>
      <c r="AX28" s="644">
        <v>2187.0500000000002</v>
      </c>
      <c r="AY28" s="644">
        <v>1941.71</v>
      </c>
      <c r="AZ28" s="644">
        <v>993.88199999999995</v>
      </c>
      <c r="BA28" s="644">
        <v>1591.58</v>
      </c>
      <c r="BB28" s="644" t="s">
        <v>1069</v>
      </c>
      <c r="BC28" s="644" t="s">
        <v>1069</v>
      </c>
      <c r="BD28" s="644">
        <v>0.152</v>
      </c>
      <c r="BE28" s="644">
        <v>2.5489999999999999</v>
      </c>
      <c r="BF28" s="644">
        <v>8.3000000000000004E-2</v>
      </c>
      <c r="BG28" s="644">
        <v>0.122</v>
      </c>
      <c r="BH28" s="644">
        <v>0.155</v>
      </c>
      <c r="BI28" s="644">
        <v>2.456</v>
      </c>
      <c r="BJ28" s="644">
        <v>8.5999999999999993E-2</v>
      </c>
      <c r="BK28" s="644">
        <v>0.126</v>
      </c>
      <c r="BL28" s="644">
        <v>0.26100000000000001</v>
      </c>
      <c r="BM28" s="644">
        <v>0.27600000000000002</v>
      </c>
      <c r="BN28" s="644">
        <v>4.0000000000000001E-3</v>
      </c>
      <c r="BO28" s="644">
        <v>0.14899999999999999</v>
      </c>
      <c r="BP28" s="644">
        <v>201.99799999999999</v>
      </c>
      <c r="BQ28" s="644">
        <v>163.32599999999999</v>
      </c>
      <c r="BR28" s="644">
        <v>118.33799999999999</v>
      </c>
      <c r="BS28" s="644">
        <v>165.52699999999999</v>
      </c>
      <c r="BT28" s="644" t="s">
        <v>1069</v>
      </c>
      <c r="BU28" s="644" t="s">
        <v>1069</v>
      </c>
      <c r="BV28" s="644">
        <v>1.306</v>
      </c>
      <c r="BW28" s="644">
        <v>1.351</v>
      </c>
      <c r="BX28" s="644">
        <v>1.427</v>
      </c>
      <c r="BY28" s="644">
        <v>1584.585</v>
      </c>
      <c r="BZ28" s="644">
        <v>0.11600000000000001</v>
      </c>
      <c r="CA28" s="644">
        <v>1.7000000000000001E-2</v>
      </c>
      <c r="CB28" s="644">
        <v>1592.4159999999999</v>
      </c>
      <c r="CC28" s="644" t="s">
        <v>1069</v>
      </c>
      <c r="CD28" s="643">
        <v>39910787.023999996</v>
      </c>
      <c r="CE28" s="643">
        <v>2545675.7540000002</v>
      </c>
      <c r="CF28" s="643">
        <v>53563210.131999999</v>
      </c>
      <c r="CG28" s="643">
        <v>0</v>
      </c>
      <c r="CH28" s="643">
        <v>6076326</v>
      </c>
      <c r="CI28" s="643">
        <v>1804394.784</v>
      </c>
      <c r="CJ28" s="643">
        <v>43701387.149999999</v>
      </c>
      <c r="CK28" s="643">
        <v>612277</v>
      </c>
      <c r="CL28" s="643">
        <v>0</v>
      </c>
      <c r="CM28" s="643">
        <v>256087.291</v>
      </c>
      <c r="CN28" s="643">
        <v>333808</v>
      </c>
      <c r="CO28" s="643">
        <v>96609568.201000005</v>
      </c>
      <c r="CP28" s="643">
        <v>52194384.934</v>
      </c>
      <c r="CQ28" s="643">
        <v>46118058.934</v>
      </c>
      <c r="CR28" s="643">
        <v>98413962.984999999</v>
      </c>
      <c r="CS28" s="643">
        <v>50389990.149999999</v>
      </c>
      <c r="CT28" s="694">
        <v>0.26821052924441802</v>
      </c>
      <c r="CU28" s="694">
        <v>1.7107581488043401E-2</v>
      </c>
      <c r="CV28" s="694">
        <v>0.35995824709983099</v>
      </c>
      <c r="CW28" s="694">
        <v>0</v>
      </c>
      <c r="CX28" s="694">
        <v>4.0834439354493199E-2</v>
      </c>
      <c r="CY28" s="694">
        <v>1.21259868839841E-2</v>
      </c>
      <c r="CZ28" s="694">
        <v>0.29368431570062298</v>
      </c>
      <c r="DA28" s="694">
        <v>4.11465547185108E-3</v>
      </c>
      <c r="DB28" s="694">
        <v>0</v>
      </c>
      <c r="DC28" s="694">
        <v>1.7209710199544801E-3</v>
      </c>
      <c r="DD28" s="694">
        <v>2.2432737368015898E-3</v>
      </c>
      <c r="DE28" s="694">
        <v>0.64924060258904903</v>
      </c>
      <c r="DF28" s="694">
        <v>0.35075939741095102</v>
      </c>
      <c r="DG28" s="694">
        <v>0.30992495805645798</v>
      </c>
      <c r="DH28" s="694">
        <v>0.66136658947303295</v>
      </c>
      <c r="DI28" s="694">
        <v>0.33863341052696699</v>
      </c>
      <c r="DJ28" s="416"/>
      <c r="DK28" s="417">
        <f>(F28/H28)*1000</f>
        <v>6295.9048290251703</v>
      </c>
      <c r="DL28" s="417">
        <f>(BA28/BS28)*1000</f>
        <v>9615.2289354606801</v>
      </c>
      <c r="DM28" s="417">
        <f>(BY28/BS28)*1000</f>
        <v>9572.9699686456006</v>
      </c>
      <c r="DN28" s="417">
        <f t="shared" si="14"/>
        <v>10827.087396904923</v>
      </c>
      <c r="DO28" s="417">
        <f t="shared" si="14"/>
        <v>11888.554179983592</v>
      </c>
      <c r="DP28" s="417">
        <f t="shared" si="14"/>
        <v>8398.6716016833125</v>
      </c>
      <c r="DQ28" s="417"/>
      <c r="DR28" s="417">
        <v>1109.447881020563</v>
      </c>
      <c r="DS28" s="409"/>
      <c r="DT28" s="419"/>
    </row>
    <row r="29" spans="1:124" ht="13" x14ac:dyDescent="0.3">
      <c r="A29" s="194">
        <v>38</v>
      </c>
      <c r="B29" s="409">
        <v>79</v>
      </c>
      <c r="C29" s="458" t="s">
        <v>384</v>
      </c>
      <c r="E29" s="643">
        <v>47053.599999999999</v>
      </c>
      <c r="F29" s="643">
        <v>965440511.46300006</v>
      </c>
      <c r="G29" s="643">
        <v>455888880.66000003</v>
      </c>
      <c r="H29" s="643">
        <v>171263642.21599999</v>
      </c>
      <c r="I29" s="643">
        <v>77991306.251000002</v>
      </c>
      <c r="J29" s="643">
        <v>42061.646999999997</v>
      </c>
      <c r="K29" s="643">
        <v>20876.562999999998</v>
      </c>
      <c r="L29" s="643">
        <v>57893.46</v>
      </c>
      <c r="M29" s="643">
        <v>66170856.618000001</v>
      </c>
      <c r="N29" s="643">
        <v>6885060.3880000003</v>
      </c>
      <c r="O29" s="643">
        <v>958551.13100000005</v>
      </c>
      <c r="P29" s="643">
        <v>66399743.987999998</v>
      </c>
      <c r="Q29" s="643" t="s">
        <v>1069</v>
      </c>
      <c r="R29" s="644">
        <v>0.49099999999999999</v>
      </c>
      <c r="S29" s="644">
        <v>0.53500000000000003</v>
      </c>
      <c r="T29" s="644">
        <v>0.67600000000000005</v>
      </c>
      <c r="U29" s="644">
        <v>772.73699999999997</v>
      </c>
      <c r="V29" s="644">
        <v>0.04</v>
      </c>
      <c r="W29" s="644">
        <v>6.0000000000000001E-3</v>
      </c>
      <c r="X29" s="644">
        <v>775.41</v>
      </c>
      <c r="Y29" s="644" t="s">
        <v>1069</v>
      </c>
      <c r="Z29" s="644">
        <v>8.6999999999999994E-2</v>
      </c>
      <c r="AA29" s="644">
        <v>9.1999999999999998E-2</v>
      </c>
      <c r="AB29" s="644">
        <v>0.12</v>
      </c>
      <c r="AC29" s="644">
        <v>137.07900000000001</v>
      </c>
      <c r="AD29" s="644" t="s">
        <v>1069</v>
      </c>
      <c r="AE29" s="644">
        <v>0.67100000000000004</v>
      </c>
      <c r="AF29" s="644">
        <v>0.73199999999999998</v>
      </c>
      <c r="AG29" s="644">
        <v>0.92400000000000004</v>
      </c>
      <c r="AH29" s="644">
        <v>1056.202</v>
      </c>
      <c r="AI29" s="644">
        <v>5.5E-2</v>
      </c>
      <c r="AJ29" s="644">
        <v>8.0000000000000002E-3</v>
      </c>
      <c r="AK29" s="644" t="s">
        <v>1069</v>
      </c>
      <c r="AL29" s="644">
        <v>1.4650000000000001</v>
      </c>
      <c r="AM29" s="644">
        <v>0.67600000000000005</v>
      </c>
      <c r="AN29" s="644">
        <v>0.53</v>
      </c>
      <c r="AO29" s="644">
        <v>0.67400000000000004</v>
      </c>
      <c r="AP29" s="644">
        <v>1.48</v>
      </c>
      <c r="AQ29" s="644">
        <v>0.67300000000000004</v>
      </c>
      <c r="AR29" s="644">
        <v>0.56699999999999995</v>
      </c>
      <c r="AS29" s="644">
        <v>0.73199999999999998</v>
      </c>
      <c r="AT29" s="644">
        <v>4.5010000000000003</v>
      </c>
      <c r="AU29" s="644">
        <v>10.106</v>
      </c>
      <c r="AV29" s="644">
        <v>7.0000000000000001E-3</v>
      </c>
      <c r="AW29" s="644">
        <v>0.92200000000000004</v>
      </c>
      <c r="AX29" s="644">
        <v>2316.1329999999998</v>
      </c>
      <c r="AY29" s="644">
        <v>1356.568</v>
      </c>
      <c r="AZ29" s="644">
        <v>857.053</v>
      </c>
      <c r="BA29" s="644">
        <v>1087.6369999999999</v>
      </c>
      <c r="BB29" s="644" t="s">
        <v>1069</v>
      </c>
      <c r="BC29" s="644" t="s">
        <v>1069</v>
      </c>
      <c r="BD29" s="644">
        <v>0.13200000000000001</v>
      </c>
      <c r="BE29" s="644">
        <v>0.112</v>
      </c>
      <c r="BF29" s="644">
        <v>7.3999999999999996E-2</v>
      </c>
      <c r="BG29" s="644">
        <v>8.6999999999999994E-2</v>
      </c>
      <c r="BH29" s="644">
        <v>0.13200000000000001</v>
      </c>
      <c r="BI29" s="644">
        <v>0.111</v>
      </c>
      <c r="BJ29" s="644">
        <v>7.6999999999999999E-2</v>
      </c>
      <c r="BK29" s="644">
        <v>9.1999999999999998E-2</v>
      </c>
      <c r="BL29" s="644">
        <v>0.40600000000000003</v>
      </c>
      <c r="BM29" s="644">
        <v>1.6819999999999999</v>
      </c>
      <c r="BN29" s="644">
        <v>1E-3</v>
      </c>
      <c r="BO29" s="644">
        <v>0.11899999999999999</v>
      </c>
      <c r="BP29" s="644">
        <v>208.71899999999999</v>
      </c>
      <c r="BQ29" s="644">
        <v>225.77099999999999</v>
      </c>
      <c r="BR29" s="644">
        <v>118.846</v>
      </c>
      <c r="BS29" s="644">
        <v>140.072</v>
      </c>
      <c r="BT29" s="644" t="s">
        <v>1069</v>
      </c>
      <c r="BU29" s="644" t="s">
        <v>1069</v>
      </c>
      <c r="BV29" s="644">
        <v>0.78300000000000003</v>
      </c>
      <c r="BW29" s="644">
        <v>0.85799999999999998</v>
      </c>
      <c r="BX29" s="644">
        <v>1.369</v>
      </c>
      <c r="BY29" s="644">
        <v>1177.0329999999999</v>
      </c>
      <c r="BZ29" s="644">
        <v>6.6000000000000003E-2</v>
      </c>
      <c r="CA29" s="644">
        <v>8.9999999999999993E-3</v>
      </c>
      <c r="CB29" s="644">
        <v>1181.4570000000001</v>
      </c>
      <c r="CC29" s="644" t="s">
        <v>1069</v>
      </c>
      <c r="CD29" s="643">
        <v>19018042.170000002</v>
      </c>
      <c r="CE29" s="643">
        <v>1490088.07</v>
      </c>
      <c r="CF29" s="643">
        <v>100854647.67200001</v>
      </c>
      <c r="CG29" s="643">
        <v>42576416</v>
      </c>
      <c r="CH29" s="643">
        <v>2808987</v>
      </c>
      <c r="CI29" s="643">
        <v>1756556.4350000001</v>
      </c>
      <c r="CJ29" s="643">
        <v>0</v>
      </c>
      <c r="CK29" s="643">
        <v>578556</v>
      </c>
      <c r="CL29" s="643">
        <v>0</v>
      </c>
      <c r="CM29" s="643">
        <v>1981505.0360000001</v>
      </c>
      <c r="CN29" s="643">
        <v>198843.45</v>
      </c>
      <c r="CO29" s="643">
        <v>166119542.398</v>
      </c>
      <c r="CP29" s="643">
        <v>5144099.4349999996</v>
      </c>
      <c r="CQ29" s="643">
        <v>2335112.4350000001</v>
      </c>
      <c r="CR29" s="643">
        <v>125299682.833</v>
      </c>
      <c r="CS29" s="643">
        <v>45963959</v>
      </c>
      <c r="CT29" s="694">
        <v>0.111045414931352</v>
      </c>
      <c r="CU29" s="694">
        <v>8.7005511155309398E-3</v>
      </c>
      <c r="CV29" s="694">
        <v>0.58888533837405999</v>
      </c>
      <c r="CW29" s="694">
        <v>0.24860160361132799</v>
      </c>
      <c r="CX29" s="694">
        <v>1.6401537243608599E-2</v>
      </c>
      <c r="CY29" s="694">
        <v>1.0256446821987E-2</v>
      </c>
      <c r="CZ29" s="694">
        <v>0</v>
      </c>
      <c r="DA29" s="694">
        <v>3.3781600917032499E-3</v>
      </c>
      <c r="DB29" s="694">
        <v>0</v>
      </c>
      <c r="DC29" s="694">
        <v>1.1569910664005201E-2</v>
      </c>
      <c r="DD29" s="694">
        <v>1.16103714642419E-3</v>
      </c>
      <c r="DE29" s="694">
        <v>0.96996385584270095</v>
      </c>
      <c r="DF29" s="694">
        <v>3.00361441572989E-2</v>
      </c>
      <c r="DG29" s="694">
        <v>1.3634606913690299E-2</v>
      </c>
      <c r="DH29" s="694">
        <v>0.73161869905335997</v>
      </c>
      <c r="DI29" s="694">
        <v>0.26838130094663998</v>
      </c>
      <c r="DJ29" s="416"/>
      <c r="DK29" s="417">
        <f>(F29/H29)*1000</f>
        <v>5637.1597553984848</v>
      </c>
      <c r="DL29" s="417">
        <f>(BA29/BS29)*1000</f>
        <v>7764.8423667827965</v>
      </c>
      <c r="DM29" s="417">
        <f>(BY29/BS29)*1000</f>
        <v>8403.0569992575238</v>
      </c>
      <c r="DN29" s="417">
        <f t="shared" si="14"/>
        <v>11096.895826446083</v>
      </c>
      <c r="DO29" s="417">
        <f t="shared" si="14"/>
        <v>6008.6016361711654</v>
      </c>
      <c r="DP29" s="417">
        <f t="shared" si="14"/>
        <v>7211.4585261599041</v>
      </c>
      <c r="DQ29" s="417"/>
      <c r="DR29" s="417">
        <v>1686.3274637860736</v>
      </c>
      <c r="DS29" s="409"/>
      <c r="DT29" s="419"/>
    </row>
    <row r="30" spans="1:124" ht="13" x14ac:dyDescent="0.3">
      <c r="A30" s="194">
        <v>39</v>
      </c>
      <c r="B30" s="409">
        <v>78</v>
      </c>
      <c r="C30" s="458" t="s">
        <v>385</v>
      </c>
      <c r="E30" s="643">
        <v>33434</v>
      </c>
      <c r="F30" s="643">
        <v>884586277.12699997</v>
      </c>
      <c r="G30" s="643">
        <v>404392121.10299999</v>
      </c>
      <c r="H30" s="643">
        <v>114130603.65099999</v>
      </c>
      <c r="I30" s="643">
        <v>49981762.230999999</v>
      </c>
      <c r="J30" s="643">
        <v>65772.311000000002</v>
      </c>
      <c r="K30" s="643">
        <v>26710.534</v>
      </c>
      <c r="L30" s="643">
        <v>151765.91500000001</v>
      </c>
      <c r="M30" s="643">
        <v>88053715.049999997</v>
      </c>
      <c r="N30" s="643">
        <v>19525555.806000002</v>
      </c>
      <c r="O30" s="643">
        <v>2830307.6379999998</v>
      </c>
      <c r="P30" s="643">
        <v>88719500.339000002</v>
      </c>
      <c r="Q30" s="643" t="s">
        <v>1069</v>
      </c>
      <c r="R30" s="644">
        <v>1.153</v>
      </c>
      <c r="S30" s="644">
        <v>1.069</v>
      </c>
      <c r="T30" s="644">
        <v>2.66</v>
      </c>
      <c r="U30" s="644">
        <v>1543.0340000000001</v>
      </c>
      <c r="V30" s="644">
        <v>0.17100000000000001</v>
      </c>
      <c r="W30" s="644">
        <v>2.5000000000000001E-2</v>
      </c>
      <c r="X30" s="644">
        <v>1554.701</v>
      </c>
      <c r="Y30" s="644" t="s">
        <v>1069</v>
      </c>
      <c r="Z30" s="644">
        <v>0.14899999999999999</v>
      </c>
      <c r="AA30" s="644">
        <v>0.13200000000000001</v>
      </c>
      <c r="AB30" s="644">
        <v>0.34300000000000003</v>
      </c>
      <c r="AC30" s="644">
        <v>199.08500000000001</v>
      </c>
      <c r="AD30" s="644" t="s">
        <v>1069</v>
      </c>
      <c r="AE30" s="644">
        <v>1.46</v>
      </c>
      <c r="AF30" s="644">
        <v>1.3540000000000001</v>
      </c>
      <c r="AG30" s="644">
        <v>3.3690000000000002</v>
      </c>
      <c r="AH30" s="644">
        <v>1954.502</v>
      </c>
      <c r="AI30" s="644">
        <v>0.217</v>
      </c>
      <c r="AJ30" s="644">
        <v>3.1E-2</v>
      </c>
      <c r="AK30" s="644" t="s">
        <v>1069</v>
      </c>
      <c r="AL30" s="644">
        <v>1.57</v>
      </c>
      <c r="AM30" s="644">
        <v>26.393000000000001</v>
      </c>
      <c r="AN30" s="644">
        <v>0.77200000000000002</v>
      </c>
      <c r="AO30" s="644">
        <v>1.462</v>
      </c>
      <c r="AP30" s="644">
        <v>1.3979999999999999</v>
      </c>
      <c r="AQ30" s="644">
        <v>32.497</v>
      </c>
      <c r="AR30" s="644">
        <v>0.78900000000000003</v>
      </c>
      <c r="AS30" s="644">
        <v>1.3089999999999999</v>
      </c>
      <c r="AT30" s="644">
        <v>3.9129999999999998</v>
      </c>
      <c r="AU30" s="644">
        <v>6.3250000000000002</v>
      </c>
      <c r="AV30" s="644">
        <v>8.9999999999999993E-3</v>
      </c>
      <c r="AW30" s="644">
        <v>3.3740000000000001</v>
      </c>
      <c r="AX30" s="644">
        <v>2116.366</v>
      </c>
      <c r="AY30" s="644">
        <v>2449.4380000000001</v>
      </c>
      <c r="AZ30" s="644">
        <v>950.65800000000002</v>
      </c>
      <c r="BA30" s="644">
        <v>1959.6410000000001</v>
      </c>
      <c r="BB30" s="644" t="s">
        <v>1069</v>
      </c>
      <c r="BC30" s="644" t="s">
        <v>1069</v>
      </c>
      <c r="BD30" s="644">
        <v>0.155</v>
      </c>
      <c r="BE30" s="644">
        <v>1.76</v>
      </c>
      <c r="BF30" s="644">
        <v>9.6000000000000002E-2</v>
      </c>
      <c r="BG30" s="644">
        <v>0.14899999999999999</v>
      </c>
      <c r="BH30" s="644">
        <v>0.13700000000000001</v>
      </c>
      <c r="BI30" s="644">
        <v>1.7310000000000001</v>
      </c>
      <c r="BJ30" s="644">
        <v>9.5000000000000001E-2</v>
      </c>
      <c r="BK30" s="644">
        <v>0.13200000000000001</v>
      </c>
      <c r="BL30" s="644">
        <v>0.38600000000000001</v>
      </c>
      <c r="BM30" s="644">
        <v>0.42199999999999999</v>
      </c>
      <c r="BN30" s="644">
        <v>1E-3</v>
      </c>
      <c r="BO30" s="644">
        <v>0.34300000000000003</v>
      </c>
      <c r="BP30" s="644">
        <v>208.726</v>
      </c>
      <c r="BQ30" s="644">
        <v>163.32599999999999</v>
      </c>
      <c r="BR30" s="644">
        <v>118.52800000000001</v>
      </c>
      <c r="BS30" s="644">
        <v>199.44300000000001</v>
      </c>
      <c r="BT30" s="644" t="s">
        <v>1069</v>
      </c>
      <c r="BU30" s="644" t="s">
        <v>1069</v>
      </c>
      <c r="BV30" s="644">
        <v>1.8169999999999999</v>
      </c>
      <c r="BW30" s="644">
        <v>1.698</v>
      </c>
      <c r="BX30" s="644">
        <v>3.0680000000000001</v>
      </c>
      <c r="BY30" s="644">
        <v>1763.1980000000001</v>
      </c>
      <c r="BZ30" s="644">
        <v>0.17899999999999999</v>
      </c>
      <c r="CA30" s="644">
        <v>2.5999999999999999E-2</v>
      </c>
      <c r="CB30" s="644">
        <v>1775.3230000000001</v>
      </c>
      <c r="CC30" s="644" t="s">
        <v>1069</v>
      </c>
      <c r="CD30" s="643">
        <v>76961284.900000006</v>
      </c>
      <c r="CE30" s="643">
        <v>109150.86900000001</v>
      </c>
      <c r="CF30" s="643">
        <v>12561305.163000001</v>
      </c>
      <c r="CG30" s="643">
        <v>12641139</v>
      </c>
      <c r="CH30" s="643">
        <v>1943431</v>
      </c>
      <c r="CI30" s="643">
        <v>154275.01199999999</v>
      </c>
      <c r="CJ30" s="643">
        <v>9030729</v>
      </c>
      <c r="CK30" s="643">
        <v>411811</v>
      </c>
      <c r="CL30" s="643">
        <v>0</v>
      </c>
      <c r="CM30" s="643">
        <v>57622.285000000003</v>
      </c>
      <c r="CN30" s="643">
        <v>259855.35999999999</v>
      </c>
      <c r="CO30" s="643">
        <v>102590357.57700001</v>
      </c>
      <c r="CP30" s="643">
        <v>11540246.012</v>
      </c>
      <c r="CQ30" s="643">
        <v>9596815.0120000001</v>
      </c>
      <c r="CR30" s="643">
        <v>90103493.589000002</v>
      </c>
      <c r="CS30" s="643">
        <v>24027110</v>
      </c>
      <c r="CT30" s="694">
        <v>0.67432645127461299</v>
      </c>
      <c r="CU30" s="694">
        <v>9.56368104326052E-4</v>
      </c>
      <c r="CV30" s="694">
        <v>0.110060796736299</v>
      </c>
      <c r="CW30" s="694">
        <v>0.11076029217827001</v>
      </c>
      <c r="CX30" s="694">
        <v>1.7028132147610099E-2</v>
      </c>
      <c r="CY30" s="694">
        <v>1.35174096297226E-3</v>
      </c>
      <c r="CZ30" s="694">
        <v>7.91262703956329E-2</v>
      </c>
      <c r="DA30" s="694">
        <v>3.6082434250763102E-3</v>
      </c>
      <c r="DB30" s="694">
        <v>0</v>
      </c>
      <c r="DC30" s="694">
        <v>5.0488022658239605E-4</v>
      </c>
      <c r="DD30" s="694">
        <v>2.2768245486177799E-3</v>
      </c>
      <c r="DE30" s="694">
        <v>0.89888561306870896</v>
      </c>
      <c r="DF30" s="694">
        <v>0.101114386931292</v>
      </c>
      <c r="DG30" s="694">
        <v>8.4086254783681397E-2</v>
      </c>
      <c r="DH30" s="694">
        <v>0.78947706185341004</v>
      </c>
      <c r="DI30" s="694">
        <v>0.21052293814659001</v>
      </c>
      <c r="DJ30" s="416"/>
      <c r="DK30" s="417">
        <f t="shared" si="6"/>
        <v>7750.6492459461324</v>
      </c>
      <c r="DL30" s="417">
        <f t="shared" si="7"/>
        <v>9825.5692102505473</v>
      </c>
      <c r="DM30" s="417">
        <f t="shared" si="8"/>
        <v>8840.6111019188447</v>
      </c>
      <c r="DN30" s="417">
        <f t="shared" si="9"/>
        <v>10139.445972231539</v>
      </c>
      <c r="DO30" s="417">
        <f t="shared" si="10"/>
        <v>14997.232528807417</v>
      </c>
      <c r="DP30" s="417">
        <f t="shared" si="11"/>
        <v>8020.5352321814253</v>
      </c>
      <c r="DQ30" s="417"/>
      <c r="DR30" s="417">
        <v>1350.5011924439882</v>
      </c>
      <c r="DS30" s="409"/>
      <c r="DT30" s="419"/>
    </row>
    <row r="31" spans="1:124" ht="13" x14ac:dyDescent="0.3">
      <c r="A31" s="194">
        <v>40</v>
      </c>
      <c r="B31" s="409">
        <v>80</v>
      </c>
      <c r="C31" s="458" t="s">
        <v>386</v>
      </c>
      <c r="E31" s="643">
        <v>71735.600000000006</v>
      </c>
      <c r="F31" s="643">
        <v>1568926442.803</v>
      </c>
      <c r="G31" s="643">
        <v>751613297.34000003</v>
      </c>
      <c r="H31" s="643">
        <v>253393159.21700001</v>
      </c>
      <c r="I31" s="643">
        <v>115281962.322</v>
      </c>
      <c r="J31" s="643">
        <v>48724.932999999997</v>
      </c>
      <c r="K31" s="643">
        <v>21507.521000000001</v>
      </c>
      <c r="L31" s="643">
        <v>26817.758000000002</v>
      </c>
      <c r="M31" s="643">
        <v>113001503.285</v>
      </c>
      <c r="N31" s="643">
        <v>17027149.805</v>
      </c>
      <c r="O31" s="643">
        <v>2483958.1630000002</v>
      </c>
      <c r="P31" s="643">
        <v>113575839.927</v>
      </c>
      <c r="Q31" s="643" t="s">
        <v>1069</v>
      </c>
      <c r="R31" s="644">
        <v>0.38500000000000001</v>
      </c>
      <c r="S31" s="644">
        <v>0.373</v>
      </c>
      <c r="T31" s="644">
        <v>0.21199999999999999</v>
      </c>
      <c r="U31" s="644">
        <v>891.90700000000004</v>
      </c>
      <c r="V31" s="644">
        <v>6.7000000000000004E-2</v>
      </c>
      <c r="W31" s="644">
        <v>0.01</v>
      </c>
      <c r="X31" s="644">
        <v>896.44</v>
      </c>
      <c r="Y31" s="644" t="s">
        <v>1069</v>
      </c>
      <c r="Z31" s="644">
        <v>6.2E-2</v>
      </c>
      <c r="AA31" s="644">
        <v>5.7000000000000002E-2</v>
      </c>
      <c r="AB31" s="644">
        <v>3.4000000000000002E-2</v>
      </c>
      <c r="AC31" s="644">
        <v>144.04900000000001</v>
      </c>
      <c r="AD31" s="644" t="s">
        <v>1069</v>
      </c>
      <c r="AE31" s="644">
        <v>0.51300000000000001</v>
      </c>
      <c r="AF31" s="644">
        <v>0.498</v>
      </c>
      <c r="AG31" s="644">
        <v>0.28199999999999997</v>
      </c>
      <c r="AH31" s="644">
        <v>1189.807</v>
      </c>
      <c r="AI31" s="644">
        <v>0.09</v>
      </c>
      <c r="AJ31" s="644">
        <v>1.2999999999999999E-2</v>
      </c>
      <c r="AK31" s="644" t="s">
        <v>1069</v>
      </c>
      <c r="AL31" s="644">
        <v>0.876</v>
      </c>
      <c r="AM31" s="644">
        <v>2.19</v>
      </c>
      <c r="AN31" s="644">
        <v>0.251</v>
      </c>
      <c r="AO31" s="644">
        <v>0.48599999999999999</v>
      </c>
      <c r="AP31" s="644">
        <v>0.75700000000000001</v>
      </c>
      <c r="AQ31" s="644">
        <v>2.2269999999999999</v>
      </c>
      <c r="AR31" s="644">
        <v>0.26100000000000001</v>
      </c>
      <c r="AS31" s="644">
        <v>0.46100000000000002</v>
      </c>
      <c r="AT31" s="644">
        <v>0.44</v>
      </c>
      <c r="AU31" s="644">
        <v>1.4259999999999999</v>
      </c>
      <c r="AV31" s="644">
        <v>1.0999999999999999E-2</v>
      </c>
      <c r="AW31" s="644">
        <v>0.17299999999999999</v>
      </c>
      <c r="AX31" s="644">
        <v>1910.395</v>
      </c>
      <c r="AY31" s="644">
        <v>1341.548</v>
      </c>
      <c r="AZ31" s="644">
        <v>864.17700000000002</v>
      </c>
      <c r="BA31" s="644">
        <v>1254.8710000000001</v>
      </c>
      <c r="BB31" s="644" t="s">
        <v>1069</v>
      </c>
      <c r="BC31" s="644" t="s">
        <v>1069</v>
      </c>
      <c r="BD31" s="644">
        <v>8.7999999999999995E-2</v>
      </c>
      <c r="BE31" s="644">
        <v>0.33100000000000002</v>
      </c>
      <c r="BF31" s="644">
        <v>3.4000000000000002E-2</v>
      </c>
      <c r="BG31" s="644">
        <v>5.8000000000000003E-2</v>
      </c>
      <c r="BH31" s="644">
        <v>7.3999999999999996E-2</v>
      </c>
      <c r="BI31" s="644">
        <v>0.32800000000000001</v>
      </c>
      <c r="BJ31" s="644">
        <v>3.5000000000000003E-2</v>
      </c>
      <c r="BK31" s="644">
        <v>5.3999999999999999E-2</v>
      </c>
      <c r="BL31" s="644">
        <v>4.3999999999999997E-2</v>
      </c>
      <c r="BM31" s="644">
        <v>0.216</v>
      </c>
      <c r="BN31" s="644">
        <v>2E-3</v>
      </c>
      <c r="BO31" s="644">
        <v>2.1000000000000001E-2</v>
      </c>
      <c r="BP31" s="644">
        <v>190.94499999999999</v>
      </c>
      <c r="BQ31" s="644">
        <v>202.899</v>
      </c>
      <c r="BR31" s="644">
        <v>118.03400000000001</v>
      </c>
      <c r="BS31" s="644">
        <v>150.81299999999999</v>
      </c>
      <c r="BT31" s="644" t="s">
        <v>1069</v>
      </c>
      <c r="BU31" s="644" t="s">
        <v>1069</v>
      </c>
      <c r="BV31" s="644">
        <v>0.76900000000000002</v>
      </c>
      <c r="BW31" s="644">
        <v>0.65200000000000002</v>
      </c>
      <c r="BX31" s="644">
        <v>0.38900000000000001</v>
      </c>
      <c r="BY31" s="644">
        <v>1384.576</v>
      </c>
      <c r="BZ31" s="644">
        <v>0.10100000000000001</v>
      </c>
      <c r="CA31" s="644">
        <v>1.4999999999999999E-2</v>
      </c>
      <c r="CB31" s="644">
        <v>1391.4369999999999</v>
      </c>
      <c r="CC31" s="644" t="s">
        <v>1069</v>
      </c>
      <c r="CD31" s="643">
        <v>48764787.784999996</v>
      </c>
      <c r="CE31" s="643">
        <v>212953.72700000001</v>
      </c>
      <c r="CF31" s="643">
        <v>130530117.07600001</v>
      </c>
      <c r="CG31" s="643">
        <v>48934913</v>
      </c>
      <c r="CH31" s="643">
        <v>8697476</v>
      </c>
      <c r="CI31" s="643">
        <v>10361945.551999999</v>
      </c>
      <c r="CJ31" s="643">
        <v>0</v>
      </c>
      <c r="CK31" s="643">
        <v>5811458</v>
      </c>
      <c r="CL31" s="643">
        <v>0</v>
      </c>
      <c r="CM31" s="643">
        <v>78956.671000000002</v>
      </c>
      <c r="CN31" s="643">
        <v>551.39499999999998</v>
      </c>
      <c r="CO31" s="643">
        <v>228522279.65400001</v>
      </c>
      <c r="CP31" s="643">
        <v>24870879.552000001</v>
      </c>
      <c r="CQ31" s="643">
        <v>16173403.551999999</v>
      </c>
      <c r="CR31" s="643">
        <v>189949312.206</v>
      </c>
      <c r="CS31" s="643">
        <v>63443847</v>
      </c>
      <c r="CT31" s="694">
        <v>0.192447136054513</v>
      </c>
      <c r="CU31" s="694">
        <v>8.4040835067246595E-4</v>
      </c>
      <c r="CV31" s="694">
        <v>0.51512881202086203</v>
      </c>
      <c r="CW31" s="694">
        <v>0.19311852440427399</v>
      </c>
      <c r="CX31" s="694">
        <v>3.4324036320685501E-2</v>
      </c>
      <c r="CY31" s="694">
        <v>4.0892759632773203E-2</v>
      </c>
      <c r="CZ31" s="694">
        <v>0</v>
      </c>
      <c r="DA31" s="694">
        <v>2.2934549686384701E-2</v>
      </c>
      <c r="DB31" s="694">
        <v>0</v>
      </c>
      <c r="DC31" s="694">
        <v>3.11597484507508E-4</v>
      </c>
      <c r="DD31" s="694">
        <v>2.17604532706321E-6</v>
      </c>
      <c r="DE31" s="694">
        <v>0.90184865436015604</v>
      </c>
      <c r="DF31" s="694">
        <v>9.8151345639843499E-2</v>
      </c>
      <c r="DG31" s="694">
        <v>6.3827309319157893E-2</v>
      </c>
      <c r="DH31" s="694">
        <v>0.74962288958865597</v>
      </c>
      <c r="DI31" s="694">
        <v>0.25037711041134397</v>
      </c>
      <c r="DJ31" s="416"/>
      <c r="DK31" s="417">
        <f t="shared" si="6"/>
        <v>6191.6685030135632</v>
      </c>
      <c r="DL31" s="417">
        <f t="shared" si="7"/>
        <v>8320.7084269923707</v>
      </c>
      <c r="DM31" s="417">
        <f t="shared" si="8"/>
        <v>9180.74701783003</v>
      </c>
      <c r="DN31" s="417">
        <f t="shared" si="9"/>
        <v>10004.949069103668</v>
      </c>
      <c r="DO31" s="417">
        <f t="shared" si="10"/>
        <v>6611.9005022203164</v>
      </c>
      <c r="DP31" s="417">
        <f t="shared" si="11"/>
        <v>7321.4243353609972</v>
      </c>
      <c r="DQ31" s="417"/>
      <c r="DR31" s="417">
        <v>1838.2829573053341</v>
      </c>
      <c r="DS31" s="409"/>
      <c r="DT31" s="419"/>
    </row>
    <row r="32" spans="1:124" ht="13" x14ac:dyDescent="0.3">
      <c r="A32" s="194">
        <v>41</v>
      </c>
      <c r="B32" s="409">
        <v>81</v>
      </c>
      <c r="C32" s="458" t="s">
        <v>387</v>
      </c>
      <c r="E32" s="643">
        <v>56713.3</v>
      </c>
      <c r="F32" s="643">
        <v>1157412925.789</v>
      </c>
      <c r="G32" s="643">
        <v>548135000.22399998</v>
      </c>
      <c r="H32" s="643">
        <v>214888097.39899999</v>
      </c>
      <c r="I32" s="643">
        <v>97005398.603</v>
      </c>
      <c r="J32" s="643">
        <v>43261.256999999998</v>
      </c>
      <c r="K32" s="643">
        <v>19633.451000000001</v>
      </c>
      <c r="L32" s="643">
        <v>63775.358</v>
      </c>
      <c r="M32" s="643">
        <v>100093412.272</v>
      </c>
      <c r="N32" s="643">
        <v>18610760.280000001</v>
      </c>
      <c r="O32" s="643">
        <v>2688173.36</v>
      </c>
      <c r="P32" s="643">
        <v>100724866.301</v>
      </c>
      <c r="Q32" s="643" t="s">
        <v>1069</v>
      </c>
      <c r="R32" s="644">
        <v>0.40300000000000002</v>
      </c>
      <c r="S32" s="644">
        <v>0.40500000000000003</v>
      </c>
      <c r="T32" s="644">
        <v>0.59399999999999997</v>
      </c>
      <c r="U32" s="644">
        <v>931.58600000000001</v>
      </c>
      <c r="V32" s="644">
        <v>8.6999999999999994E-2</v>
      </c>
      <c r="W32" s="644">
        <v>1.2999999999999999E-2</v>
      </c>
      <c r="X32" s="644">
        <v>937.46299999999997</v>
      </c>
      <c r="Y32" s="644" t="s">
        <v>1069</v>
      </c>
      <c r="Z32" s="644">
        <v>7.4999999999999997E-2</v>
      </c>
      <c r="AA32" s="644">
        <v>7.1999999999999995E-2</v>
      </c>
      <c r="AB32" s="644">
        <v>0.11</v>
      </c>
      <c r="AC32" s="644">
        <v>172.96100000000001</v>
      </c>
      <c r="AD32" s="644" t="s">
        <v>1069</v>
      </c>
      <c r="AE32" s="644">
        <v>0.68600000000000005</v>
      </c>
      <c r="AF32" s="644">
        <v>0.69</v>
      </c>
      <c r="AG32" s="644">
        <v>1.012</v>
      </c>
      <c r="AH32" s="644">
        <v>1587.79</v>
      </c>
      <c r="AI32" s="644">
        <v>0.14799999999999999</v>
      </c>
      <c r="AJ32" s="644">
        <v>2.1000000000000001E-2</v>
      </c>
      <c r="AK32" s="644" t="s">
        <v>1069</v>
      </c>
      <c r="AL32" s="644">
        <v>1.0860000000000001</v>
      </c>
      <c r="AM32" s="644">
        <v>57.598999999999997</v>
      </c>
      <c r="AN32" s="644">
        <v>0.183</v>
      </c>
      <c r="AO32" s="644">
        <v>0.68600000000000005</v>
      </c>
      <c r="AP32" s="644">
        <v>1.042</v>
      </c>
      <c r="AQ32" s="644">
        <v>58.587000000000003</v>
      </c>
      <c r="AR32" s="644">
        <v>0.16800000000000001</v>
      </c>
      <c r="AS32" s="644">
        <v>0.66300000000000003</v>
      </c>
      <c r="AT32" s="644">
        <v>1.7849999999999999</v>
      </c>
      <c r="AU32" s="644">
        <v>5.2060000000000004</v>
      </c>
      <c r="AV32" s="644">
        <v>6.0000000000000001E-3</v>
      </c>
      <c r="AW32" s="644">
        <v>0.995</v>
      </c>
      <c r="AX32" s="644">
        <v>2184.8829999999998</v>
      </c>
      <c r="AY32" s="644">
        <v>2944.3539999999998</v>
      </c>
      <c r="AZ32" s="644">
        <v>878.07600000000002</v>
      </c>
      <c r="BA32" s="644">
        <v>1604.886</v>
      </c>
      <c r="BB32" s="644" t="s">
        <v>1069</v>
      </c>
      <c r="BC32" s="644" t="s">
        <v>1069</v>
      </c>
      <c r="BD32" s="644">
        <v>0.10199999999999999</v>
      </c>
      <c r="BE32" s="644">
        <v>3.206</v>
      </c>
      <c r="BF32" s="644">
        <v>2.5000000000000001E-2</v>
      </c>
      <c r="BG32" s="644">
        <v>7.3999999999999996E-2</v>
      </c>
      <c r="BH32" s="644">
        <v>9.7000000000000003E-2</v>
      </c>
      <c r="BI32" s="644">
        <v>3.2090000000000001</v>
      </c>
      <c r="BJ32" s="644">
        <v>2.3E-2</v>
      </c>
      <c r="BK32" s="644">
        <v>7.0999999999999994E-2</v>
      </c>
      <c r="BL32" s="644">
        <v>0.16800000000000001</v>
      </c>
      <c r="BM32" s="644">
        <v>0.28999999999999998</v>
      </c>
      <c r="BN32" s="644">
        <v>1E-3</v>
      </c>
      <c r="BO32" s="644">
        <v>0.108</v>
      </c>
      <c r="BP32" s="644">
        <v>205.34399999999999</v>
      </c>
      <c r="BQ32" s="644">
        <v>163.88499999999999</v>
      </c>
      <c r="BR32" s="644">
        <v>118.483</v>
      </c>
      <c r="BS32" s="644">
        <v>174.29599999999999</v>
      </c>
      <c r="BT32" s="644" t="s">
        <v>1069</v>
      </c>
      <c r="BU32" s="644" t="s">
        <v>1069</v>
      </c>
      <c r="BV32" s="644">
        <v>0.68400000000000005</v>
      </c>
      <c r="BW32" s="644">
        <v>0.66500000000000004</v>
      </c>
      <c r="BX32" s="644">
        <v>0.96</v>
      </c>
      <c r="BY32" s="644">
        <v>1636.1690000000001</v>
      </c>
      <c r="BZ32" s="644">
        <v>0.151</v>
      </c>
      <c r="CA32" s="644">
        <v>2.1999999999999999E-2</v>
      </c>
      <c r="CB32" s="644">
        <v>1646.442</v>
      </c>
      <c r="CC32" s="644" t="s">
        <v>1069</v>
      </c>
      <c r="CD32" s="643">
        <v>67917640.841999993</v>
      </c>
      <c r="CE32" s="643">
        <v>161605.329</v>
      </c>
      <c r="CF32" s="643">
        <v>56268113.267999999</v>
      </c>
      <c r="CG32" s="643">
        <v>66383959</v>
      </c>
      <c r="CH32" s="643">
        <v>21694887</v>
      </c>
      <c r="CI32" s="643">
        <v>1655115.7450000001</v>
      </c>
      <c r="CJ32" s="643">
        <v>28186</v>
      </c>
      <c r="CK32" s="643">
        <v>702159</v>
      </c>
      <c r="CL32" s="643">
        <v>0</v>
      </c>
      <c r="CM32" s="643">
        <v>76403.400999999998</v>
      </c>
      <c r="CN32" s="643">
        <v>28</v>
      </c>
      <c r="CO32" s="643">
        <v>190807749.84</v>
      </c>
      <c r="CP32" s="643">
        <v>24080347.745000001</v>
      </c>
      <c r="CQ32" s="643">
        <v>2385460.7450000001</v>
      </c>
      <c r="CR32" s="643">
        <v>126078906.58499999</v>
      </c>
      <c r="CS32" s="643">
        <v>88809191</v>
      </c>
      <c r="CT32" s="694">
        <v>0.31606050593441898</v>
      </c>
      <c r="CU32" s="694">
        <v>7.52044114197978E-4</v>
      </c>
      <c r="CV32" s="694">
        <v>0.261848440655225</v>
      </c>
      <c r="CW32" s="694">
        <v>0.30892338731670099</v>
      </c>
      <c r="CX32" s="694">
        <v>0.10095899793341701</v>
      </c>
      <c r="CY32" s="694">
        <v>7.7022215916138E-3</v>
      </c>
      <c r="CZ32" s="694">
        <v>1.31165943189808E-4</v>
      </c>
      <c r="DA32" s="694">
        <v>3.26755649983014E-3</v>
      </c>
      <c r="DB32" s="694">
        <v>0</v>
      </c>
      <c r="DC32" s="694">
        <v>3.5554971102937999E-4</v>
      </c>
      <c r="DD32" s="694">
        <v>1.30300376403698E-7</v>
      </c>
      <c r="DE32" s="694">
        <v>0.88794005803194898</v>
      </c>
      <c r="DF32" s="694">
        <v>0.112059941968051</v>
      </c>
      <c r="DG32" s="694">
        <v>1.11009440346337E-2</v>
      </c>
      <c r="DH32" s="694">
        <v>0.58671889230686203</v>
      </c>
      <c r="DI32" s="694">
        <v>0.41328110769313797</v>
      </c>
      <c r="DJ32" s="416"/>
      <c r="DK32" s="417">
        <f t="shared" si="6"/>
        <v>5386.1192862624612</v>
      </c>
      <c r="DL32" s="417">
        <f t="shared" si="7"/>
        <v>9207.8188828200309</v>
      </c>
      <c r="DM32" s="417">
        <f t="shared" si="8"/>
        <v>9387.300913388719</v>
      </c>
      <c r="DN32" s="417">
        <f t="shared" si="9"/>
        <v>10640.111227988156</v>
      </c>
      <c r="DO32" s="417">
        <f t="shared" si="10"/>
        <v>17965.976141806757</v>
      </c>
      <c r="DP32" s="417">
        <f t="shared" si="11"/>
        <v>7410.9872302355607</v>
      </c>
      <c r="DQ32" s="417"/>
      <c r="DR32" s="417">
        <v>1909.7626443114489</v>
      </c>
      <c r="DS32" s="409"/>
      <c r="DT32" s="419"/>
    </row>
    <row r="33" spans="1:124" ht="13" x14ac:dyDescent="0.3">
      <c r="A33" s="194">
        <v>42</v>
      </c>
      <c r="B33" s="409">
        <v>82</v>
      </c>
      <c r="C33" s="458" t="s">
        <v>388</v>
      </c>
      <c r="E33" s="643">
        <v>95470</v>
      </c>
      <c r="F33" s="643">
        <v>1475903823.2179999</v>
      </c>
      <c r="G33" s="643">
        <v>690994324.88300002</v>
      </c>
      <c r="H33" s="643">
        <v>323326028.74400002</v>
      </c>
      <c r="I33" s="643">
        <v>144594057.91</v>
      </c>
      <c r="J33" s="643">
        <v>48812.608</v>
      </c>
      <c r="K33" s="643">
        <v>23552.478999999999</v>
      </c>
      <c r="L33" s="643">
        <v>30234.817999999999</v>
      </c>
      <c r="M33" s="643">
        <v>103410187</v>
      </c>
      <c r="N33" s="643">
        <v>16875103.833999999</v>
      </c>
      <c r="O33" s="643">
        <v>2374216.64</v>
      </c>
      <c r="P33" s="643">
        <v>103925859.245</v>
      </c>
      <c r="Q33" s="643" t="s">
        <v>1069</v>
      </c>
      <c r="R33" s="644">
        <v>0.30199999999999999</v>
      </c>
      <c r="S33" s="644">
        <v>0.32600000000000001</v>
      </c>
      <c r="T33" s="644">
        <v>0.187</v>
      </c>
      <c r="U33" s="644">
        <v>639.66499999999996</v>
      </c>
      <c r="V33" s="644">
        <v>5.1999999999999998E-2</v>
      </c>
      <c r="W33" s="644">
        <v>7.0000000000000001E-3</v>
      </c>
      <c r="X33" s="644">
        <v>642.85500000000002</v>
      </c>
      <c r="Y33" s="644" t="s">
        <v>1069</v>
      </c>
      <c r="Z33" s="644">
        <v>6.6000000000000003E-2</v>
      </c>
      <c r="AA33" s="644">
        <v>6.8000000000000005E-2</v>
      </c>
      <c r="AB33" s="644">
        <v>4.1000000000000002E-2</v>
      </c>
      <c r="AC33" s="644">
        <v>140.131</v>
      </c>
      <c r="AD33" s="644" t="s">
        <v>1069</v>
      </c>
      <c r="AE33" s="644">
        <v>0.55700000000000005</v>
      </c>
      <c r="AF33" s="644">
        <v>0.60099999999999998</v>
      </c>
      <c r="AG33" s="644">
        <v>0.34499999999999997</v>
      </c>
      <c r="AH33" s="644">
        <v>1180.8900000000001</v>
      </c>
      <c r="AI33" s="644">
        <v>9.6000000000000002E-2</v>
      </c>
      <c r="AJ33" s="644">
        <v>1.4E-2</v>
      </c>
      <c r="AK33" s="644" t="s">
        <v>1069</v>
      </c>
      <c r="AL33" s="644">
        <v>1.272</v>
      </c>
      <c r="AM33" s="644">
        <v>9.1050000000000004</v>
      </c>
      <c r="AN33" s="644">
        <v>0.182</v>
      </c>
      <c r="AO33" s="644">
        <v>0.51</v>
      </c>
      <c r="AP33" s="644">
        <v>1.278</v>
      </c>
      <c r="AQ33" s="644">
        <v>5.327</v>
      </c>
      <c r="AR33" s="644">
        <v>0.17599999999999999</v>
      </c>
      <c r="AS33" s="644">
        <v>0.53</v>
      </c>
      <c r="AT33" s="644">
        <v>0.82399999999999995</v>
      </c>
      <c r="AU33" s="644">
        <v>4.4569999999999999</v>
      </c>
      <c r="AV33" s="644">
        <v>2.4E-2</v>
      </c>
      <c r="AW33" s="644">
        <v>0.26400000000000001</v>
      </c>
      <c r="AX33" s="644">
        <v>1970.3340000000001</v>
      </c>
      <c r="AY33" s="644">
        <v>2119.2840000000001</v>
      </c>
      <c r="AZ33" s="644">
        <v>911.86099999999999</v>
      </c>
      <c r="BA33" s="644">
        <v>1227.0409999999999</v>
      </c>
      <c r="BB33" s="644" t="s">
        <v>1069</v>
      </c>
      <c r="BC33" s="644" t="s">
        <v>1069</v>
      </c>
      <c r="BD33" s="644">
        <v>0.124</v>
      </c>
      <c r="BE33" s="644">
        <v>0.69699999999999995</v>
      </c>
      <c r="BF33" s="644">
        <v>2.4E-2</v>
      </c>
      <c r="BG33" s="644">
        <v>6.0999999999999999E-2</v>
      </c>
      <c r="BH33" s="644">
        <v>0.123</v>
      </c>
      <c r="BI33" s="644">
        <v>0.434</v>
      </c>
      <c r="BJ33" s="644">
        <v>2.3E-2</v>
      </c>
      <c r="BK33" s="644">
        <v>6.3E-2</v>
      </c>
      <c r="BL33" s="644">
        <v>0.08</v>
      </c>
      <c r="BM33" s="644">
        <v>0.34100000000000003</v>
      </c>
      <c r="BN33" s="644">
        <v>3.0000000000000001E-3</v>
      </c>
      <c r="BO33" s="644">
        <v>3.2000000000000001E-2</v>
      </c>
      <c r="BP33" s="644">
        <v>191.613</v>
      </c>
      <c r="BQ33" s="644">
        <v>162.32900000000001</v>
      </c>
      <c r="BR33" s="644">
        <v>120.821</v>
      </c>
      <c r="BS33" s="644">
        <v>146.72300000000001</v>
      </c>
      <c r="BT33" s="644" t="s">
        <v>1069</v>
      </c>
      <c r="BU33" s="644" t="s">
        <v>1069</v>
      </c>
      <c r="BV33" s="644">
        <v>0.71099999999999997</v>
      </c>
      <c r="BW33" s="644">
        <v>0.73099999999999998</v>
      </c>
      <c r="BX33" s="644">
        <v>0.41899999999999998</v>
      </c>
      <c r="BY33" s="644">
        <v>1356.9680000000001</v>
      </c>
      <c r="BZ33" s="644">
        <v>0.11600000000000001</v>
      </c>
      <c r="CA33" s="644">
        <v>1.6E-2</v>
      </c>
      <c r="CB33" s="644">
        <v>1364.319</v>
      </c>
      <c r="CC33" s="644" t="s">
        <v>1069</v>
      </c>
      <c r="CD33" s="643">
        <v>43250487.270999998</v>
      </c>
      <c r="CE33" s="643">
        <v>601225.80700000003</v>
      </c>
      <c r="CF33" s="643">
        <v>123030293.315</v>
      </c>
      <c r="CG33" s="643">
        <v>125460651</v>
      </c>
      <c r="CH33" s="643">
        <v>6109265</v>
      </c>
      <c r="CI33" s="643">
        <v>7399195.0470000003</v>
      </c>
      <c r="CJ33" s="643">
        <v>1434433</v>
      </c>
      <c r="CK33" s="643">
        <v>15182231.609999999</v>
      </c>
      <c r="CL33" s="643">
        <v>0</v>
      </c>
      <c r="CM33" s="643">
        <v>613120.66200000001</v>
      </c>
      <c r="CN33" s="643">
        <v>245126</v>
      </c>
      <c r="CO33" s="643">
        <v>293200904.05500001</v>
      </c>
      <c r="CP33" s="643">
        <v>30125124.657000002</v>
      </c>
      <c r="CQ33" s="643">
        <v>24015859.657000002</v>
      </c>
      <c r="CR33" s="643">
        <v>175139448.102</v>
      </c>
      <c r="CS33" s="643">
        <v>148186580.61000001</v>
      </c>
      <c r="CT33" s="694">
        <v>0.13376741564325201</v>
      </c>
      <c r="CU33" s="694">
        <v>1.85950326793992E-3</v>
      </c>
      <c r="CV33" s="694">
        <v>0.38051465823863001</v>
      </c>
      <c r="CW33" s="694">
        <v>0.38803139821369897</v>
      </c>
      <c r="CX33" s="694">
        <v>1.88950608905099E-2</v>
      </c>
      <c r="CY33" s="694">
        <v>2.28846253933697E-2</v>
      </c>
      <c r="CZ33" s="694">
        <v>4.4364909491332897E-3</v>
      </c>
      <c r="DA33" s="694">
        <v>4.6956416316001101E-2</v>
      </c>
      <c r="DB33" s="694">
        <v>0</v>
      </c>
      <c r="DC33" s="694">
        <v>1.89629231040391E-3</v>
      </c>
      <c r="DD33" s="694">
        <v>7.5813877706191102E-4</v>
      </c>
      <c r="DE33" s="694">
        <v>0.90682740645098603</v>
      </c>
      <c r="DF33" s="694">
        <v>9.3172593549013902E-2</v>
      </c>
      <c r="DG33" s="694">
        <v>7.4277532658503995E-2</v>
      </c>
      <c r="DH33" s="694">
        <v>0.54168063363065599</v>
      </c>
      <c r="DI33" s="694">
        <v>0.45831936636934401</v>
      </c>
      <c r="DJ33" s="416"/>
      <c r="DK33" s="417">
        <f t="shared" si="6"/>
        <v>4564.754124347276</v>
      </c>
      <c r="DL33" s="417">
        <f t="shared" si="7"/>
        <v>8362.9764931196878</v>
      </c>
      <c r="DM33" s="417">
        <f t="shared" si="8"/>
        <v>9248.5022798061636</v>
      </c>
      <c r="DN33" s="417">
        <f t="shared" si="9"/>
        <v>10282.882685412786</v>
      </c>
      <c r="DO33" s="417">
        <f t="shared" si="10"/>
        <v>13055.486080737268</v>
      </c>
      <c r="DP33" s="417">
        <f t="shared" si="11"/>
        <v>7547.2061975980996</v>
      </c>
      <c r="DQ33" s="417"/>
      <c r="DR33" s="417">
        <v>2094.8860757896091</v>
      </c>
      <c r="DS33" s="409"/>
      <c r="DT33" s="419"/>
    </row>
    <row r="34" spans="1:124" ht="13" x14ac:dyDescent="0.3">
      <c r="A34" s="194">
        <v>43</v>
      </c>
      <c r="B34" s="409">
        <v>89</v>
      </c>
      <c r="C34" s="458" t="s">
        <v>389</v>
      </c>
      <c r="E34" s="643">
        <v>6342.4</v>
      </c>
      <c r="F34" s="643">
        <v>183865546.06799999</v>
      </c>
      <c r="G34" s="643">
        <v>81019049.486000001</v>
      </c>
      <c r="H34" s="643">
        <v>18578947.002</v>
      </c>
      <c r="I34" s="643">
        <v>8256731.0010000002</v>
      </c>
      <c r="J34" s="643">
        <v>29903.263999999999</v>
      </c>
      <c r="K34" s="643">
        <v>12466.654</v>
      </c>
      <c r="L34" s="643">
        <v>30510.252</v>
      </c>
      <c r="M34" s="643">
        <v>14473222.329</v>
      </c>
      <c r="N34" s="643">
        <v>1510125.003</v>
      </c>
      <c r="O34" s="643">
        <v>239404.79699999999</v>
      </c>
      <c r="P34" s="643">
        <v>14527770.208000001</v>
      </c>
      <c r="Q34" s="643" t="s">
        <v>1069</v>
      </c>
      <c r="R34" s="644">
        <v>3.2189999999999999</v>
      </c>
      <c r="S34" s="644">
        <v>3.02</v>
      </c>
      <c r="T34" s="644">
        <v>3.2839999999999998</v>
      </c>
      <c r="U34" s="644">
        <v>1558.0239999999999</v>
      </c>
      <c r="V34" s="644">
        <v>8.1000000000000003E-2</v>
      </c>
      <c r="W34" s="644">
        <v>1.2999999999999999E-2</v>
      </c>
      <c r="X34" s="644">
        <v>1563.896</v>
      </c>
      <c r="Y34" s="644" t="s">
        <v>1069</v>
      </c>
      <c r="Z34" s="644">
        <v>0.32500000000000001</v>
      </c>
      <c r="AA34" s="644">
        <v>0.308</v>
      </c>
      <c r="AB34" s="644">
        <v>0.33200000000000002</v>
      </c>
      <c r="AC34" s="644">
        <v>157.43299999999999</v>
      </c>
      <c r="AD34" s="644" t="s">
        <v>1069</v>
      </c>
      <c r="AE34" s="644">
        <v>3.3029999999999999</v>
      </c>
      <c r="AF34" s="644">
        <v>3.0979999999999999</v>
      </c>
      <c r="AG34" s="644">
        <v>3.37</v>
      </c>
      <c r="AH34" s="644">
        <v>1598.6010000000001</v>
      </c>
      <c r="AI34" s="644">
        <v>8.3000000000000004E-2</v>
      </c>
      <c r="AJ34" s="644">
        <v>1.2999999999999999E-2</v>
      </c>
      <c r="AK34" s="644" t="s">
        <v>1069</v>
      </c>
      <c r="AL34" s="644">
        <v>2.504</v>
      </c>
      <c r="AM34" s="644">
        <v>4.431</v>
      </c>
      <c r="AN34" s="644">
        <v>2.218</v>
      </c>
      <c r="AO34" s="644">
        <v>3.302</v>
      </c>
      <c r="AP34" s="644">
        <v>2.5190000000000001</v>
      </c>
      <c r="AQ34" s="644">
        <v>4.0640000000000001</v>
      </c>
      <c r="AR34" s="644">
        <v>2.1629999999999998</v>
      </c>
      <c r="AS34" s="644">
        <v>3.1</v>
      </c>
      <c r="AT34" s="644">
        <v>2.7210000000000001</v>
      </c>
      <c r="AU34" s="644">
        <v>5.9009999999999998</v>
      </c>
      <c r="AV34" s="644">
        <v>0.35499999999999998</v>
      </c>
      <c r="AW34" s="644">
        <v>3.3690000000000002</v>
      </c>
      <c r="AX34" s="644">
        <v>2217.1680000000001</v>
      </c>
      <c r="AY34" s="644">
        <v>1690.614</v>
      </c>
      <c r="AZ34" s="644">
        <v>1161.527</v>
      </c>
      <c r="BA34" s="644">
        <v>1598.384</v>
      </c>
      <c r="BB34" s="644" t="s">
        <v>1069</v>
      </c>
      <c r="BC34" s="644" t="s">
        <v>1069</v>
      </c>
      <c r="BD34" s="644">
        <v>0.23300000000000001</v>
      </c>
      <c r="BE34" s="644">
        <v>0.42799999999999999</v>
      </c>
      <c r="BF34" s="644">
        <v>0.23200000000000001</v>
      </c>
      <c r="BG34" s="644">
        <v>0.32500000000000001</v>
      </c>
      <c r="BH34" s="644">
        <v>0.23300000000000001</v>
      </c>
      <c r="BI34" s="644">
        <v>0.39700000000000002</v>
      </c>
      <c r="BJ34" s="644">
        <v>0.22600000000000001</v>
      </c>
      <c r="BK34" s="644">
        <v>0.308</v>
      </c>
      <c r="BL34" s="644">
        <v>0.253</v>
      </c>
      <c r="BM34" s="644">
        <v>0.56999999999999995</v>
      </c>
      <c r="BN34" s="644">
        <v>3.6999999999999998E-2</v>
      </c>
      <c r="BO34" s="644">
        <v>0.33200000000000002</v>
      </c>
      <c r="BP34" s="644">
        <v>205.91200000000001</v>
      </c>
      <c r="BQ34" s="644">
        <v>163.232</v>
      </c>
      <c r="BR34" s="644">
        <v>121.373</v>
      </c>
      <c r="BS34" s="644">
        <v>157.43299999999999</v>
      </c>
      <c r="BT34" s="644" t="s">
        <v>1069</v>
      </c>
      <c r="BU34" s="644" t="s">
        <v>1069</v>
      </c>
      <c r="BV34" s="644">
        <v>3.831</v>
      </c>
      <c r="BW34" s="644">
        <v>3.5750000000000002</v>
      </c>
      <c r="BX34" s="644">
        <v>4.4550000000000001</v>
      </c>
      <c r="BY34" s="644">
        <v>1618.059</v>
      </c>
      <c r="BZ34" s="644">
        <v>0.06</v>
      </c>
      <c r="CA34" s="644">
        <v>1.0999999999999999E-2</v>
      </c>
      <c r="CB34" s="644">
        <v>1622.693</v>
      </c>
      <c r="CC34" s="644" t="s">
        <v>1069</v>
      </c>
      <c r="CD34" s="643">
        <v>3257268</v>
      </c>
      <c r="CE34" s="643">
        <v>6908147.8499999996</v>
      </c>
      <c r="CF34" s="643">
        <v>7944397.3799999999</v>
      </c>
      <c r="CG34" s="643">
        <v>0</v>
      </c>
      <c r="CH34" s="643">
        <v>0</v>
      </c>
      <c r="CI34" s="643">
        <v>0</v>
      </c>
      <c r="CJ34" s="643">
        <v>165727</v>
      </c>
      <c r="CK34" s="643">
        <v>305856.43</v>
      </c>
      <c r="CL34" s="643">
        <v>0</v>
      </c>
      <c r="CM34" s="643">
        <v>0</v>
      </c>
      <c r="CN34" s="643">
        <v>-2449</v>
      </c>
      <c r="CO34" s="643">
        <v>18107364.23</v>
      </c>
      <c r="CP34" s="643">
        <v>471583.43</v>
      </c>
      <c r="CQ34" s="643">
        <v>471583.43</v>
      </c>
      <c r="CR34" s="643">
        <v>18107364.23</v>
      </c>
      <c r="CS34" s="643">
        <v>471583.43</v>
      </c>
      <c r="CT34" s="694">
        <v>0.17532037118619001</v>
      </c>
      <c r="CU34" s="694">
        <v>0.37182664898039802</v>
      </c>
      <c r="CV34" s="694">
        <v>0.42760211855831198</v>
      </c>
      <c r="CW34" s="694">
        <v>0</v>
      </c>
      <c r="CX34" s="694">
        <v>0</v>
      </c>
      <c r="CY34" s="694">
        <v>0</v>
      </c>
      <c r="CZ34" s="694">
        <v>8.9201500016497706E-3</v>
      </c>
      <c r="DA34" s="694">
        <v>1.6462527135404002E-2</v>
      </c>
      <c r="DB34" s="694">
        <v>0</v>
      </c>
      <c r="DC34" s="694">
        <v>0</v>
      </c>
      <c r="DD34" s="694">
        <v>0</v>
      </c>
      <c r="DE34" s="694">
        <v>0.974617322862946</v>
      </c>
      <c r="DF34" s="694">
        <v>2.5382677137053701E-2</v>
      </c>
      <c r="DG34" s="694">
        <v>2.5382677137053701E-2</v>
      </c>
      <c r="DH34" s="694">
        <v>0.974617322862946</v>
      </c>
      <c r="DI34" s="694">
        <v>2.5382677137053701E-2</v>
      </c>
      <c r="DJ34" s="416"/>
      <c r="DK34" s="417">
        <f t="shared" si="6"/>
        <v>9896.4460175384047</v>
      </c>
      <c r="DL34" s="417">
        <f t="shared" si="7"/>
        <v>10152.788805396582</v>
      </c>
      <c r="DM34" s="417">
        <f t="shared" si="8"/>
        <v>10277.762603774305</v>
      </c>
      <c r="DN34" s="417">
        <f t="shared" si="9"/>
        <v>10767.551186914799</v>
      </c>
      <c r="DO34" s="417">
        <f t="shared" si="10"/>
        <v>10357.123603215055</v>
      </c>
      <c r="DP34" s="417">
        <f t="shared" si="11"/>
        <v>9569.8961053941166</v>
      </c>
      <c r="DQ34" s="417"/>
      <c r="DR34" s="417"/>
      <c r="DS34" s="409"/>
      <c r="DT34" s="419"/>
    </row>
    <row r="35" spans="1:124" ht="13" x14ac:dyDescent="0.3">
      <c r="A35" s="194">
        <v>44</v>
      </c>
      <c r="B35" s="409">
        <v>53</v>
      </c>
      <c r="C35" s="410" t="s">
        <v>390</v>
      </c>
      <c r="D35" s="410" t="s">
        <v>1070</v>
      </c>
      <c r="E35" s="643">
        <v>3043.8</v>
      </c>
      <c r="F35" s="643">
        <v>42282342.817000002</v>
      </c>
      <c r="G35" s="643">
        <v>16820174.223000001</v>
      </c>
      <c r="H35" s="643">
        <v>6595817.773</v>
      </c>
      <c r="I35" s="643">
        <v>2652125.5269999998</v>
      </c>
      <c r="J35" s="643">
        <v>20030.617999999999</v>
      </c>
      <c r="K35" s="643">
        <v>8286.973</v>
      </c>
      <c r="L35" s="643">
        <v>1493.1769999999999</v>
      </c>
      <c r="M35" s="643">
        <v>3034124.3369999998</v>
      </c>
      <c r="N35" s="643">
        <v>491825.78399999999</v>
      </c>
      <c r="O35" s="643">
        <v>68293.770999999993</v>
      </c>
      <c r="P35" s="643">
        <v>3050447.9309999999</v>
      </c>
      <c r="Q35" s="643" t="s">
        <v>1069</v>
      </c>
      <c r="R35" s="644">
        <v>6.0739999999999998</v>
      </c>
      <c r="S35" s="644">
        <v>6.2489999999999997</v>
      </c>
      <c r="T35" s="644">
        <v>0.45300000000000001</v>
      </c>
      <c r="U35" s="644">
        <v>920.01499999999999</v>
      </c>
      <c r="V35" s="644">
        <v>7.4999999999999997E-2</v>
      </c>
      <c r="W35" s="644">
        <v>0.01</v>
      </c>
      <c r="X35" s="644">
        <v>924.96400000000006</v>
      </c>
      <c r="Y35" s="644" t="s">
        <v>1069</v>
      </c>
      <c r="Z35" s="644">
        <v>0.94699999999999995</v>
      </c>
      <c r="AA35" s="644">
        <v>0.98499999999999999</v>
      </c>
      <c r="AB35" s="644">
        <v>7.0999999999999994E-2</v>
      </c>
      <c r="AC35" s="644">
        <v>143.517</v>
      </c>
      <c r="AD35" s="644" t="s">
        <v>1069</v>
      </c>
      <c r="AE35" s="644">
        <v>8.39</v>
      </c>
      <c r="AF35" s="644">
        <v>8.6329999999999991</v>
      </c>
      <c r="AG35" s="644">
        <v>0.625</v>
      </c>
      <c r="AH35" s="644">
        <v>1270.9159999999999</v>
      </c>
      <c r="AI35" s="644">
        <v>0.10299999999999999</v>
      </c>
      <c r="AJ35" s="644">
        <v>1.4E-2</v>
      </c>
      <c r="AK35" s="644" t="s">
        <v>1069</v>
      </c>
      <c r="AL35" s="644">
        <v>1.907</v>
      </c>
      <c r="AM35" s="644">
        <v>17.670999999999999</v>
      </c>
      <c r="AN35" s="644">
        <v>7.33</v>
      </c>
      <c r="AO35" s="644">
        <v>8.4220000000000006</v>
      </c>
      <c r="AP35" s="644">
        <v>1.7789999999999999</v>
      </c>
      <c r="AQ35" s="644">
        <v>17.917000000000002</v>
      </c>
      <c r="AR35" s="644">
        <v>8.1470000000000002</v>
      </c>
      <c r="AS35" s="644">
        <v>8.7789999999999999</v>
      </c>
      <c r="AT35" s="644">
        <v>0.93799999999999994</v>
      </c>
      <c r="AU35" s="644">
        <v>2.4060000000000001</v>
      </c>
      <c r="AV35" s="644">
        <v>2.7E-2</v>
      </c>
      <c r="AW35" s="644">
        <v>0.625</v>
      </c>
      <c r="AX35" s="644">
        <v>2274.5830000000001</v>
      </c>
      <c r="AY35" s="644">
        <v>1469.902</v>
      </c>
      <c r="AZ35" s="644">
        <v>976.32500000000005</v>
      </c>
      <c r="BA35" s="644">
        <v>1278.385</v>
      </c>
      <c r="BB35" s="644" t="s">
        <v>1069</v>
      </c>
      <c r="BC35" s="644" t="s">
        <v>1069</v>
      </c>
      <c r="BD35" s="644">
        <v>0.17799999999999999</v>
      </c>
      <c r="BE35" s="644">
        <v>1.9930000000000001</v>
      </c>
      <c r="BF35" s="644">
        <v>0.878</v>
      </c>
      <c r="BG35" s="644">
        <v>0.95399999999999996</v>
      </c>
      <c r="BH35" s="644">
        <v>0.16900000000000001</v>
      </c>
      <c r="BI35" s="644">
        <v>2.0110000000000001</v>
      </c>
      <c r="BJ35" s="644">
        <v>0.97</v>
      </c>
      <c r="BK35" s="644">
        <v>0.99199999999999999</v>
      </c>
      <c r="BL35" s="644">
        <v>8.7999999999999995E-2</v>
      </c>
      <c r="BM35" s="644">
        <v>0.27100000000000002</v>
      </c>
      <c r="BN35" s="644">
        <v>3.0000000000000001E-3</v>
      </c>
      <c r="BO35" s="644">
        <v>7.0999999999999994E-2</v>
      </c>
      <c r="BP35" s="644">
        <v>212.86199999999999</v>
      </c>
      <c r="BQ35" s="644">
        <v>165.75299999999999</v>
      </c>
      <c r="BR35" s="644">
        <v>116.889</v>
      </c>
      <c r="BS35" s="644">
        <v>144.86099999999999</v>
      </c>
      <c r="BT35" s="644" t="s">
        <v>1069</v>
      </c>
      <c r="BU35" s="644" t="s">
        <v>1069</v>
      </c>
      <c r="BV35" s="644">
        <v>9.5060000000000002</v>
      </c>
      <c r="BW35" s="644">
        <v>9.8249999999999993</v>
      </c>
      <c r="BX35" s="644">
        <v>0.78400000000000003</v>
      </c>
      <c r="BY35" s="644">
        <v>1278.374</v>
      </c>
      <c r="BZ35" s="644">
        <v>0.112</v>
      </c>
      <c r="CA35" s="644">
        <v>1.6E-2</v>
      </c>
      <c r="CB35" s="644">
        <v>1285.808</v>
      </c>
      <c r="CC35" s="644" t="s">
        <v>1069</v>
      </c>
      <c r="CD35" s="643">
        <v>752894.44900000002</v>
      </c>
      <c r="CE35" s="643">
        <v>902485.64099999995</v>
      </c>
      <c r="CF35" s="643">
        <v>3085396.0150000001</v>
      </c>
      <c r="CG35" s="643">
        <v>0</v>
      </c>
      <c r="CH35" s="643">
        <v>1688900</v>
      </c>
      <c r="CI35" s="643">
        <v>38070.955999999998</v>
      </c>
      <c r="CJ35" s="643">
        <v>132212</v>
      </c>
      <c r="CK35" s="643">
        <v>0</v>
      </c>
      <c r="CL35" s="643">
        <v>0</v>
      </c>
      <c r="CM35" s="643">
        <v>0</v>
      </c>
      <c r="CN35" s="643">
        <v>-4141</v>
      </c>
      <c r="CO35" s="643">
        <v>4736635.1050000004</v>
      </c>
      <c r="CP35" s="643">
        <v>1859182.956</v>
      </c>
      <c r="CQ35" s="643">
        <v>170282.95600000001</v>
      </c>
      <c r="CR35" s="643">
        <v>4774706.0609999998</v>
      </c>
      <c r="CS35" s="643">
        <v>1821112</v>
      </c>
      <c r="CT35" s="694">
        <v>0.114075624112421</v>
      </c>
      <c r="CU35" s="694">
        <v>0.136741096824813</v>
      </c>
      <c r="CV35" s="694">
        <v>0.467487144463062</v>
      </c>
      <c r="CW35" s="694">
        <v>0</v>
      </c>
      <c r="CX35" s="694">
        <v>0.25589552668287402</v>
      </c>
      <c r="CY35" s="694">
        <v>5.7683624471197301E-3</v>
      </c>
      <c r="CZ35" s="694">
        <v>2.0032245469711701E-2</v>
      </c>
      <c r="DA35" s="694">
        <v>0</v>
      </c>
      <c r="DB35" s="694">
        <v>0</v>
      </c>
      <c r="DC35" s="694">
        <v>0</v>
      </c>
      <c r="DD35" s="694">
        <v>0</v>
      </c>
      <c r="DE35" s="694">
        <v>0.718127010356297</v>
      </c>
      <c r="DF35" s="694">
        <v>0.281872989643703</v>
      </c>
      <c r="DG35" s="694">
        <v>2.5800607916831399E-2</v>
      </c>
      <c r="DH35" s="694">
        <v>0.72389899430853899</v>
      </c>
      <c r="DI35" s="694">
        <v>0.27610100569146101</v>
      </c>
      <c r="DJ35" s="416"/>
      <c r="DK35" s="417">
        <f t="shared" si="6"/>
        <v>6410.4777106006331</v>
      </c>
      <c r="DL35" s="417">
        <f t="shared" si="7"/>
        <v>8824.9080152698116</v>
      </c>
      <c r="DM35" s="417">
        <f t="shared" si="8"/>
        <v>8824.8320804081159</v>
      </c>
      <c r="DN35" s="417">
        <f t="shared" si="9"/>
        <v>10685.716567541413</v>
      </c>
      <c r="DO35" s="417">
        <f t="shared" si="10"/>
        <v>8868.0265213902621</v>
      </c>
      <c r="DP35" s="417">
        <f t="shared" si="11"/>
        <v>8352.5823644654338</v>
      </c>
      <c r="DQ35" s="417"/>
      <c r="DR35" s="417">
        <v>1313.5592884522885</v>
      </c>
      <c r="DS35" s="409"/>
      <c r="DT35" s="419"/>
    </row>
    <row r="36" spans="1:124" ht="13" x14ac:dyDescent="0.3">
      <c r="A36" s="194">
        <v>45</v>
      </c>
      <c r="B36" s="409">
        <v>54</v>
      </c>
      <c r="C36" s="410" t="s">
        <v>391</v>
      </c>
      <c r="D36" s="410" t="s">
        <v>1071</v>
      </c>
      <c r="E36" s="643">
        <v>3265.2</v>
      </c>
      <c r="F36" s="643">
        <v>83268140.807999998</v>
      </c>
      <c r="G36" s="643">
        <v>35217160.494999997</v>
      </c>
      <c r="H36" s="643">
        <v>9180590.0020000003</v>
      </c>
      <c r="I36" s="643">
        <v>3973330.8790000002</v>
      </c>
      <c r="J36" s="643">
        <v>22256.984</v>
      </c>
      <c r="K36" s="643">
        <v>9470.9009999999998</v>
      </c>
      <c r="L36" s="643">
        <v>25333.242999999999</v>
      </c>
      <c r="M36" s="643">
        <v>6844000.0539999995</v>
      </c>
      <c r="N36" s="643">
        <v>1510077.1310000001</v>
      </c>
      <c r="O36" s="643">
        <v>230106.193</v>
      </c>
      <c r="P36" s="643">
        <v>6897161.841</v>
      </c>
      <c r="Q36" s="643" t="s">
        <v>1069</v>
      </c>
      <c r="R36" s="644">
        <v>4.8490000000000002</v>
      </c>
      <c r="S36" s="644">
        <v>4.7670000000000003</v>
      </c>
      <c r="T36" s="644">
        <v>5.5190000000000001</v>
      </c>
      <c r="U36" s="644">
        <v>1490.972</v>
      </c>
      <c r="V36" s="644">
        <v>0.16400000000000001</v>
      </c>
      <c r="W36" s="644">
        <v>2.5000000000000001E-2</v>
      </c>
      <c r="X36" s="644">
        <v>1502.5530000000001</v>
      </c>
      <c r="Y36" s="644" t="s">
        <v>1069</v>
      </c>
      <c r="Z36" s="644">
        <v>0.53500000000000003</v>
      </c>
      <c r="AA36" s="644">
        <v>0.53800000000000003</v>
      </c>
      <c r="AB36" s="644">
        <v>0.60799999999999998</v>
      </c>
      <c r="AC36" s="644">
        <v>164.38499999999999</v>
      </c>
      <c r="AD36" s="644" t="s">
        <v>1069</v>
      </c>
      <c r="AE36" s="644">
        <v>5.7670000000000003</v>
      </c>
      <c r="AF36" s="644">
        <v>5.67</v>
      </c>
      <c r="AG36" s="644">
        <v>6.5640000000000001</v>
      </c>
      <c r="AH36" s="644">
        <v>1773.4380000000001</v>
      </c>
      <c r="AI36" s="644">
        <v>0.19600000000000001</v>
      </c>
      <c r="AJ36" s="644">
        <v>0.03</v>
      </c>
      <c r="AK36" s="644" t="s">
        <v>1069</v>
      </c>
      <c r="AL36" s="644">
        <v>2.8250000000000002</v>
      </c>
      <c r="AM36" s="644">
        <v>6.2859999999999996</v>
      </c>
      <c r="AN36" s="644">
        <v>0</v>
      </c>
      <c r="AO36" s="644">
        <v>5.76</v>
      </c>
      <c r="AP36" s="644">
        <v>2.7789999999999999</v>
      </c>
      <c r="AQ36" s="644">
        <v>6.2489999999999997</v>
      </c>
      <c r="AR36" s="644">
        <v>0</v>
      </c>
      <c r="AS36" s="644">
        <v>5.7149999999999999</v>
      </c>
      <c r="AT36" s="644">
        <v>5.2279999999999998</v>
      </c>
      <c r="AU36" s="644">
        <v>7.2450000000000001</v>
      </c>
      <c r="AV36" s="644">
        <v>0</v>
      </c>
      <c r="AW36" s="644">
        <v>6.9390000000000001</v>
      </c>
      <c r="AX36" s="644">
        <v>2393.7199999999998</v>
      </c>
      <c r="AY36" s="644">
        <v>1652.646</v>
      </c>
      <c r="AZ36" s="644">
        <v>0</v>
      </c>
      <c r="BA36" s="644">
        <v>1765.2719999999999</v>
      </c>
      <c r="BB36" s="644" t="s">
        <v>1069</v>
      </c>
      <c r="BC36" s="644" t="s">
        <v>1069</v>
      </c>
      <c r="BD36" s="644">
        <v>0.252</v>
      </c>
      <c r="BE36" s="644">
        <v>0.61799999999999999</v>
      </c>
      <c r="BF36" s="644">
        <v>0</v>
      </c>
      <c r="BG36" s="644">
        <v>0.55800000000000005</v>
      </c>
      <c r="BH36" s="644">
        <v>0.249</v>
      </c>
      <c r="BI36" s="644">
        <v>0.61799999999999999</v>
      </c>
      <c r="BJ36" s="644">
        <v>0</v>
      </c>
      <c r="BK36" s="644">
        <v>0.55600000000000005</v>
      </c>
      <c r="BL36" s="644">
        <v>0.46700000000000003</v>
      </c>
      <c r="BM36" s="644">
        <v>0.71299999999999997</v>
      </c>
      <c r="BN36" s="644">
        <v>0</v>
      </c>
      <c r="BO36" s="644">
        <v>0.67200000000000004</v>
      </c>
      <c r="BP36" s="644">
        <v>213.892</v>
      </c>
      <c r="BQ36" s="644">
        <v>162.53299999999999</v>
      </c>
      <c r="BR36" s="644">
        <v>0</v>
      </c>
      <c r="BS36" s="644">
        <v>170.994</v>
      </c>
      <c r="BT36" s="644" t="s">
        <v>1069</v>
      </c>
      <c r="BU36" s="644" t="s">
        <v>1069</v>
      </c>
      <c r="BV36" s="644">
        <v>6.2679999999999998</v>
      </c>
      <c r="BW36" s="644">
        <v>6.19</v>
      </c>
      <c r="BX36" s="644">
        <v>6.8449999999999998</v>
      </c>
      <c r="BY36" s="644">
        <v>1748.41</v>
      </c>
      <c r="BZ36" s="644">
        <v>0.17299999999999999</v>
      </c>
      <c r="CA36" s="644">
        <v>2.7E-2</v>
      </c>
      <c r="CB36" s="644">
        <v>1760.7829999999999</v>
      </c>
      <c r="CC36" s="644" t="s">
        <v>1069</v>
      </c>
      <c r="CD36" s="643">
        <v>1084555.1000000001</v>
      </c>
      <c r="CE36" s="643">
        <v>6155207.4199999999</v>
      </c>
      <c r="CF36" s="643">
        <v>0</v>
      </c>
      <c r="CG36" s="643">
        <v>0</v>
      </c>
      <c r="CH36" s="643">
        <v>114971</v>
      </c>
      <c r="CI36" s="643">
        <v>282637.44400000002</v>
      </c>
      <c r="CJ36" s="643">
        <v>657891</v>
      </c>
      <c r="CK36" s="643">
        <v>505994</v>
      </c>
      <c r="CL36" s="643">
        <v>183391</v>
      </c>
      <c r="CM36" s="643">
        <v>198724.533</v>
      </c>
      <c r="CN36" s="643">
        <v>-2781</v>
      </c>
      <c r="CO36" s="643">
        <v>7435706.0530000003</v>
      </c>
      <c r="CP36" s="643">
        <v>1744884.4439999999</v>
      </c>
      <c r="CQ36" s="643">
        <v>1629913.4439999999</v>
      </c>
      <c r="CR36" s="643">
        <v>7718343.4970000004</v>
      </c>
      <c r="CS36" s="643">
        <v>1462247</v>
      </c>
      <c r="CT36" s="694">
        <v>0.118099883071735</v>
      </c>
      <c r="CU36" s="694">
        <v>0.67025573581671705</v>
      </c>
      <c r="CV36" s="694">
        <v>0</v>
      </c>
      <c r="CW36" s="694">
        <v>0</v>
      </c>
      <c r="CX36" s="694">
        <v>1.2519476102818901E-2</v>
      </c>
      <c r="CY36" s="694">
        <v>3.0777089230500099E-2</v>
      </c>
      <c r="CZ36" s="694">
        <v>7.1639375605671393E-2</v>
      </c>
      <c r="DA36" s="694">
        <v>5.5098936176686E-2</v>
      </c>
      <c r="DB36" s="694">
        <v>1.99698988612091E-2</v>
      </c>
      <c r="DC36" s="694">
        <v>2.1639605134663099E-2</v>
      </c>
      <c r="DD36" s="694">
        <v>0</v>
      </c>
      <c r="DE36" s="694">
        <v>0.80993766745503104</v>
      </c>
      <c r="DF36" s="694">
        <v>0.19006233254496899</v>
      </c>
      <c r="DG36" s="694">
        <v>0.177485299874066</v>
      </c>
      <c r="DH36" s="694">
        <v>0.84072407973345198</v>
      </c>
      <c r="DI36" s="694">
        <v>0.15927592026654799</v>
      </c>
      <c r="DJ36" s="416"/>
      <c r="DK36" s="417">
        <f t="shared" si="6"/>
        <v>9070.0206402703916</v>
      </c>
      <c r="DL36" s="417">
        <f t="shared" si="7"/>
        <v>10323.590301414084</v>
      </c>
      <c r="DM36" s="417">
        <f t="shared" si="8"/>
        <v>10224.978654221786</v>
      </c>
      <c r="DN36" s="417">
        <f t="shared" si="9"/>
        <v>11191.255399921454</v>
      </c>
      <c r="DO36" s="417">
        <f t="shared" si="10"/>
        <v>10168.064331551133</v>
      </c>
      <c r="DP36" s="417" t="str">
        <f t="shared" si="11"/>
        <v>-</v>
      </c>
      <c r="DQ36" s="417"/>
      <c r="DR36" s="417">
        <v>1798.2744277370314</v>
      </c>
      <c r="DS36" s="409"/>
      <c r="DT36" s="419"/>
    </row>
    <row r="37" spans="1:124" ht="13" x14ac:dyDescent="0.3">
      <c r="A37" s="194">
        <v>46</v>
      </c>
      <c r="B37" s="409">
        <v>55</v>
      </c>
      <c r="C37" s="410" t="s">
        <v>392</v>
      </c>
      <c r="D37" s="410" t="s">
        <v>1072</v>
      </c>
      <c r="E37" s="643">
        <v>158253.20000000001</v>
      </c>
      <c r="F37" s="643">
        <v>2454245941.6760001</v>
      </c>
      <c r="G37" s="643">
        <v>1224843041.474</v>
      </c>
      <c r="H37" s="643">
        <v>459728134.66299999</v>
      </c>
      <c r="I37" s="643">
        <v>204177921.354</v>
      </c>
      <c r="J37" s="643">
        <v>161180.24299999999</v>
      </c>
      <c r="K37" s="643">
        <v>78836.618000000002</v>
      </c>
      <c r="L37" s="643">
        <v>178250.59299999999</v>
      </c>
      <c r="M37" s="643">
        <v>223671134.71900001</v>
      </c>
      <c r="N37" s="643">
        <v>44406342.983000003</v>
      </c>
      <c r="O37" s="643">
        <v>6407350.2980000004</v>
      </c>
      <c r="P37" s="643">
        <v>225178080.31099999</v>
      </c>
      <c r="Q37" s="643" t="s">
        <v>1069</v>
      </c>
      <c r="R37" s="644">
        <v>0.70099999999999996</v>
      </c>
      <c r="S37" s="644">
        <v>0.77200000000000002</v>
      </c>
      <c r="T37" s="644">
        <v>0.77500000000000002</v>
      </c>
      <c r="U37" s="644">
        <v>973.05799999999999</v>
      </c>
      <c r="V37" s="644">
        <v>9.7000000000000003E-2</v>
      </c>
      <c r="W37" s="644">
        <v>1.4E-2</v>
      </c>
      <c r="X37" s="644">
        <v>979.61400000000003</v>
      </c>
      <c r="Y37" s="644" t="s">
        <v>1069</v>
      </c>
      <c r="Z37" s="644">
        <v>0.13100000000000001</v>
      </c>
      <c r="AA37" s="644">
        <v>0.129</v>
      </c>
      <c r="AB37" s="644">
        <v>0.14499999999999999</v>
      </c>
      <c r="AC37" s="644">
        <v>182.273</v>
      </c>
      <c r="AD37" s="644" t="s">
        <v>1069</v>
      </c>
      <c r="AE37" s="644">
        <v>1.29</v>
      </c>
      <c r="AF37" s="644">
        <v>1.421</v>
      </c>
      <c r="AG37" s="644">
        <v>1.427</v>
      </c>
      <c r="AH37" s="644">
        <v>1790.63</v>
      </c>
      <c r="AI37" s="644">
        <v>0.17799999999999999</v>
      </c>
      <c r="AJ37" s="644">
        <v>2.5999999999999999E-2</v>
      </c>
      <c r="AK37" s="644" t="s">
        <v>1069</v>
      </c>
      <c r="AL37" s="644">
        <v>1.4990000000000001</v>
      </c>
      <c r="AM37" s="644">
        <v>7.0380000000000003</v>
      </c>
      <c r="AN37" s="644">
        <v>0.73099999999999998</v>
      </c>
      <c r="AO37" s="644">
        <v>1.274</v>
      </c>
      <c r="AP37" s="644">
        <v>1.488</v>
      </c>
      <c r="AQ37" s="644">
        <v>4.766</v>
      </c>
      <c r="AR37" s="644">
        <v>0.73299999999999998</v>
      </c>
      <c r="AS37" s="644">
        <v>1.2589999999999999</v>
      </c>
      <c r="AT37" s="644">
        <v>2.0579999999999998</v>
      </c>
      <c r="AU37" s="644">
        <v>1.702</v>
      </c>
      <c r="AV37" s="644">
        <v>2.7E-2</v>
      </c>
      <c r="AW37" s="644">
        <v>1.4259999999999999</v>
      </c>
      <c r="AX37" s="644">
        <v>2179.56</v>
      </c>
      <c r="AY37" s="644">
        <v>1486.4870000000001</v>
      </c>
      <c r="AZ37" s="644">
        <v>1014.107</v>
      </c>
      <c r="BA37" s="644">
        <v>1815.7470000000001</v>
      </c>
      <c r="BB37" s="644" t="s">
        <v>1069</v>
      </c>
      <c r="BC37" s="644" t="s">
        <v>1069</v>
      </c>
      <c r="BD37" s="644">
        <v>0.14299999999999999</v>
      </c>
      <c r="BE37" s="644">
        <v>0.72099999999999997</v>
      </c>
      <c r="BF37" s="644">
        <v>8.5999999999999993E-2</v>
      </c>
      <c r="BG37" s="644">
        <v>0.129</v>
      </c>
      <c r="BH37" s="644">
        <v>0.14199999999999999</v>
      </c>
      <c r="BI37" s="644">
        <v>0.58299999999999996</v>
      </c>
      <c r="BJ37" s="644">
        <v>8.4000000000000005E-2</v>
      </c>
      <c r="BK37" s="644">
        <v>0.127</v>
      </c>
      <c r="BL37" s="644">
        <v>0.19700000000000001</v>
      </c>
      <c r="BM37" s="644">
        <v>0.17399999999999999</v>
      </c>
      <c r="BN37" s="644">
        <v>3.0000000000000001E-3</v>
      </c>
      <c r="BO37" s="644">
        <v>0.14499999999999999</v>
      </c>
      <c r="BP37" s="644">
        <v>208.32599999999999</v>
      </c>
      <c r="BQ37" s="644">
        <v>152.22499999999999</v>
      </c>
      <c r="BR37" s="644">
        <v>118.901</v>
      </c>
      <c r="BS37" s="644">
        <v>184.15600000000001</v>
      </c>
      <c r="BT37" s="644" t="s">
        <v>1069</v>
      </c>
      <c r="BU37" s="644" t="s">
        <v>1069</v>
      </c>
      <c r="BV37" s="644">
        <v>1.3340000000000001</v>
      </c>
      <c r="BW37" s="644">
        <v>1.3069999999999999</v>
      </c>
      <c r="BX37" s="644">
        <v>1.306</v>
      </c>
      <c r="BY37" s="644">
        <v>1716.5150000000001</v>
      </c>
      <c r="BZ37" s="644">
        <v>0.159</v>
      </c>
      <c r="CA37" s="644">
        <v>2.3E-2</v>
      </c>
      <c r="CB37" s="644">
        <v>1727.21</v>
      </c>
      <c r="CC37" s="644" t="s">
        <v>1069</v>
      </c>
      <c r="CD37" s="643">
        <v>162116978.55700001</v>
      </c>
      <c r="CE37" s="643">
        <v>1053037.362</v>
      </c>
      <c r="CF37" s="643">
        <v>82434806.958000004</v>
      </c>
      <c r="CG37" s="643">
        <v>29578125</v>
      </c>
      <c r="CH37" s="643">
        <v>17200563.420000002</v>
      </c>
      <c r="CI37" s="643">
        <v>3255892.3679999998</v>
      </c>
      <c r="CJ37" s="643">
        <v>159882565.15000001</v>
      </c>
      <c r="CK37" s="643">
        <v>3242909.21</v>
      </c>
      <c r="CL37" s="643">
        <v>0</v>
      </c>
      <c r="CM37" s="643">
        <v>574162.098</v>
      </c>
      <c r="CN37" s="643">
        <v>389096.609</v>
      </c>
      <c r="CO37" s="643">
        <v>276146206.58399999</v>
      </c>
      <c r="CP37" s="643">
        <v>183581930.148</v>
      </c>
      <c r="CQ37" s="643">
        <v>166381366.72799999</v>
      </c>
      <c r="CR37" s="643">
        <v>249823973.95199999</v>
      </c>
      <c r="CS37" s="643">
        <v>209904162.78</v>
      </c>
      <c r="CT37" s="694">
        <v>0.352636625004979</v>
      </c>
      <c r="CU37" s="694">
        <v>2.2905653969443099E-3</v>
      </c>
      <c r="CV37" s="694">
        <v>0.179312076793889</v>
      </c>
      <c r="CW37" s="694">
        <v>6.4338296129224495E-2</v>
      </c>
      <c r="CX37" s="694">
        <v>3.7414641492841898E-2</v>
      </c>
      <c r="CY37" s="694">
        <v>7.0822125248732196E-3</v>
      </c>
      <c r="CZ37" s="694">
        <v>0.34777633208733599</v>
      </c>
      <c r="DA37" s="694">
        <v>7.0539715777510996E-3</v>
      </c>
      <c r="DB37" s="694">
        <v>0</v>
      </c>
      <c r="DC37" s="694">
        <v>1.2489165924919399E-3</v>
      </c>
      <c r="DD37" s="694">
        <v>8.4636239966931796E-4</v>
      </c>
      <c r="DE37" s="694">
        <v>0.60067284231719797</v>
      </c>
      <c r="DF37" s="694">
        <v>0.39932715768280203</v>
      </c>
      <c r="DG37" s="694">
        <v>0.36191251618996001</v>
      </c>
      <c r="DH37" s="694">
        <v>0.543416758712847</v>
      </c>
      <c r="DI37" s="694">
        <v>0.456583241287153</v>
      </c>
      <c r="DJ37" s="416"/>
      <c r="DK37" s="417">
        <f t="shared" si="6"/>
        <v>5338.4723636178269</v>
      </c>
      <c r="DL37" s="417">
        <f t="shared" si="7"/>
        <v>9859.8307956297922</v>
      </c>
      <c r="DM37" s="417">
        <f t="shared" si="8"/>
        <v>9320.9832967701295</v>
      </c>
      <c r="DN37" s="417">
        <f t="shared" si="9"/>
        <v>10462.256271420754</v>
      </c>
      <c r="DO37" s="417">
        <f t="shared" si="10"/>
        <v>9765.0648710789956</v>
      </c>
      <c r="DP37" s="417">
        <f t="shared" si="11"/>
        <v>8529.0031202428909</v>
      </c>
      <c r="DQ37" s="417"/>
      <c r="DR37" s="417">
        <v>2016.1260749116682</v>
      </c>
      <c r="DS37" s="409"/>
      <c r="DT37" s="419"/>
    </row>
    <row r="38" spans="1:124" ht="13" x14ac:dyDescent="0.3">
      <c r="A38" s="194">
        <v>47</v>
      </c>
      <c r="B38" s="409">
        <v>56</v>
      </c>
      <c r="C38" s="410" t="s">
        <v>393</v>
      </c>
      <c r="D38" s="410" t="s">
        <v>1073</v>
      </c>
      <c r="E38" s="643">
        <v>83910.6</v>
      </c>
      <c r="F38" s="643">
        <v>996720175.68200004</v>
      </c>
      <c r="G38" s="643">
        <v>478226701.57800001</v>
      </c>
      <c r="H38" s="643">
        <v>226868281.26499999</v>
      </c>
      <c r="I38" s="643">
        <v>100704848.132</v>
      </c>
      <c r="J38" s="643">
        <v>30355.618999999999</v>
      </c>
      <c r="K38" s="643">
        <v>14013.866</v>
      </c>
      <c r="L38" s="643">
        <v>7191.0680000000002</v>
      </c>
      <c r="M38" s="643">
        <v>55982730.068000004</v>
      </c>
      <c r="N38" s="643">
        <v>10811599.145</v>
      </c>
      <c r="O38" s="643">
        <v>1387291.939</v>
      </c>
      <c r="P38" s="643">
        <v>56324564.995999999</v>
      </c>
      <c r="Q38" s="643" t="s">
        <v>1069</v>
      </c>
      <c r="R38" s="644">
        <v>0.26800000000000002</v>
      </c>
      <c r="S38" s="644">
        <v>0.27800000000000002</v>
      </c>
      <c r="T38" s="644">
        <v>6.3E-2</v>
      </c>
      <c r="U38" s="644">
        <v>493.52600000000001</v>
      </c>
      <c r="V38" s="644">
        <v>4.8000000000000001E-2</v>
      </c>
      <c r="W38" s="644">
        <v>6.0000000000000001E-3</v>
      </c>
      <c r="X38" s="644">
        <v>496.54</v>
      </c>
      <c r="Y38" s="644" t="s">
        <v>1069</v>
      </c>
      <c r="Z38" s="644">
        <v>6.0999999999999999E-2</v>
      </c>
      <c r="AA38" s="644">
        <v>5.8999999999999997E-2</v>
      </c>
      <c r="AB38" s="644">
        <v>1.4E-2</v>
      </c>
      <c r="AC38" s="644">
        <v>112.334</v>
      </c>
      <c r="AD38" s="644" t="s">
        <v>1069</v>
      </c>
      <c r="AE38" s="644">
        <v>0.49399999999999999</v>
      </c>
      <c r="AF38" s="644">
        <v>0.51400000000000001</v>
      </c>
      <c r="AG38" s="644">
        <v>0.11700000000000001</v>
      </c>
      <c r="AH38" s="644">
        <v>910.88300000000004</v>
      </c>
      <c r="AI38" s="644">
        <v>8.7999999999999995E-2</v>
      </c>
      <c r="AJ38" s="644">
        <v>1.0999999999999999E-2</v>
      </c>
      <c r="AK38" s="644" t="s">
        <v>1069</v>
      </c>
      <c r="AL38" s="644">
        <v>2.5350000000000001</v>
      </c>
      <c r="AM38" s="644">
        <v>3.738</v>
      </c>
      <c r="AN38" s="644">
        <v>0.25900000000000001</v>
      </c>
      <c r="AO38" s="644">
        <v>0.28499999999999998</v>
      </c>
      <c r="AP38" s="644">
        <v>3.68</v>
      </c>
      <c r="AQ38" s="644">
        <v>3.5979999999999999</v>
      </c>
      <c r="AR38" s="644">
        <v>0.26500000000000001</v>
      </c>
      <c r="AS38" s="644">
        <v>0.29099999999999998</v>
      </c>
      <c r="AT38" s="644">
        <v>1.387</v>
      </c>
      <c r="AU38" s="644">
        <v>1.2869999999999999</v>
      </c>
      <c r="AV38" s="644">
        <v>3.5999999999999997E-2</v>
      </c>
      <c r="AW38" s="644">
        <v>4.7E-2</v>
      </c>
      <c r="AX38" s="644">
        <v>2293.7330000000002</v>
      </c>
      <c r="AY38" s="644">
        <v>1465.0740000000001</v>
      </c>
      <c r="AZ38" s="644">
        <v>895.31200000000001</v>
      </c>
      <c r="BA38" s="644">
        <v>902.29600000000005</v>
      </c>
      <c r="BB38" s="644" t="s">
        <v>1069</v>
      </c>
      <c r="BC38" s="644" t="s">
        <v>1069</v>
      </c>
      <c r="BD38" s="644">
        <v>0.22700000000000001</v>
      </c>
      <c r="BE38" s="644">
        <v>0.33700000000000002</v>
      </c>
      <c r="BF38" s="644">
        <v>3.4000000000000002E-2</v>
      </c>
      <c r="BG38" s="644">
        <v>3.7999999999999999E-2</v>
      </c>
      <c r="BH38" s="644">
        <v>0.27100000000000002</v>
      </c>
      <c r="BI38" s="644">
        <v>0.27100000000000002</v>
      </c>
      <c r="BJ38" s="644">
        <v>3.5000000000000003E-2</v>
      </c>
      <c r="BK38" s="644">
        <v>3.7999999999999999E-2</v>
      </c>
      <c r="BL38" s="644">
        <v>0.124</v>
      </c>
      <c r="BM38" s="644">
        <v>0.11600000000000001</v>
      </c>
      <c r="BN38" s="644">
        <v>5.0000000000000001E-3</v>
      </c>
      <c r="BO38" s="644">
        <v>6.0000000000000001E-3</v>
      </c>
      <c r="BP38" s="644">
        <v>204.93100000000001</v>
      </c>
      <c r="BQ38" s="644">
        <v>132.25200000000001</v>
      </c>
      <c r="BR38" s="644">
        <v>119.372</v>
      </c>
      <c r="BS38" s="644">
        <v>119.80800000000001</v>
      </c>
      <c r="BT38" s="644" t="s">
        <v>1069</v>
      </c>
      <c r="BU38" s="644" t="s">
        <v>1069</v>
      </c>
      <c r="BV38" s="644">
        <v>0.46100000000000002</v>
      </c>
      <c r="BW38" s="644">
        <v>0.44600000000000001</v>
      </c>
      <c r="BX38" s="644">
        <v>0.115</v>
      </c>
      <c r="BY38" s="644">
        <v>955.25099999999998</v>
      </c>
      <c r="BZ38" s="644">
        <v>5.2999999999999999E-2</v>
      </c>
      <c r="CA38" s="644">
        <v>7.0000000000000001E-3</v>
      </c>
      <c r="CB38" s="644">
        <v>958.58199999999999</v>
      </c>
      <c r="CC38" s="644" t="s">
        <v>1069</v>
      </c>
      <c r="CD38" s="643">
        <v>578806.81700000004</v>
      </c>
      <c r="CE38" s="643">
        <v>923965.09699999995</v>
      </c>
      <c r="CF38" s="643">
        <v>111405843.722</v>
      </c>
      <c r="CG38" s="643">
        <v>58249209</v>
      </c>
      <c r="CH38" s="643">
        <v>34214584.560000002</v>
      </c>
      <c r="CI38" s="643">
        <v>7231929.6380000003</v>
      </c>
      <c r="CJ38" s="643">
        <v>7936528.25</v>
      </c>
      <c r="CK38" s="643">
        <v>3548290.32</v>
      </c>
      <c r="CL38" s="643">
        <v>0</v>
      </c>
      <c r="CM38" s="643">
        <v>2696426.2250000001</v>
      </c>
      <c r="CN38" s="643">
        <v>82696</v>
      </c>
      <c r="CO38" s="643">
        <v>173936946.861</v>
      </c>
      <c r="CP38" s="643">
        <v>52931332.767999999</v>
      </c>
      <c r="CQ38" s="643">
        <v>18716748.208000001</v>
      </c>
      <c r="CR38" s="643">
        <v>122919667.499</v>
      </c>
      <c r="CS38" s="643">
        <v>103948612.13</v>
      </c>
      <c r="CT38" s="694">
        <v>2.55129019335153E-3</v>
      </c>
      <c r="CU38" s="694">
        <v>4.0726940694881201E-3</v>
      </c>
      <c r="CV38" s="694">
        <v>0.49105958710571201</v>
      </c>
      <c r="CW38" s="694">
        <v>0.25675343020741198</v>
      </c>
      <c r="CX38" s="694">
        <v>0.15081255350440101</v>
      </c>
      <c r="CY38" s="694">
        <v>3.1877218136561199E-2</v>
      </c>
      <c r="CZ38" s="694">
        <v>3.4982978946984898E-2</v>
      </c>
      <c r="DA38" s="694">
        <v>1.5640310429481601E-2</v>
      </c>
      <c r="DB38" s="694">
        <v>0</v>
      </c>
      <c r="DC38" s="694">
        <v>1.1885426333771701E-2</v>
      </c>
      <c r="DD38" s="694">
        <v>3.6451107283589197E-4</v>
      </c>
      <c r="DE38" s="694">
        <v>0.76668693898257101</v>
      </c>
      <c r="DF38" s="694">
        <v>0.23331306101742899</v>
      </c>
      <c r="DG38" s="694">
        <v>8.2500507513027801E-2</v>
      </c>
      <c r="DH38" s="694">
        <v>0.54181072691172105</v>
      </c>
      <c r="DI38" s="694">
        <v>0.458189273088279</v>
      </c>
      <c r="DJ38" s="416"/>
      <c r="DK38" s="417">
        <f t="shared" si="6"/>
        <v>4393.3870796056881</v>
      </c>
      <c r="DL38" s="417">
        <f t="shared" si="7"/>
        <v>7531.1832264957266</v>
      </c>
      <c r="DM38" s="417">
        <f t="shared" si="8"/>
        <v>7973.1820913461534</v>
      </c>
      <c r="DN38" s="417">
        <f t="shared" si="9"/>
        <v>11192.708765389327</v>
      </c>
      <c r="DO38" s="417">
        <f t="shared" si="10"/>
        <v>11077.896742582343</v>
      </c>
      <c r="DP38" s="417">
        <f t="shared" si="11"/>
        <v>7500.1842978252862</v>
      </c>
      <c r="DQ38" s="417"/>
      <c r="DR38" s="417">
        <v>1047.5061683273946</v>
      </c>
      <c r="DS38" s="409"/>
      <c r="DT38" s="419"/>
    </row>
    <row r="39" spans="1:124" ht="13" x14ac:dyDescent="0.3">
      <c r="A39" s="194">
        <v>48</v>
      </c>
      <c r="B39" s="409">
        <v>57</v>
      </c>
      <c r="C39" s="410" t="s">
        <v>394</v>
      </c>
      <c r="D39" s="410" t="s">
        <v>1074</v>
      </c>
      <c r="E39" s="643">
        <v>251144.5</v>
      </c>
      <c r="F39" s="643">
        <v>5323074878.3120003</v>
      </c>
      <c r="G39" s="643">
        <v>2485580177.0089998</v>
      </c>
      <c r="H39" s="643">
        <v>917396151.21800005</v>
      </c>
      <c r="I39" s="643">
        <v>405878511.78299999</v>
      </c>
      <c r="J39" s="643">
        <v>229856.253</v>
      </c>
      <c r="K39" s="643">
        <v>96395.743000000002</v>
      </c>
      <c r="L39" s="643">
        <v>282779.77799999999</v>
      </c>
      <c r="M39" s="643">
        <v>436865019.31099999</v>
      </c>
      <c r="N39" s="643">
        <v>76468264.459999993</v>
      </c>
      <c r="O39" s="643">
        <v>10829875.086999999</v>
      </c>
      <c r="P39" s="643">
        <v>439433058.26499999</v>
      </c>
      <c r="Q39" s="643" t="s">
        <v>1069</v>
      </c>
      <c r="R39" s="644">
        <v>0.501</v>
      </c>
      <c r="S39" s="644">
        <v>0.47499999999999998</v>
      </c>
      <c r="T39" s="644">
        <v>0.61599999999999999</v>
      </c>
      <c r="U39" s="644">
        <v>952.40200000000004</v>
      </c>
      <c r="V39" s="644">
        <v>8.3000000000000004E-2</v>
      </c>
      <c r="W39" s="644">
        <v>1.2E-2</v>
      </c>
      <c r="X39" s="644">
        <v>958.00099999999998</v>
      </c>
      <c r="Y39" s="644" t="s">
        <v>1069</v>
      </c>
      <c r="Z39" s="644">
        <v>8.5999999999999993E-2</v>
      </c>
      <c r="AA39" s="644">
        <v>7.8E-2</v>
      </c>
      <c r="AB39" s="644">
        <v>0.106</v>
      </c>
      <c r="AC39" s="644">
        <v>164.14</v>
      </c>
      <c r="AD39" s="644" t="s">
        <v>1069</v>
      </c>
      <c r="AE39" s="644">
        <v>0.76700000000000002</v>
      </c>
      <c r="AF39" s="644">
        <v>0.72699999999999998</v>
      </c>
      <c r="AG39" s="644">
        <v>0.94299999999999995</v>
      </c>
      <c r="AH39" s="644">
        <v>1457.125</v>
      </c>
      <c r="AI39" s="644">
        <v>0.128</v>
      </c>
      <c r="AJ39" s="644">
        <v>1.7999999999999999E-2</v>
      </c>
      <c r="AK39" s="644" t="s">
        <v>1069</v>
      </c>
      <c r="AL39" s="644">
        <v>1.2569999999999999</v>
      </c>
      <c r="AM39" s="644">
        <v>3.6230000000000002</v>
      </c>
      <c r="AN39" s="644">
        <v>0.28499999999999998</v>
      </c>
      <c r="AO39" s="644">
        <v>0.73699999999999999</v>
      </c>
      <c r="AP39" s="644">
        <v>1.081</v>
      </c>
      <c r="AQ39" s="644">
        <v>3.19</v>
      </c>
      <c r="AR39" s="644">
        <v>0.29099999999999998</v>
      </c>
      <c r="AS39" s="644">
        <v>0.67700000000000005</v>
      </c>
      <c r="AT39" s="644">
        <v>2.0579999999999998</v>
      </c>
      <c r="AU39" s="644">
        <v>2.34</v>
      </c>
      <c r="AV39" s="644">
        <v>0.02</v>
      </c>
      <c r="AW39" s="644">
        <v>0.94699999999999995</v>
      </c>
      <c r="AX39" s="644">
        <v>2179.5140000000001</v>
      </c>
      <c r="AY39" s="644">
        <v>2123.4409999999998</v>
      </c>
      <c r="AZ39" s="644">
        <v>878.20799999999997</v>
      </c>
      <c r="BA39" s="644">
        <v>1472.173</v>
      </c>
      <c r="BB39" s="644" t="s">
        <v>1069</v>
      </c>
      <c r="BC39" s="644" t="s">
        <v>1069</v>
      </c>
      <c r="BD39" s="644">
        <v>0.11899999999999999</v>
      </c>
      <c r="BE39" s="644">
        <v>0.28499999999999998</v>
      </c>
      <c r="BF39" s="644">
        <v>3.9E-2</v>
      </c>
      <c r="BG39" s="644">
        <v>8.3000000000000004E-2</v>
      </c>
      <c r="BH39" s="644">
        <v>0.10199999999999999</v>
      </c>
      <c r="BI39" s="644">
        <v>0.252</v>
      </c>
      <c r="BJ39" s="644">
        <v>3.9E-2</v>
      </c>
      <c r="BK39" s="644">
        <v>7.4999999999999997E-2</v>
      </c>
      <c r="BL39" s="644">
        <v>0.19500000000000001</v>
      </c>
      <c r="BM39" s="644">
        <v>0.184</v>
      </c>
      <c r="BN39" s="644">
        <v>3.0000000000000001E-3</v>
      </c>
      <c r="BO39" s="644">
        <v>0.107</v>
      </c>
      <c r="BP39" s="644">
        <v>206.56399999999999</v>
      </c>
      <c r="BQ39" s="644">
        <v>167.048</v>
      </c>
      <c r="BR39" s="644">
        <v>118.98699999999999</v>
      </c>
      <c r="BS39" s="644">
        <v>166.78700000000001</v>
      </c>
      <c r="BT39" s="644" t="s">
        <v>1069</v>
      </c>
      <c r="BU39" s="644" t="s">
        <v>1069</v>
      </c>
      <c r="BV39" s="644">
        <v>0.997</v>
      </c>
      <c r="BW39" s="644">
        <v>0.91200000000000003</v>
      </c>
      <c r="BX39" s="644">
        <v>1.165</v>
      </c>
      <c r="BY39" s="644">
        <v>1671.1780000000001</v>
      </c>
      <c r="BZ39" s="644">
        <v>0.154</v>
      </c>
      <c r="CA39" s="644">
        <v>2.1999999999999999E-2</v>
      </c>
      <c r="CB39" s="644">
        <v>1681.5630000000001</v>
      </c>
      <c r="CC39" s="644" t="s">
        <v>1069</v>
      </c>
      <c r="CD39" s="643">
        <v>257895950.87799999</v>
      </c>
      <c r="CE39" s="643">
        <v>2922904.8820000002</v>
      </c>
      <c r="CF39" s="643">
        <v>324008780.37699997</v>
      </c>
      <c r="CG39" s="643">
        <v>269475516</v>
      </c>
      <c r="CH39" s="643">
        <v>8132630.1200000001</v>
      </c>
      <c r="CI39" s="643">
        <v>7062971.8080000002</v>
      </c>
      <c r="CJ39" s="643">
        <v>35143808.829999998</v>
      </c>
      <c r="CK39" s="643">
        <v>5018281.4000000004</v>
      </c>
      <c r="CL39" s="643">
        <v>0</v>
      </c>
      <c r="CM39" s="643">
        <v>7315209.3590000002</v>
      </c>
      <c r="CN39" s="643">
        <v>420096.946</v>
      </c>
      <c r="CO39" s="643">
        <v>862038458.44200003</v>
      </c>
      <c r="CP39" s="643">
        <v>55357692.158</v>
      </c>
      <c r="CQ39" s="643">
        <v>47225062.038000003</v>
      </c>
      <c r="CR39" s="643">
        <v>599625914.25</v>
      </c>
      <c r="CS39" s="643">
        <v>317770236.35000002</v>
      </c>
      <c r="CT39" s="694">
        <v>0.28111732397103401</v>
      </c>
      <c r="CU39" s="694">
        <v>3.1860880167072299E-3</v>
      </c>
      <c r="CV39" s="694">
        <v>0.35318306073672801</v>
      </c>
      <c r="CW39" s="694">
        <v>0.29373953206993098</v>
      </c>
      <c r="CX39" s="694">
        <v>8.8649054333627408E-3</v>
      </c>
      <c r="CY39" s="694">
        <v>7.6989333379921402E-3</v>
      </c>
      <c r="CZ39" s="694">
        <v>3.8308214839374501E-2</v>
      </c>
      <c r="DA39" s="694">
        <v>5.47013566245936E-3</v>
      </c>
      <c r="DB39" s="694">
        <v>0</v>
      </c>
      <c r="DC39" s="694">
        <v>7.9738827705083306E-3</v>
      </c>
      <c r="DD39" s="694">
        <v>4.5792316190257202E-4</v>
      </c>
      <c r="DE39" s="694">
        <v>0.93965781072681098</v>
      </c>
      <c r="DF39" s="694">
        <v>6.0342189273188802E-2</v>
      </c>
      <c r="DG39" s="694">
        <v>5.1477283839826103E-2</v>
      </c>
      <c r="DH39" s="694">
        <v>0.65361721199487199</v>
      </c>
      <c r="DI39" s="694">
        <v>0.34638278800512801</v>
      </c>
      <c r="DJ39" s="416"/>
      <c r="DK39" s="417">
        <f t="shared" si="6"/>
        <v>5802.3732400061945</v>
      </c>
      <c r="DL39" s="417">
        <f t="shared" si="7"/>
        <v>8826.665147763315</v>
      </c>
      <c r="DM39" s="417">
        <f t="shared" si="8"/>
        <v>10019.83368008298</v>
      </c>
      <c r="DN39" s="417">
        <f t="shared" si="9"/>
        <v>10551.277086036291</v>
      </c>
      <c r="DO39" s="417">
        <f t="shared" si="10"/>
        <v>12711.56194626694</v>
      </c>
      <c r="DP39" s="417">
        <f t="shared" si="11"/>
        <v>7380.705455217797</v>
      </c>
      <c r="DQ39" s="417"/>
      <c r="DR39" s="417">
        <v>1689.251744434162</v>
      </c>
      <c r="DS39" s="409"/>
      <c r="DT39" s="419"/>
    </row>
    <row r="40" spans="1:124" ht="13" x14ac:dyDescent="0.3">
      <c r="A40" s="194">
        <v>49</v>
      </c>
      <c r="B40" s="409">
        <v>58</v>
      </c>
      <c r="C40" s="410" t="s">
        <v>395</v>
      </c>
      <c r="D40" s="410" t="s">
        <v>1075</v>
      </c>
      <c r="E40" s="643">
        <v>377907.80000000098</v>
      </c>
      <c r="F40" s="643">
        <v>7723086390.7399998</v>
      </c>
      <c r="G40" s="643">
        <v>3660597828.1700001</v>
      </c>
      <c r="H40" s="643">
        <v>1330175374.6199999</v>
      </c>
      <c r="I40" s="643">
        <v>606136780.90100002</v>
      </c>
      <c r="J40" s="643">
        <v>291015.91899999999</v>
      </c>
      <c r="K40" s="643">
        <v>132382.98000000001</v>
      </c>
      <c r="L40" s="643">
        <v>364530.98</v>
      </c>
      <c r="M40" s="643">
        <v>579337487.47099996</v>
      </c>
      <c r="N40" s="643">
        <v>91862976.496000007</v>
      </c>
      <c r="O40" s="643">
        <v>13055470.933</v>
      </c>
      <c r="P40" s="643">
        <v>582371684.21000004</v>
      </c>
      <c r="Q40" s="643" t="s">
        <v>1069</v>
      </c>
      <c r="R40" s="644">
        <v>0.438</v>
      </c>
      <c r="S40" s="644">
        <v>0.437</v>
      </c>
      <c r="T40" s="644">
        <v>0.54800000000000004</v>
      </c>
      <c r="U40" s="644">
        <v>871.06899999999996</v>
      </c>
      <c r="V40" s="644">
        <v>6.9000000000000006E-2</v>
      </c>
      <c r="W40" s="644">
        <v>0.01</v>
      </c>
      <c r="X40" s="644">
        <v>875.63099999999997</v>
      </c>
      <c r="Y40" s="644" t="s">
        <v>1069</v>
      </c>
      <c r="Z40" s="644">
        <v>7.4999999999999997E-2</v>
      </c>
      <c r="AA40" s="644">
        <v>7.1999999999999995E-2</v>
      </c>
      <c r="AB40" s="644">
        <v>9.4E-2</v>
      </c>
      <c r="AC40" s="644">
        <v>150.02699999999999</v>
      </c>
      <c r="AD40" s="644" t="s">
        <v>1069</v>
      </c>
      <c r="AE40" s="644">
        <v>0.63100000000000001</v>
      </c>
      <c r="AF40" s="644">
        <v>0.63</v>
      </c>
      <c r="AG40" s="644">
        <v>0.79</v>
      </c>
      <c r="AH40" s="644">
        <v>1255.4559999999999</v>
      </c>
      <c r="AI40" s="644">
        <v>0.1</v>
      </c>
      <c r="AJ40" s="644">
        <v>1.4E-2</v>
      </c>
      <c r="AK40" s="644" t="s">
        <v>1069</v>
      </c>
      <c r="AL40" s="644">
        <v>1.169</v>
      </c>
      <c r="AM40" s="644">
        <v>1.163</v>
      </c>
      <c r="AN40" s="644">
        <v>0.27800000000000002</v>
      </c>
      <c r="AO40" s="644">
        <v>0.60099999999999998</v>
      </c>
      <c r="AP40" s="644">
        <v>1.093</v>
      </c>
      <c r="AQ40" s="644">
        <v>1.1020000000000001</v>
      </c>
      <c r="AR40" s="644">
        <v>0.28100000000000003</v>
      </c>
      <c r="AS40" s="644">
        <v>0.58499999999999996</v>
      </c>
      <c r="AT40" s="644">
        <v>1.9830000000000001</v>
      </c>
      <c r="AU40" s="644">
        <v>9.4949999999999992</v>
      </c>
      <c r="AV40" s="644">
        <v>2.3E-2</v>
      </c>
      <c r="AW40" s="644">
        <v>0.76100000000000001</v>
      </c>
      <c r="AX40" s="644">
        <v>2026.0450000000001</v>
      </c>
      <c r="AY40" s="644">
        <v>1383.6769999999999</v>
      </c>
      <c r="AZ40" s="644">
        <v>875.98099999999999</v>
      </c>
      <c r="BA40" s="644">
        <v>1291.4100000000001</v>
      </c>
      <c r="BB40" s="644" t="s">
        <v>1069</v>
      </c>
      <c r="BC40" s="644" t="s">
        <v>1069</v>
      </c>
      <c r="BD40" s="644">
        <v>0.114</v>
      </c>
      <c r="BE40" s="644">
        <v>0.185</v>
      </c>
      <c r="BF40" s="644">
        <v>3.7999999999999999E-2</v>
      </c>
      <c r="BG40" s="644">
        <v>7.1999999999999995E-2</v>
      </c>
      <c r="BH40" s="644">
        <v>0.106</v>
      </c>
      <c r="BI40" s="644">
        <v>0.17100000000000001</v>
      </c>
      <c r="BJ40" s="644">
        <v>3.7999999999999999E-2</v>
      </c>
      <c r="BK40" s="644">
        <v>6.9000000000000006E-2</v>
      </c>
      <c r="BL40" s="644">
        <v>0.19400000000000001</v>
      </c>
      <c r="BM40" s="644">
        <v>1.5089999999999999</v>
      </c>
      <c r="BN40" s="644">
        <v>3.0000000000000001E-3</v>
      </c>
      <c r="BO40" s="644">
        <v>9.0999999999999998E-2</v>
      </c>
      <c r="BP40" s="644">
        <v>197.97900000000001</v>
      </c>
      <c r="BQ40" s="644">
        <v>219.93199999999999</v>
      </c>
      <c r="BR40" s="644">
        <v>119.432</v>
      </c>
      <c r="BS40" s="644">
        <v>154.28299999999999</v>
      </c>
      <c r="BT40" s="644" t="s">
        <v>1069</v>
      </c>
      <c r="BU40" s="644" t="s">
        <v>1069</v>
      </c>
      <c r="BV40" s="644">
        <v>0.71599999999999997</v>
      </c>
      <c r="BW40" s="644">
        <v>0.7</v>
      </c>
      <c r="BX40" s="644">
        <v>0.76700000000000002</v>
      </c>
      <c r="BY40" s="644">
        <v>1315.759</v>
      </c>
      <c r="BZ40" s="644">
        <v>9.8000000000000004E-2</v>
      </c>
      <c r="CA40" s="644">
        <v>1.4E-2</v>
      </c>
      <c r="CB40" s="644">
        <v>1322.252</v>
      </c>
      <c r="CC40" s="644" t="s">
        <v>1069</v>
      </c>
      <c r="CD40" s="643">
        <v>274583838.963</v>
      </c>
      <c r="CE40" s="643">
        <v>6159992.9179999996</v>
      </c>
      <c r="CF40" s="643">
        <v>609669351.50999999</v>
      </c>
      <c r="CG40" s="643">
        <v>324055365</v>
      </c>
      <c r="CH40" s="643">
        <v>42762443</v>
      </c>
      <c r="CI40" s="643">
        <v>25928617.909000002</v>
      </c>
      <c r="CJ40" s="643">
        <v>9695370</v>
      </c>
      <c r="CK40" s="643">
        <v>30750530.609999999</v>
      </c>
      <c r="CL40" s="643">
        <v>0</v>
      </c>
      <c r="CM40" s="643">
        <v>4467857.9850000003</v>
      </c>
      <c r="CN40" s="643">
        <v>2102006.0580000002</v>
      </c>
      <c r="CO40" s="643">
        <v>1221038412.434</v>
      </c>
      <c r="CP40" s="643">
        <v>109136961.51899999</v>
      </c>
      <c r="CQ40" s="643">
        <v>66374518.519000001</v>
      </c>
      <c r="CR40" s="643">
        <v>922911665.34300005</v>
      </c>
      <c r="CS40" s="643">
        <v>407263708.61000001</v>
      </c>
      <c r="CT40" s="694">
        <v>0.206426794796986</v>
      </c>
      <c r="CU40" s="694">
        <v>4.6309629832446903E-3</v>
      </c>
      <c r="CV40" s="694">
        <v>0.45833757220913801</v>
      </c>
      <c r="CW40" s="694">
        <v>0.24361852680897</v>
      </c>
      <c r="CX40" s="694">
        <v>3.2147973746438498E-2</v>
      </c>
      <c r="CY40" s="694">
        <v>1.9492631134754499E-2</v>
      </c>
      <c r="CZ40" s="694">
        <v>7.2887907789086596E-3</v>
      </c>
      <c r="DA40" s="694">
        <v>2.31176514105925E-2</v>
      </c>
      <c r="DB40" s="694">
        <v>0</v>
      </c>
      <c r="DC40" s="694">
        <v>3.35884881985333E-3</v>
      </c>
      <c r="DD40" s="694">
        <v>1.5802473111145401E-3</v>
      </c>
      <c r="DE40" s="694">
        <v>0.91795295292930601</v>
      </c>
      <c r="DF40" s="694">
        <v>8.2047047070694198E-2</v>
      </c>
      <c r="DG40" s="694">
        <v>4.9899073324255701E-2</v>
      </c>
      <c r="DH40" s="694">
        <v>0.69382705725509097</v>
      </c>
      <c r="DI40" s="694">
        <v>0.30617294274490903</v>
      </c>
      <c r="DJ40" s="416"/>
      <c r="DK40" s="417">
        <f t="shared" si="6"/>
        <v>5806.0662812573155</v>
      </c>
      <c r="DL40" s="417">
        <f t="shared" si="7"/>
        <v>8370.397256988781</v>
      </c>
      <c r="DM40" s="417">
        <f t="shared" si="8"/>
        <v>8528.2176260508295</v>
      </c>
      <c r="DN40" s="417">
        <f t="shared" si="9"/>
        <v>10233.635890675274</v>
      </c>
      <c r="DO40" s="417">
        <f t="shared" si="10"/>
        <v>6291.3855191604671</v>
      </c>
      <c r="DP40" s="417">
        <f t="shared" si="11"/>
        <v>7334.5585772657241</v>
      </c>
      <c r="DQ40" s="417"/>
      <c r="DR40" s="417">
        <v>1503.88519719686</v>
      </c>
      <c r="DS40" s="409"/>
      <c r="DT40" s="419"/>
    </row>
    <row r="41" spans="1:124" ht="13" x14ac:dyDescent="0.3">
      <c r="A41" s="194">
        <v>50</v>
      </c>
      <c r="B41" s="409">
        <v>59</v>
      </c>
      <c r="C41" s="410" t="s">
        <v>396</v>
      </c>
      <c r="D41" s="410" t="s">
        <v>1076</v>
      </c>
      <c r="E41" s="643">
        <v>129179.3</v>
      </c>
      <c r="F41" s="643">
        <v>2246299808.8559999</v>
      </c>
      <c r="G41" s="643">
        <v>1149333330.3369999</v>
      </c>
      <c r="H41" s="643">
        <v>418341926.94499999</v>
      </c>
      <c r="I41" s="643">
        <v>198234572.78299999</v>
      </c>
      <c r="J41" s="643">
        <v>99120.523000000001</v>
      </c>
      <c r="K41" s="643">
        <v>47249.919999999998</v>
      </c>
      <c r="L41" s="643">
        <v>123706.072</v>
      </c>
      <c r="M41" s="643">
        <v>170374347.31299999</v>
      </c>
      <c r="N41" s="643">
        <v>22885945.162</v>
      </c>
      <c r="O41" s="643">
        <v>3190835.8229999999</v>
      </c>
      <c r="P41" s="643">
        <v>171135856.167</v>
      </c>
      <c r="Q41" s="643" t="s">
        <v>1069</v>
      </c>
      <c r="R41" s="644">
        <v>0.47399999999999998</v>
      </c>
      <c r="S41" s="644">
        <v>0.47699999999999998</v>
      </c>
      <c r="T41" s="644">
        <v>0.59099999999999997</v>
      </c>
      <c r="U41" s="644">
        <v>814.52200000000005</v>
      </c>
      <c r="V41" s="644">
        <v>5.5E-2</v>
      </c>
      <c r="W41" s="644">
        <v>8.0000000000000002E-3</v>
      </c>
      <c r="X41" s="644">
        <v>818.16300000000001</v>
      </c>
      <c r="Y41" s="644" t="s">
        <v>1069</v>
      </c>
      <c r="Z41" s="644">
        <v>8.7999999999999995E-2</v>
      </c>
      <c r="AA41" s="644">
        <v>8.2000000000000003E-2</v>
      </c>
      <c r="AB41" s="644">
        <v>0.11</v>
      </c>
      <c r="AC41" s="644">
        <v>151.69300000000001</v>
      </c>
      <c r="AD41" s="644" t="s">
        <v>1069</v>
      </c>
      <c r="AE41" s="644">
        <v>0.73099999999999998</v>
      </c>
      <c r="AF41" s="644">
        <v>0.73499999999999999</v>
      </c>
      <c r="AG41" s="644">
        <v>0.91200000000000003</v>
      </c>
      <c r="AH41" s="644">
        <v>1255.9369999999999</v>
      </c>
      <c r="AI41" s="644">
        <v>8.4000000000000005E-2</v>
      </c>
      <c r="AJ41" s="644">
        <v>1.2E-2</v>
      </c>
      <c r="AK41" s="644" t="s">
        <v>1069</v>
      </c>
      <c r="AL41" s="644">
        <v>1.109</v>
      </c>
      <c r="AM41" s="644">
        <v>3.9089999999999998</v>
      </c>
      <c r="AN41" s="644">
        <v>0.59</v>
      </c>
      <c r="AO41" s="644">
        <v>0.73099999999999998</v>
      </c>
      <c r="AP41" s="644">
        <v>1.083</v>
      </c>
      <c r="AQ41" s="644">
        <v>3.8740000000000001</v>
      </c>
      <c r="AR41" s="644">
        <v>0.53900000000000003</v>
      </c>
      <c r="AS41" s="644">
        <v>0.68300000000000005</v>
      </c>
      <c r="AT41" s="644">
        <v>3.1720000000000002</v>
      </c>
      <c r="AU41" s="644">
        <v>9.8089999999999993</v>
      </c>
      <c r="AV41" s="644">
        <v>7.0000000000000001E-3</v>
      </c>
      <c r="AW41" s="644">
        <v>0.91200000000000003</v>
      </c>
      <c r="AX41" s="644">
        <v>2256.7779999999998</v>
      </c>
      <c r="AY41" s="644">
        <v>2155.877</v>
      </c>
      <c r="AZ41" s="644">
        <v>869.74400000000003</v>
      </c>
      <c r="BA41" s="644">
        <v>1259.9870000000001</v>
      </c>
      <c r="BB41" s="644" t="s">
        <v>1069</v>
      </c>
      <c r="BC41" s="644" t="s">
        <v>1069</v>
      </c>
      <c r="BD41" s="644">
        <v>0.10299999999999999</v>
      </c>
      <c r="BE41" s="644">
        <v>0.313</v>
      </c>
      <c r="BF41" s="644">
        <v>0.08</v>
      </c>
      <c r="BG41" s="644">
        <v>8.7999999999999995E-2</v>
      </c>
      <c r="BH41" s="644">
        <v>0.10100000000000001</v>
      </c>
      <c r="BI41" s="644">
        <v>0.309</v>
      </c>
      <c r="BJ41" s="644">
        <v>7.2999999999999995E-2</v>
      </c>
      <c r="BK41" s="644">
        <v>8.2000000000000003E-2</v>
      </c>
      <c r="BL41" s="644">
        <v>0.29499999999999998</v>
      </c>
      <c r="BM41" s="644">
        <v>0.78500000000000003</v>
      </c>
      <c r="BN41" s="644">
        <v>1E-3</v>
      </c>
      <c r="BO41" s="644">
        <v>0.11</v>
      </c>
      <c r="BP41" s="644">
        <v>210.06899999999999</v>
      </c>
      <c r="BQ41" s="644">
        <v>172.56299999999999</v>
      </c>
      <c r="BR41" s="644">
        <v>118.44</v>
      </c>
      <c r="BS41" s="644">
        <v>152.24199999999999</v>
      </c>
      <c r="BT41" s="644" t="s">
        <v>1069</v>
      </c>
      <c r="BU41" s="644" t="s">
        <v>1069</v>
      </c>
      <c r="BV41" s="644">
        <v>0.78100000000000003</v>
      </c>
      <c r="BW41" s="644">
        <v>0.70899999999999996</v>
      </c>
      <c r="BX41" s="644">
        <v>0.74</v>
      </c>
      <c r="BY41" s="644">
        <v>1182.164</v>
      </c>
      <c r="BZ41" s="644">
        <v>6.5000000000000002E-2</v>
      </c>
      <c r="CA41" s="644">
        <v>8.9999999999999993E-3</v>
      </c>
      <c r="CB41" s="644">
        <v>1186.451</v>
      </c>
      <c r="CC41" s="644" t="s">
        <v>1069</v>
      </c>
      <c r="CD41" s="643">
        <v>74510144.049999997</v>
      </c>
      <c r="CE41" s="643">
        <v>261481.94699999999</v>
      </c>
      <c r="CF41" s="643">
        <v>193547724.37599999</v>
      </c>
      <c r="CG41" s="643">
        <v>40211257</v>
      </c>
      <c r="CH41" s="643">
        <v>684520.26</v>
      </c>
      <c r="CI41" s="643">
        <v>773485.11600000004</v>
      </c>
      <c r="CJ41" s="643">
        <v>91538791.549999997</v>
      </c>
      <c r="CK41" s="643">
        <v>14597105</v>
      </c>
      <c r="CL41" s="643">
        <v>0</v>
      </c>
      <c r="CM41" s="643">
        <v>1799765.7169999999</v>
      </c>
      <c r="CN41" s="643">
        <v>417652</v>
      </c>
      <c r="CO41" s="643">
        <v>310748025.08999997</v>
      </c>
      <c r="CP41" s="643">
        <v>107593901.926</v>
      </c>
      <c r="CQ41" s="643">
        <v>106909381.66599999</v>
      </c>
      <c r="CR41" s="643">
        <v>271310253.20599997</v>
      </c>
      <c r="CS41" s="643">
        <v>147031673.81</v>
      </c>
      <c r="CT41" s="694">
        <v>0.17810823930910999</v>
      </c>
      <c r="CU41" s="694">
        <v>6.2504360694881904E-4</v>
      </c>
      <c r="CV41" s="694">
        <v>0.46265437881533999</v>
      </c>
      <c r="CW41" s="694">
        <v>9.6120552120662894E-2</v>
      </c>
      <c r="CX41" s="694">
        <v>1.6362697970118099E-3</v>
      </c>
      <c r="CY41" s="694">
        <v>1.84893042281755E-3</v>
      </c>
      <c r="CZ41" s="694">
        <v>0.218813333396772</v>
      </c>
      <c r="DA41" s="694">
        <v>3.4892761297247901E-2</v>
      </c>
      <c r="DB41" s="694">
        <v>0</v>
      </c>
      <c r="DC41" s="694">
        <v>4.3021404281363496E-3</v>
      </c>
      <c r="DD41" s="694">
        <v>9.9835080595215208E-4</v>
      </c>
      <c r="DE41" s="694">
        <v>0.74280870508615104</v>
      </c>
      <c r="DF41" s="694">
        <v>0.25719129491384901</v>
      </c>
      <c r="DG41" s="694">
        <v>0.25555502511683698</v>
      </c>
      <c r="DH41" s="694">
        <v>0.64853708338830596</v>
      </c>
      <c r="DI41" s="694">
        <v>0.35146291661169399</v>
      </c>
      <c r="DJ41" s="416"/>
      <c r="DK41" s="417">
        <f t="shared" si="6"/>
        <v>5369.5306737718502</v>
      </c>
      <c r="DL41" s="417">
        <f t="shared" si="7"/>
        <v>8276.2115579143738</v>
      </c>
      <c r="DM41" s="417">
        <f t="shared" si="8"/>
        <v>7765.0319885445542</v>
      </c>
      <c r="DN41" s="417">
        <f t="shared" si="9"/>
        <v>10743.032051373597</v>
      </c>
      <c r="DO41" s="417">
        <f t="shared" si="10"/>
        <v>12493.274919884332</v>
      </c>
      <c r="DP41" s="417">
        <f t="shared" si="11"/>
        <v>7343.329956095914</v>
      </c>
      <c r="DQ41" s="417"/>
      <c r="DR41" s="417">
        <v>1360.556289266407</v>
      </c>
      <c r="DS41" s="409"/>
      <c r="DT41" s="419"/>
    </row>
    <row r="42" spans="1:124" ht="13" x14ac:dyDescent="0.3">
      <c r="A42" s="194">
        <v>51</v>
      </c>
      <c r="B42" s="409">
        <v>60</v>
      </c>
      <c r="C42" s="410" t="s">
        <v>397</v>
      </c>
      <c r="D42" s="410" t="s">
        <v>1077</v>
      </c>
      <c r="E42" s="643">
        <v>245239.2</v>
      </c>
      <c r="F42" s="643">
        <v>3489665444.2420001</v>
      </c>
      <c r="G42" s="643">
        <v>1648558715.954</v>
      </c>
      <c r="H42" s="643">
        <v>733279395.87</v>
      </c>
      <c r="I42" s="643">
        <v>336109835.866</v>
      </c>
      <c r="J42" s="643">
        <v>196888.36900000001</v>
      </c>
      <c r="K42" s="643">
        <v>90825.226999999999</v>
      </c>
      <c r="L42" s="643">
        <v>80695.576000000001</v>
      </c>
      <c r="M42" s="643">
        <v>265218156.13</v>
      </c>
      <c r="N42" s="643">
        <v>41677200.594999999</v>
      </c>
      <c r="O42" s="643">
        <v>5827401.0290000001</v>
      </c>
      <c r="P42" s="643">
        <v>266601858.82499999</v>
      </c>
      <c r="Q42" s="643" t="s">
        <v>1069</v>
      </c>
      <c r="R42" s="644">
        <v>0.53700000000000003</v>
      </c>
      <c r="S42" s="644">
        <v>0.54</v>
      </c>
      <c r="T42" s="644">
        <v>0.22</v>
      </c>
      <c r="U42" s="644">
        <v>723.375</v>
      </c>
      <c r="V42" s="644">
        <v>5.7000000000000002E-2</v>
      </c>
      <c r="W42" s="644">
        <v>8.0000000000000002E-3</v>
      </c>
      <c r="X42" s="644">
        <v>727.149</v>
      </c>
      <c r="Y42" s="644" t="s">
        <v>1069</v>
      </c>
      <c r="Z42" s="644">
        <v>0.113</v>
      </c>
      <c r="AA42" s="644">
        <v>0.11</v>
      </c>
      <c r="AB42" s="644">
        <v>4.5999999999999999E-2</v>
      </c>
      <c r="AC42" s="644">
        <v>152.00200000000001</v>
      </c>
      <c r="AD42" s="644" t="s">
        <v>1069</v>
      </c>
      <c r="AE42" s="644">
        <v>1.012</v>
      </c>
      <c r="AF42" s="644">
        <v>1.018</v>
      </c>
      <c r="AG42" s="644">
        <v>0.41499999999999998</v>
      </c>
      <c r="AH42" s="644">
        <v>1363.2049999999999</v>
      </c>
      <c r="AI42" s="644">
        <v>0.107</v>
      </c>
      <c r="AJ42" s="644">
        <v>1.4999999999999999E-2</v>
      </c>
      <c r="AK42" s="644" t="s">
        <v>1069</v>
      </c>
      <c r="AL42" s="644">
        <v>1.7130000000000001</v>
      </c>
      <c r="AM42" s="644">
        <v>4.0119999999999996</v>
      </c>
      <c r="AN42" s="644">
        <v>0.59199999999999997</v>
      </c>
      <c r="AO42" s="644">
        <v>0.97699999999999998</v>
      </c>
      <c r="AP42" s="644">
        <v>1.7210000000000001</v>
      </c>
      <c r="AQ42" s="644">
        <v>3.7210000000000001</v>
      </c>
      <c r="AR42" s="644">
        <v>0.57899999999999996</v>
      </c>
      <c r="AS42" s="644">
        <v>0.95499999999999996</v>
      </c>
      <c r="AT42" s="644">
        <v>1.131</v>
      </c>
      <c r="AU42" s="644">
        <v>15.286</v>
      </c>
      <c r="AV42" s="644">
        <v>8.0000000000000002E-3</v>
      </c>
      <c r="AW42" s="644">
        <v>0.41</v>
      </c>
      <c r="AX42" s="644">
        <v>2292.8539999999998</v>
      </c>
      <c r="AY42" s="644">
        <v>1817.0309999999999</v>
      </c>
      <c r="AZ42" s="644">
        <v>926.24199999999996</v>
      </c>
      <c r="BA42" s="644">
        <v>1390.681</v>
      </c>
      <c r="BB42" s="644" t="s">
        <v>1069</v>
      </c>
      <c r="BC42" s="644" t="s">
        <v>1069</v>
      </c>
      <c r="BD42" s="644">
        <v>0.155</v>
      </c>
      <c r="BE42" s="644">
        <v>0.47699999999999998</v>
      </c>
      <c r="BF42" s="644">
        <v>7.5999999999999998E-2</v>
      </c>
      <c r="BG42" s="644">
        <v>0.11</v>
      </c>
      <c r="BH42" s="644">
        <v>0.156</v>
      </c>
      <c r="BI42" s="644">
        <v>0.45</v>
      </c>
      <c r="BJ42" s="644">
        <v>7.3999999999999996E-2</v>
      </c>
      <c r="BK42" s="644">
        <v>0.107</v>
      </c>
      <c r="BL42" s="644">
        <v>0.10199999999999999</v>
      </c>
      <c r="BM42" s="644">
        <v>1.8169999999999999</v>
      </c>
      <c r="BN42" s="644">
        <v>1E-3</v>
      </c>
      <c r="BO42" s="644">
        <v>4.5999999999999999E-2</v>
      </c>
      <c r="BP42" s="644">
        <v>206.84800000000001</v>
      </c>
      <c r="BQ42" s="644">
        <v>215.95099999999999</v>
      </c>
      <c r="BR42" s="644">
        <v>118.578</v>
      </c>
      <c r="BS42" s="644">
        <v>155.87700000000001</v>
      </c>
      <c r="BT42" s="644" t="s">
        <v>1069</v>
      </c>
      <c r="BU42" s="644" t="s">
        <v>1069</v>
      </c>
      <c r="BV42" s="644">
        <v>0.96099999999999997</v>
      </c>
      <c r="BW42" s="644">
        <v>0.91400000000000003</v>
      </c>
      <c r="BX42" s="644">
        <v>0.32300000000000001</v>
      </c>
      <c r="BY42" s="644">
        <v>1324.3969999999999</v>
      </c>
      <c r="BZ42" s="644">
        <v>0.09</v>
      </c>
      <c r="CA42" s="644">
        <v>1.2E-2</v>
      </c>
      <c r="CB42" s="644">
        <v>1330.3610000000001</v>
      </c>
      <c r="CC42" s="644" t="s">
        <v>1069</v>
      </c>
      <c r="CD42" s="643">
        <v>125855927.848</v>
      </c>
      <c r="CE42" s="643">
        <v>779957.00800000003</v>
      </c>
      <c r="CF42" s="643">
        <v>250456892.55000001</v>
      </c>
      <c r="CG42" s="643">
        <v>56618516</v>
      </c>
      <c r="CH42" s="643">
        <v>141630439.40000001</v>
      </c>
      <c r="CI42" s="643">
        <v>8966845.9849999994</v>
      </c>
      <c r="CJ42" s="643">
        <v>73113896.409999996</v>
      </c>
      <c r="CK42" s="643">
        <v>57015395.020000003</v>
      </c>
      <c r="CL42" s="643">
        <v>15791376</v>
      </c>
      <c r="CM42" s="643">
        <v>2263001.9369999999</v>
      </c>
      <c r="CN42" s="643">
        <v>787146.54399999999</v>
      </c>
      <c r="CO42" s="643">
        <v>436761441.88700002</v>
      </c>
      <c r="CP42" s="643">
        <v>296517952.815</v>
      </c>
      <c r="CQ42" s="643">
        <v>154887513.41499999</v>
      </c>
      <c r="CR42" s="643">
        <v>389109771.87199998</v>
      </c>
      <c r="CS42" s="643">
        <v>344169622.82999998</v>
      </c>
      <c r="CT42" s="694">
        <v>0.17163434395854901</v>
      </c>
      <c r="CU42" s="694">
        <v>1.06365597292826E-3</v>
      </c>
      <c r="CV42" s="694">
        <v>0.341557248655247</v>
      </c>
      <c r="CW42" s="694">
        <v>7.7212746477090602E-2</v>
      </c>
      <c r="CX42" s="694">
        <v>0.193146623815275</v>
      </c>
      <c r="CY42" s="694">
        <v>1.2228416685081E-2</v>
      </c>
      <c r="CZ42" s="694">
        <v>9.9708101629820106E-2</v>
      </c>
      <c r="DA42" s="694">
        <v>7.7753984950266697E-2</v>
      </c>
      <c r="DB42" s="694">
        <v>2.15352785228849E-2</v>
      </c>
      <c r="DC42" s="694">
        <v>3.0861387260440699E-3</v>
      </c>
      <c r="DD42" s="694">
        <v>1.0734606068126199E-3</v>
      </c>
      <c r="DE42" s="694">
        <v>0.59562759439667201</v>
      </c>
      <c r="DF42" s="694">
        <v>0.40437240560332799</v>
      </c>
      <c r="DG42" s="694">
        <v>0.21122578178805301</v>
      </c>
      <c r="DH42" s="694">
        <v>0.53064326460466205</v>
      </c>
      <c r="DI42" s="694">
        <v>0.46935673539533801</v>
      </c>
      <c r="DJ42" s="416"/>
      <c r="DK42" s="417">
        <f t="shared" si="6"/>
        <v>4758.984725190162</v>
      </c>
      <c r="DL42" s="417">
        <f t="shared" si="7"/>
        <v>8921.6561776272301</v>
      </c>
      <c r="DM42" s="417">
        <f t="shared" si="8"/>
        <v>8496.4234620886982</v>
      </c>
      <c r="DN42" s="417">
        <f t="shared" si="9"/>
        <v>11084.728883044552</v>
      </c>
      <c r="DO42" s="417">
        <f t="shared" si="10"/>
        <v>8414.0893072965628</v>
      </c>
      <c r="DP42" s="417">
        <f t="shared" si="11"/>
        <v>7811.2466056098092</v>
      </c>
      <c r="DQ42" s="417"/>
      <c r="DR42" s="417">
        <v>1493.1400908714554</v>
      </c>
      <c r="DS42" s="409"/>
      <c r="DT42" s="419"/>
    </row>
    <row r="43" spans="1:124" ht="13" x14ac:dyDescent="0.3">
      <c r="A43" s="194">
        <v>52</v>
      </c>
      <c r="B43" s="409">
        <v>61</v>
      </c>
      <c r="C43" s="410" t="s">
        <v>398</v>
      </c>
      <c r="D43" s="410" t="s">
        <v>1078</v>
      </c>
      <c r="E43" s="643">
        <v>6342.4</v>
      </c>
      <c r="F43" s="643">
        <v>183865546.06799999</v>
      </c>
      <c r="G43" s="643">
        <v>81019049.486000001</v>
      </c>
      <c r="H43" s="643">
        <v>18578947.002</v>
      </c>
      <c r="I43" s="643">
        <v>8256731.0010000002</v>
      </c>
      <c r="J43" s="643">
        <v>29903.263999999999</v>
      </c>
      <c r="K43" s="643">
        <v>12466.654</v>
      </c>
      <c r="L43" s="643">
        <v>30510.252</v>
      </c>
      <c r="M43" s="643">
        <v>14473222.329</v>
      </c>
      <c r="N43" s="643">
        <v>1510125.003</v>
      </c>
      <c r="O43" s="643">
        <v>239404.79699999999</v>
      </c>
      <c r="P43" s="643">
        <v>14527770.208000001</v>
      </c>
      <c r="Q43" s="643" t="s">
        <v>1069</v>
      </c>
      <c r="R43" s="644">
        <v>3.2189999999999999</v>
      </c>
      <c r="S43" s="644">
        <v>3.02</v>
      </c>
      <c r="T43" s="644">
        <v>3.2839999999999998</v>
      </c>
      <c r="U43" s="644">
        <v>1558.0239999999999</v>
      </c>
      <c r="V43" s="644">
        <v>8.1000000000000003E-2</v>
      </c>
      <c r="W43" s="644">
        <v>1.2999999999999999E-2</v>
      </c>
      <c r="X43" s="644">
        <v>1563.896</v>
      </c>
      <c r="Y43" s="644" t="s">
        <v>1069</v>
      </c>
      <c r="Z43" s="644">
        <v>0.32500000000000001</v>
      </c>
      <c r="AA43" s="644">
        <v>0.308</v>
      </c>
      <c r="AB43" s="644">
        <v>0.33200000000000002</v>
      </c>
      <c r="AC43" s="644">
        <v>157.43299999999999</v>
      </c>
      <c r="AD43" s="644" t="s">
        <v>1069</v>
      </c>
      <c r="AE43" s="644">
        <v>3.3029999999999999</v>
      </c>
      <c r="AF43" s="644">
        <v>3.0979999999999999</v>
      </c>
      <c r="AG43" s="644">
        <v>3.37</v>
      </c>
      <c r="AH43" s="644">
        <v>1598.6010000000001</v>
      </c>
      <c r="AI43" s="644">
        <v>8.3000000000000004E-2</v>
      </c>
      <c r="AJ43" s="644">
        <v>1.2999999999999999E-2</v>
      </c>
      <c r="AK43" s="644" t="s">
        <v>1069</v>
      </c>
      <c r="AL43" s="644">
        <v>2.504</v>
      </c>
      <c r="AM43" s="644">
        <v>4.431</v>
      </c>
      <c r="AN43" s="644">
        <v>2.218</v>
      </c>
      <c r="AO43" s="644">
        <v>3.302</v>
      </c>
      <c r="AP43" s="644">
        <v>2.5190000000000001</v>
      </c>
      <c r="AQ43" s="644">
        <v>4.0640000000000001</v>
      </c>
      <c r="AR43" s="644">
        <v>2.1629999999999998</v>
      </c>
      <c r="AS43" s="644">
        <v>3.1</v>
      </c>
      <c r="AT43" s="644">
        <v>2.7210000000000001</v>
      </c>
      <c r="AU43" s="644">
        <v>5.9009999999999998</v>
      </c>
      <c r="AV43" s="644">
        <v>0.35499999999999998</v>
      </c>
      <c r="AW43" s="644">
        <v>3.3690000000000002</v>
      </c>
      <c r="AX43" s="644">
        <v>2217.1680000000001</v>
      </c>
      <c r="AY43" s="644">
        <v>1690.614</v>
      </c>
      <c r="AZ43" s="644">
        <v>1161.527</v>
      </c>
      <c r="BA43" s="644">
        <v>1598.384</v>
      </c>
      <c r="BB43" s="644" t="s">
        <v>1069</v>
      </c>
      <c r="BC43" s="644" t="s">
        <v>1069</v>
      </c>
      <c r="BD43" s="644">
        <v>0.23300000000000001</v>
      </c>
      <c r="BE43" s="644">
        <v>0.42799999999999999</v>
      </c>
      <c r="BF43" s="644">
        <v>0.23200000000000001</v>
      </c>
      <c r="BG43" s="644">
        <v>0.32500000000000001</v>
      </c>
      <c r="BH43" s="644">
        <v>0.23300000000000001</v>
      </c>
      <c r="BI43" s="644">
        <v>0.39700000000000002</v>
      </c>
      <c r="BJ43" s="644">
        <v>0.22600000000000001</v>
      </c>
      <c r="BK43" s="644">
        <v>0.308</v>
      </c>
      <c r="BL43" s="644">
        <v>0.253</v>
      </c>
      <c r="BM43" s="644">
        <v>0.56999999999999995</v>
      </c>
      <c r="BN43" s="644">
        <v>3.6999999999999998E-2</v>
      </c>
      <c r="BO43" s="644">
        <v>0.33200000000000002</v>
      </c>
      <c r="BP43" s="644">
        <v>205.91200000000001</v>
      </c>
      <c r="BQ43" s="644">
        <v>163.232</v>
      </c>
      <c r="BR43" s="644">
        <v>121.373</v>
      </c>
      <c r="BS43" s="644">
        <v>157.43299999999999</v>
      </c>
      <c r="BT43" s="644" t="s">
        <v>1069</v>
      </c>
      <c r="BU43" s="644" t="s">
        <v>1069</v>
      </c>
      <c r="BV43" s="644">
        <v>3.831</v>
      </c>
      <c r="BW43" s="644">
        <v>3.5750000000000002</v>
      </c>
      <c r="BX43" s="644">
        <v>4.4550000000000001</v>
      </c>
      <c r="BY43" s="644">
        <v>1618.059</v>
      </c>
      <c r="BZ43" s="644">
        <v>0.06</v>
      </c>
      <c r="CA43" s="644">
        <v>1.0999999999999999E-2</v>
      </c>
      <c r="CB43" s="644">
        <v>1622.693</v>
      </c>
      <c r="CC43" s="644" t="s">
        <v>1069</v>
      </c>
      <c r="CD43" s="643">
        <v>3257268</v>
      </c>
      <c r="CE43" s="643">
        <v>6908147.8499999996</v>
      </c>
      <c r="CF43" s="643">
        <v>7944397.3799999999</v>
      </c>
      <c r="CG43" s="643">
        <v>0</v>
      </c>
      <c r="CH43" s="643">
        <v>0</v>
      </c>
      <c r="CI43" s="643">
        <v>0</v>
      </c>
      <c r="CJ43" s="643">
        <v>165727</v>
      </c>
      <c r="CK43" s="643">
        <v>305856.43</v>
      </c>
      <c r="CL43" s="643">
        <v>0</v>
      </c>
      <c r="CM43" s="643">
        <v>0</v>
      </c>
      <c r="CN43" s="643">
        <v>-2449</v>
      </c>
      <c r="CO43" s="643">
        <v>18107364.23</v>
      </c>
      <c r="CP43" s="643">
        <v>471583.43</v>
      </c>
      <c r="CQ43" s="643">
        <v>471583.43</v>
      </c>
      <c r="CR43" s="643">
        <v>18107364.23</v>
      </c>
      <c r="CS43" s="643">
        <v>471583.43</v>
      </c>
      <c r="CT43" s="694">
        <v>0.175297264226208</v>
      </c>
      <c r="CU43" s="694">
        <v>0.37177764278995801</v>
      </c>
      <c r="CV43" s="694">
        <v>0.427545761245269</v>
      </c>
      <c r="CW43" s="694">
        <v>0</v>
      </c>
      <c r="CX43" s="694">
        <v>0</v>
      </c>
      <c r="CY43" s="694">
        <v>0</v>
      </c>
      <c r="CZ43" s="694">
        <v>8.9189743393594794E-3</v>
      </c>
      <c r="DA43" s="694">
        <v>1.6460357399205299E-2</v>
      </c>
      <c r="DB43" s="694">
        <v>0</v>
      </c>
      <c r="DC43" s="694">
        <v>0</v>
      </c>
      <c r="DD43" s="694">
        <v>0</v>
      </c>
      <c r="DE43" s="694">
        <v>0.974617322862946</v>
      </c>
      <c r="DF43" s="694">
        <v>2.5382677137053701E-2</v>
      </c>
      <c r="DG43" s="694">
        <v>2.5379331738564801E-2</v>
      </c>
      <c r="DH43" s="694">
        <v>0.974617322862946</v>
      </c>
      <c r="DI43" s="694">
        <v>2.5382677137053701E-2</v>
      </c>
      <c r="DJ43" s="416"/>
      <c r="DK43" s="417">
        <f>(F43/H43)*1000</f>
        <v>9896.4460175384047</v>
      </c>
      <c r="DL43" s="417">
        <f>(BA43/BS43)*1000</f>
        <v>10152.788805396582</v>
      </c>
      <c r="DM43" s="417">
        <f>(BY43/BS43)*1000</f>
        <v>10277.762603774305</v>
      </c>
      <c r="DN43" s="417">
        <f>IFERROR((AX43/BP43)*1000,"-")</f>
        <v>10767.551186914799</v>
      </c>
      <c r="DO43" s="417">
        <f>IFERROR((AY43/BQ43)*1000,"-")</f>
        <v>10357.123603215055</v>
      </c>
      <c r="DP43" s="417">
        <f>IFERROR((AZ43/BR43)*1000,"-")</f>
        <v>9569.8961053941166</v>
      </c>
      <c r="DQ43" s="417"/>
      <c r="DR43" s="417">
        <v>1198.7850839152907</v>
      </c>
      <c r="DS43" s="409"/>
      <c r="DT43" s="419"/>
    </row>
    <row r="44" spans="1:124" ht="12.5" thickBot="1" x14ac:dyDescent="0.35"/>
    <row r="45" spans="1:124" ht="81.5" thickBot="1" x14ac:dyDescent="0.35">
      <c r="A45" s="601" t="s">
        <v>1079</v>
      </c>
      <c r="B45" s="599"/>
      <c r="C45" s="598" t="s">
        <v>1080</v>
      </c>
      <c r="D45" s="625"/>
      <c r="E45" s="627" t="s">
        <v>1081</v>
      </c>
      <c r="F45" s="628" t="s">
        <v>1082</v>
      </c>
      <c r="G45" s="628" t="s">
        <v>1083</v>
      </c>
      <c r="H45" s="630" t="s">
        <v>1084</v>
      </c>
      <c r="I45" s="627" t="s">
        <v>1085</v>
      </c>
      <c r="J45" s="628" t="s">
        <v>1086</v>
      </c>
      <c r="K45" s="629" t="s">
        <v>1087</v>
      </c>
      <c r="M45" s="945" t="s">
        <v>1088</v>
      </c>
      <c r="N45" s="946"/>
      <c r="O45" s="947"/>
      <c r="P45" s="600" t="s">
        <v>1089</v>
      </c>
      <c r="Q45" s="600" t="s">
        <v>1090</v>
      </c>
      <c r="R45" s="600" t="s">
        <v>1091</v>
      </c>
    </row>
    <row r="46" spans="1:124" x14ac:dyDescent="0.3">
      <c r="A46" s="599">
        <v>1</v>
      </c>
      <c r="B46" s="599"/>
      <c r="C46" s="599" t="s">
        <v>347</v>
      </c>
      <c r="D46" s="625"/>
      <c r="E46" s="695">
        <v>1438</v>
      </c>
      <c r="F46" s="696">
        <v>0.7</v>
      </c>
      <c r="G46" s="696">
        <v>0.67</v>
      </c>
      <c r="H46" s="696">
        <v>0.08</v>
      </c>
      <c r="I46" s="631">
        <v>8.5000000000000006E-2</v>
      </c>
      <c r="J46" s="632">
        <v>1.2E-2</v>
      </c>
      <c r="K46" s="633">
        <v>8934</v>
      </c>
      <c r="M46" s="596" t="s">
        <v>452</v>
      </c>
      <c r="N46" s="596" t="s">
        <v>1092</v>
      </c>
      <c r="O46" s="596" t="s">
        <v>1092</v>
      </c>
      <c r="P46" s="596" t="s">
        <v>1092</v>
      </c>
      <c r="Q46" s="596" t="s">
        <v>1092</v>
      </c>
      <c r="R46" s="596" t="s">
        <v>1092</v>
      </c>
    </row>
    <row r="47" spans="1:124" x14ac:dyDescent="0.3">
      <c r="A47" s="599">
        <v>2</v>
      </c>
      <c r="B47" s="599"/>
      <c r="C47" s="599" t="s">
        <v>348</v>
      </c>
      <c r="D47" s="625"/>
      <c r="E47" s="695">
        <v>1069</v>
      </c>
      <c r="F47" s="696">
        <v>0.28000000000000003</v>
      </c>
      <c r="G47" s="696">
        <v>0.05</v>
      </c>
      <c r="H47" s="696">
        <v>0.05</v>
      </c>
      <c r="I47" s="634">
        <f ca="1">LOOKUP(M47,C8:C43,V8:V44)</f>
        <v>3.1E-2</v>
      </c>
      <c r="J47" s="635">
        <f>LOOKUP(M47,D8:D44,W8:W44)</f>
        <v>0.01</v>
      </c>
      <c r="K47" s="636">
        <f>LOOKUP(M47,$C$7:$C$42,$DL$7:$DL$42)</f>
        <v>7926.8296557530703</v>
      </c>
      <c r="M47" s="596" t="s">
        <v>366</v>
      </c>
      <c r="N47" s="596" t="s">
        <v>1092</v>
      </c>
      <c r="O47" s="596" t="s">
        <v>1092</v>
      </c>
      <c r="P47" s="596" t="s">
        <v>1092</v>
      </c>
      <c r="Q47" s="596" t="s">
        <v>1092</v>
      </c>
      <c r="R47" s="596" t="s">
        <v>1092</v>
      </c>
    </row>
    <row r="48" spans="1:124" x14ac:dyDescent="0.3">
      <c r="A48" s="599">
        <v>3</v>
      </c>
      <c r="B48" s="599"/>
      <c r="C48" s="599" t="s">
        <v>349</v>
      </c>
      <c r="D48" s="625"/>
      <c r="E48" s="695">
        <v>1434</v>
      </c>
      <c r="F48" s="696">
        <v>0.67</v>
      </c>
      <c r="G48" s="696">
        <v>0.41</v>
      </c>
      <c r="H48" s="696">
        <v>0.12</v>
      </c>
      <c r="I48" s="634">
        <f>LOOKUP(M48,$C$7:$C$42,$V$7:$V$42)</f>
        <v>5.1999999999999998E-2</v>
      </c>
      <c r="J48" s="635">
        <f>LOOKUP(M48,$C$7:$C$42,$W$7:$W$42)</f>
        <v>7.0000000000000001E-3</v>
      </c>
      <c r="K48" s="636">
        <f>LOOKUP(M48,$C$7:$C$42,$DL$7:$DL$42)</f>
        <v>8362.9764931196878</v>
      </c>
      <c r="M48" s="596" t="s">
        <v>388</v>
      </c>
      <c r="N48" s="596" t="s">
        <v>1092</v>
      </c>
      <c r="O48" s="596" t="s">
        <v>1092</v>
      </c>
      <c r="P48" s="596" t="s">
        <v>1092</v>
      </c>
      <c r="Q48" s="596" t="s">
        <v>1092</v>
      </c>
      <c r="R48" s="596" t="s">
        <v>1092</v>
      </c>
    </row>
    <row r="49" spans="1:18" x14ac:dyDescent="0.3">
      <c r="A49" s="599">
        <v>4</v>
      </c>
      <c r="B49" s="599"/>
      <c r="C49" s="599" t="s">
        <v>350</v>
      </c>
      <c r="D49" s="625"/>
      <c r="E49" s="695">
        <v>1823</v>
      </c>
      <c r="F49" s="696">
        <v>1.27</v>
      </c>
      <c r="G49" s="696">
        <v>1.39</v>
      </c>
      <c r="H49" s="696">
        <v>0.08</v>
      </c>
      <c r="I49" s="634">
        <f>(LOOKUP(M49,$C$7:$C$42,$V$7:$V$42)*P49)+(LOOKUP(N49,$C$7:$C$42,$V$7:$V$42)*Q49)</f>
        <v>8.9246642892850225E-2</v>
      </c>
      <c r="J49" s="635">
        <f>(LOOKUP(M49,$C$7:$C$42,$W$7:$W$42)*P49)+(LOOKUP(N49,$C$7:$C$42,$W$7:$W$42)*Q49)</f>
        <v>1.3320948984692889E-2</v>
      </c>
      <c r="K49" s="636">
        <f>(LOOKUP(M49,$C$7:$C$42,$DL$7:$DL$42)*P49)+(LOOKUP(N49,$C$7:$C$42,$DL$7:$DL$42)*Q49)</f>
        <v>9765.1478097820436</v>
      </c>
      <c r="M49" s="596" t="s">
        <v>382</v>
      </c>
      <c r="N49" s="596" t="s">
        <v>383</v>
      </c>
      <c r="O49" s="596" t="s">
        <v>1092</v>
      </c>
      <c r="P49" s="597">
        <f>LOOKUP(M49,$C$7:$C$42,$H$7:$H$42)/(LOOKUP(M49,$C$7:$C$42,$H$7:$H$42)+LOOKUP(N49,$C$7:$C$42,$H$7:$H$42))</f>
        <v>0.33023724617322192</v>
      </c>
      <c r="Q49" s="597">
        <f>LOOKUP(N49,$C$7:$C$42,$H$7:$H$42)/(LOOKUP(M49,$C$7:$C$42,$H$7:$H$42)+LOOKUP(N49,$C$7:$C$42,$H$7:$H$42))</f>
        <v>0.66976275382677819</v>
      </c>
      <c r="R49" s="596" t="s">
        <v>1092</v>
      </c>
    </row>
    <row r="50" spans="1:18" x14ac:dyDescent="0.3">
      <c r="A50" s="599">
        <v>5</v>
      </c>
      <c r="B50" s="599"/>
      <c r="C50" s="599" t="s">
        <v>351</v>
      </c>
      <c r="D50" s="625"/>
      <c r="E50" s="695">
        <v>1069</v>
      </c>
      <c r="F50" s="696">
        <v>0.32</v>
      </c>
      <c r="G50" s="696">
        <v>0.21</v>
      </c>
      <c r="H50" s="696">
        <v>7.0000000000000007E-2</v>
      </c>
      <c r="I50" s="634">
        <f>LOOKUP(M50,$C$7:$C$42,$V$7:$V$42)</f>
        <v>5.2999999999999999E-2</v>
      </c>
      <c r="J50" s="635">
        <f>LOOKUP(M50,$C$7:$C$42,$W$7:$W$42)</f>
        <v>7.0000000000000001E-3</v>
      </c>
      <c r="K50" s="636">
        <f>LOOKUP(M50,$C$7:$C$42,$DL$7:$DL$42)</f>
        <v>7513.7593710001829</v>
      </c>
      <c r="M50" s="596" t="s">
        <v>368</v>
      </c>
      <c r="N50" s="596" t="s">
        <v>1092</v>
      </c>
      <c r="O50" s="596" t="s">
        <v>1092</v>
      </c>
      <c r="P50" s="596" t="s">
        <v>1092</v>
      </c>
      <c r="Q50" s="596" t="s">
        <v>1092</v>
      </c>
      <c r="R50" s="596" t="s">
        <v>1092</v>
      </c>
    </row>
    <row r="51" spans="1:18" x14ac:dyDescent="0.3">
      <c r="A51" s="599">
        <v>6</v>
      </c>
      <c r="B51" s="599"/>
      <c r="C51" s="599" t="s">
        <v>352</v>
      </c>
      <c r="D51" s="625"/>
      <c r="E51" s="695">
        <v>1482</v>
      </c>
      <c r="F51" s="696">
        <v>0.63</v>
      </c>
      <c r="G51" s="696">
        <v>0.79</v>
      </c>
      <c r="H51" s="696">
        <v>0.09</v>
      </c>
      <c r="I51" s="634">
        <f>(LOOKUP(M51,$C$7:$C$42,$V$7:$V$42)*P51)+(LOOKUP(N51,$C$7:$C$42,$V$7:$V$42)*Q51)</f>
        <v>7.8544694539794638E-2</v>
      </c>
      <c r="J51" s="635">
        <f>(LOOKUP(M51,$C$7:$C$42,$W$7:$W$42)*P51)+(LOOKUP(N51,$C$7:$C$42,$W$7:$W$42)*Q51)</f>
        <v>1.1495931777794836E-2</v>
      </c>
      <c r="K51" s="636">
        <f>LOOKUP(M51,$C$7:$C$42,$DL$7:$DL$42)</f>
        <v>7817.2559692131063</v>
      </c>
      <c r="M51" s="596" t="s">
        <v>378</v>
      </c>
      <c r="N51" s="596" t="s">
        <v>380</v>
      </c>
      <c r="O51" s="596" t="s">
        <v>1092</v>
      </c>
      <c r="P51" s="597">
        <f>LOOKUP(M51,$C$7:$C$42,$H$7:$H$42)/(LOOKUP(M51,$C$7:$C$42,$H$7:$H$42)+LOOKUP(N51,$C$7:$C$42,$H$7:$H$42))</f>
        <v>0.35772403174359463</v>
      </c>
      <c r="Q51" s="597">
        <f>LOOKUP(N51,$C$7:$C$42,$H$7:$H$42)/(LOOKUP(M51,$C$7:$C$42,$H$7:$H$42)+LOOKUP(N51,$C$7:$C$42,$H$7:$H$42))</f>
        <v>0.64227596825640532</v>
      </c>
      <c r="R51" s="596"/>
    </row>
    <row r="52" spans="1:18" x14ac:dyDescent="0.3">
      <c r="A52" s="599">
        <v>7</v>
      </c>
      <c r="B52" s="599"/>
      <c r="C52" s="599" t="s">
        <v>353</v>
      </c>
      <c r="D52" s="625"/>
      <c r="E52" s="695">
        <v>1677</v>
      </c>
      <c r="F52" s="696">
        <v>1</v>
      </c>
      <c r="G52" s="696">
        <v>1.27</v>
      </c>
      <c r="H52" s="696">
        <v>0.1</v>
      </c>
      <c r="I52" s="634">
        <f>(LOOKUP(M52,$C$7:$C$42,$V$7:$V$42)*P52)+(LOOKUP(N52,$C$7:$C$42,$V$7:$V$42)*Q52)+(LOOKUP(O52,$C$7:$C$42,$V$7:$V$42)*R52)</f>
        <v>9.9104917436333415E-2</v>
      </c>
      <c r="J52" s="635">
        <f>(LOOKUP(M52,$C$7:$C$42,$W$7:$W$42)*P52)+(LOOKUP(N52,$C$7:$C$42,$W$7:$W$42)*Q52)+(LOOKUP(O52,$C$7:$C$42,$W$7:$W$42)*R52)</f>
        <v>1.4242607034410232E-2</v>
      </c>
      <c r="K52" s="636">
        <f>(LOOKUP(M52,$C$7:$C$42,$DL$7:$DL$42)*P52)+(LOOKUP(N52,$C$7:$C$42,$DL$7:$DL$42)*Q52)+(LOOKUP(O52,$C$7:$C$42,$DL$7:$DL$42)*R52)</f>
        <v>9252.1980982298737</v>
      </c>
      <c r="M52" s="596" t="s">
        <v>385</v>
      </c>
      <c r="N52" s="596" t="s">
        <v>372</v>
      </c>
      <c r="O52" s="596" t="s">
        <v>384</v>
      </c>
      <c r="P52" s="597">
        <f>LOOKUP(M52,$C$7:$C$42,$H$7:$H$42)/(LOOKUP(M52,$C$7:$C$42,$H$7:$H$42)+LOOKUP(N52,$C$7:$C$42,$H$7:$H$42)+LOOKUP(O52,$C$7:$C$42,$H$7:$H$42))</f>
        <v>0.21606823806898615</v>
      </c>
      <c r="Q52" s="597">
        <f>LOOKUP(N52,$C$7:$C$42,$H$7:$H$42)/(LOOKUP(M52,$C$7:$C$42,$H$7:$H$42)+LOOKUP(O52,$C$7:$C$42,$H$7:$H$42)+LOOKUP(N52,$C$7:$C$42,$H$7:$H$42))</f>
        <v>0.45970116789994375</v>
      </c>
      <c r="R52" s="597">
        <f>LOOKUP(O52,$C$7:$C$42,$H$7:$H$42)/(LOOKUP(M52,$C$7:$C$42,$H$7:$H$42)+LOOKUP(O52,$C$7:$C$42,$H$7:$H$42)+LOOKUP(N52,$C$7:$C$42,$H$7:$H$42))</f>
        <v>0.32423059403107013</v>
      </c>
    </row>
    <row r="53" spans="1:18" x14ac:dyDescent="0.3">
      <c r="A53" s="599">
        <v>8</v>
      </c>
      <c r="B53" s="599"/>
      <c r="C53" s="599" t="s">
        <v>354</v>
      </c>
      <c r="D53" s="625"/>
      <c r="E53" s="695">
        <v>1110</v>
      </c>
      <c r="F53" s="696">
        <v>0.25</v>
      </c>
      <c r="G53" s="696">
        <v>0.22</v>
      </c>
      <c r="H53" s="696">
        <v>0.04</v>
      </c>
      <c r="I53" s="634">
        <f>LOOKUP(M53,$C$7:$C$42,$V$7:$V$42)</f>
        <v>7.1999999999999995E-2</v>
      </c>
      <c r="J53" s="635">
        <f>LOOKUP(M53,$C$7:$C$42,$W$7:$W$42)</f>
        <v>8.9999999999999993E-3</v>
      </c>
      <c r="K53" s="636">
        <f>LOOKUP(M53,$C$7:$C$42,$DL$7:$DL$42)</f>
        <v>7143.6261682242985</v>
      </c>
      <c r="M53" s="596" t="s">
        <v>373</v>
      </c>
      <c r="N53" s="596" t="s">
        <v>1092</v>
      </c>
      <c r="O53" s="596" t="s">
        <v>1092</v>
      </c>
      <c r="P53" s="596" t="s">
        <v>1092</v>
      </c>
      <c r="Q53" s="596" t="s">
        <v>1092</v>
      </c>
      <c r="R53" s="596" t="s">
        <v>1092</v>
      </c>
    </row>
    <row r="54" spans="1:18" x14ac:dyDescent="0.3">
      <c r="A54" s="599">
        <v>9</v>
      </c>
      <c r="B54" s="599"/>
      <c r="C54" s="599" t="s">
        <v>355</v>
      </c>
      <c r="D54" s="625"/>
      <c r="E54" s="695">
        <v>1110</v>
      </c>
      <c r="F54" s="696">
        <v>0.47</v>
      </c>
      <c r="G54" s="696">
        <v>0.24</v>
      </c>
      <c r="H54" s="696">
        <v>0.14000000000000001</v>
      </c>
      <c r="I54" s="634">
        <f>(LOOKUP(M54,$C$7:$C$42,$V$7:$V$42)*P54)+(LOOKUP(N54,$C$7:$C$42,$V$7:$V$42)*Q54)+(LOOKUP(O54,$C$7:$C$42,$V$7:$V$42)*R54)</f>
        <v>2.619807099629053E-2</v>
      </c>
      <c r="J54" s="635">
        <f>(LOOKUP(M54,$C$7:$C$42,$W$7:$W$42)*P54)+(LOOKUP(N54,$C$7:$C$42,$W$7:$W$42)*Q54)+(LOOKUP(O54,$C$7:$C$42,$W$7:$W$42)*R54)</f>
        <v>3.2861899691170211E-3</v>
      </c>
      <c r="K54" s="636">
        <f>(LOOKUP(M54,$C$7:$C$42,$DL$7:$DL$42)*P54)+(LOOKUP(N54,$C$7:$C$42,$DL$7:$DL$42)*Q54)+(LOOKUP(O54,$C$7:$C$42,$DL$7:$DL$42)*R54)</f>
        <v>7489.2204628162381</v>
      </c>
      <c r="M54" s="596" t="s">
        <v>377</v>
      </c>
      <c r="N54" s="596" t="s">
        <v>376</v>
      </c>
      <c r="O54" s="596" t="s">
        <v>375</v>
      </c>
      <c r="P54" s="597">
        <f>LOOKUP(M54,$C$7:$C$42,$H$7:$H$42)/(LOOKUP(M54,$C$7:$C$42,$H$7:$H$42)+LOOKUP(N54,$C$7:$C$42,$H$7:$H$42)+LOOKUP(O54,$C$7:$C$42,$H$7:$H$42))</f>
        <v>0.65802379906167585</v>
      </c>
      <c r="Q54" s="597">
        <f>LOOKUP(N54,$C$7:$C$42,$H$7:$H$42)/(LOOKUP(M54,$C$7:$C$42,$H$7:$H$42)+LOOKUP(N54,$C$7:$C$42,$H$7:$H$42)+LOOKUP(O54,$C$7:$C$42,$H$7:$H$42))</f>
        <v>9.1870712079787226E-2</v>
      </c>
      <c r="R54" s="597">
        <f>LOOKUP(O54,$C$7:$C$42,$H$7:$H$42)/(LOOKUP(M54,$C$7:$C$42,$H$7:$H$42)+LOOKUP(N54,$C$7:$C$42,$H$7:$H$42)+LOOKUP(O54,$C$7:$C$42,$H$7:$H$42))</f>
        <v>0.2501054888585369</v>
      </c>
    </row>
    <row r="55" spans="1:18" x14ac:dyDescent="0.3">
      <c r="A55" s="599">
        <v>10</v>
      </c>
      <c r="B55" s="599"/>
      <c r="C55" s="599" t="s">
        <v>356</v>
      </c>
      <c r="D55" s="625"/>
      <c r="E55" s="695">
        <v>1480</v>
      </c>
      <c r="F55" s="696">
        <v>0.78</v>
      </c>
      <c r="G55" s="696">
        <v>0.42</v>
      </c>
      <c r="H55" s="696">
        <v>0.09</v>
      </c>
      <c r="I55" s="634">
        <f>LOOKUP(M55,$C$7:$C$43,$V$7:$V$43)</f>
        <v>5.8000000000000003E-2</v>
      </c>
      <c r="J55" s="635">
        <f t="shared" ref="J55:J60" si="15">LOOKUP(M55,$C$7:$C$42,$W$7:$W$42)</f>
        <v>8.0000000000000002E-3</v>
      </c>
      <c r="K55" s="636">
        <f t="shared" ref="K55:K60" si="16">LOOKUP(M55,$C$7:$C$42,$DL$7:$DL$42)</f>
        <v>9252.7754460221549</v>
      </c>
      <c r="M55" s="596" t="s">
        <v>374</v>
      </c>
      <c r="N55" s="596" t="s">
        <v>1092</v>
      </c>
      <c r="O55" s="596" t="s">
        <v>1092</v>
      </c>
      <c r="P55" s="596" t="s">
        <v>1092</v>
      </c>
      <c r="Q55" s="596" t="s">
        <v>1092</v>
      </c>
      <c r="R55" s="596" t="s">
        <v>1092</v>
      </c>
    </row>
    <row r="56" spans="1:18" x14ac:dyDescent="0.3">
      <c r="A56" s="599">
        <v>11</v>
      </c>
      <c r="B56" s="599"/>
      <c r="C56" s="599" t="s">
        <v>357</v>
      </c>
      <c r="D56" s="625"/>
      <c r="E56" s="695">
        <v>1890</v>
      </c>
      <c r="F56" s="696">
        <v>0.92</v>
      </c>
      <c r="G56" s="696">
        <v>0.61</v>
      </c>
      <c r="H56" s="696">
        <v>0.03</v>
      </c>
      <c r="I56" s="634">
        <f>LOOKUP(M56,$C$7:$C$32,$V$7:$V$32)</f>
        <v>0.109</v>
      </c>
      <c r="J56" s="635">
        <f t="shared" si="15"/>
        <v>1.6E-2</v>
      </c>
      <c r="K56" s="636">
        <f t="shared" si="16"/>
        <v>10228.497002411343</v>
      </c>
      <c r="M56" s="596" t="s">
        <v>381</v>
      </c>
      <c r="N56" s="596" t="s">
        <v>1092</v>
      </c>
      <c r="O56" s="596" t="s">
        <v>1092</v>
      </c>
      <c r="P56" s="596" t="s">
        <v>1092</v>
      </c>
      <c r="Q56" s="596" t="s">
        <v>1092</v>
      </c>
      <c r="R56" s="596" t="s">
        <v>1092</v>
      </c>
    </row>
    <row r="57" spans="1:18" x14ac:dyDescent="0.3">
      <c r="A57" s="599">
        <v>12</v>
      </c>
      <c r="B57" s="599"/>
      <c r="C57" s="599" t="s">
        <v>358</v>
      </c>
      <c r="D57" s="625"/>
      <c r="E57" s="695">
        <v>1369</v>
      </c>
      <c r="F57" s="696">
        <v>0.68</v>
      </c>
      <c r="G57" s="696">
        <v>0.17</v>
      </c>
      <c r="H57" s="696">
        <v>0.06</v>
      </c>
      <c r="I57" s="634">
        <f>LOOKUP(M57,$C$7:$C$32,$V$7:$V$32)</f>
        <v>6.7000000000000004E-2</v>
      </c>
      <c r="J57" s="635">
        <f t="shared" si="15"/>
        <v>0.01</v>
      </c>
      <c r="K57" s="636">
        <f t="shared" si="16"/>
        <v>8320.7084269923707</v>
      </c>
      <c r="M57" s="596" t="s">
        <v>386</v>
      </c>
      <c r="N57" s="596" t="s">
        <v>1092</v>
      </c>
      <c r="O57" s="596" t="s">
        <v>1092</v>
      </c>
      <c r="P57" s="596" t="s">
        <v>1092</v>
      </c>
      <c r="Q57" s="596" t="s">
        <v>1092</v>
      </c>
      <c r="R57" s="596" t="s">
        <v>1092</v>
      </c>
    </row>
    <row r="58" spans="1:18" x14ac:dyDescent="0.3">
      <c r="A58" s="599">
        <v>13</v>
      </c>
      <c r="B58" s="599"/>
      <c r="C58" s="599" t="s">
        <v>359</v>
      </c>
      <c r="D58" s="625"/>
      <c r="E58" s="695">
        <v>1332</v>
      </c>
      <c r="F58" s="696">
        <v>0.47</v>
      </c>
      <c r="G58" s="696">
        <v>0.22</v>
      </c>
      <c r="H58" s="696">
        <v>0.08</v>
      </c>
      <c r="I58" s="634">
        <f>LOOKUP(M58,$C$7:$C$32,$V$7:$V$32)</f>
        <v>5.1999999999999998E-2</v>
      </c>
      <c r="J58" s="635">
        <f t="shared" si="15"/>
        <v>7.0000000000000001E-3</v>
      </c>
      <c r="K58" s="636">
        <f t="shared" si="16"/>
        <v>8729.4035286119142</v>
      </c>
      <c r="M58" s="596" t="s">
        <v>365</v>
      </c>
      <c r="N58" s="596" t="s">
        <v>1092</v>
      </c>
      <c r="O58" s="596" t="s">
        <v>1092</v>
      </c>
      <c r="P58" s="596" t="s">
        <v>1092</v>
      </c>
      <c r="Q58" s="596" t="s">
        <v>1092</v>
      </c>
      <c r="R58" s="596" t="s">
        <v>1092</v>
      </c>
    </row>
    <row r="59" spans="1:18" x14ac:dyDescent="0.3">
      <c r="A59" s="599">
        <v>14</v>
      </c>
      <c r="B59" s="599"/>
      <c r="C59" s="599" t="s">
        <v>360</v>
      </c>
      <c r="D59" s="625"/>
      <c r="E59" s="695">
        <v>1372</v>
      </c>
      <c r="F59" s="696">
        <v>0.47</v>
      </c>
      <c r="G59" s="696">
        <v>0.56999999999999995</v>
      </c>
      <c r="H59" s="696">
        <v>0.12</v>
      </c>
      <c r="I59" s="634">
        <f>LOOKUP(M59,$C$7:$C$42,$V$7:$V$42)</f>
        <v>8.6999999999999994E-2</v>
      </c>
      <c r="J59" s="635">
        <f t="shared" si="15"/>
        <v>1.2999999999999999E-2</v>
      </c>
      <c r="K59" s="636">
        <f t="shared" si="16"/>
        <v>9207.8188828200309</v>
      </c>
      <c r="M59" s="596" t="s">
        <v>387</v>
      </c>
      <c r="N59" s="596" t="s">
        <v>1092</v>
      </c>
      <c r="O59" s="596" t="s">
        <v>1092</v>
      </c>
      <c r="P59" s="596" t="s">
        <v>1092</v>
      </c>
      <c r="Q59" s="596" t="s">
        <v>1092</v>
      </c>
      <c r="R59" s="596" t="s">
        <v>1092</v>
      </c>
    </row>
    <row r="60" spans="1:18" ht="12.5" thickBot="1" x14ac:dyDescent="0.35">
      <c r="A60" s="599">
        <v>15</v>
      </c>
      <c r="B60" s="599"/>
      <c r="C60" s="599" t="s">
        <v>361</v>
      </c>
      <c r="D60" s="625"/>
      <c r="E60" s="695">
        <v>1207</v>
      </c>
      <c r="F60" s="696">
        <v>0.55000000000000004</v>
      </c>
      <c r="G60" s="696">
        <v>0.42</v>
      </c>
      <c r="H60" s="696">
        <v>0.06</v>
      </c>
      <c r="I60" s="637">
        <f ca="1">LOOKUP(M60,$C$7:$C$34,$V$7:$V$43)</f>
        <v>5.3999999999999999E-2</v>
      </c>
      <c r="J60" s="638">
        <f t="shared" si="15"/>
        <v>8.0000000000000002E-3</v>
      </c>
      <c r="K60" s="639">
        <f t="shared" si="16"/>
        <v>8267.9012101948556</v>
      </c>
      <c r="M60" s="596" t="s">
        <v>367</v>
      </c>
      <c r="N60" s="596" t="s">
        <v>1092</v>
      </c>
      <c r="O60" s="596" t="s">
        <v>1092</v>
      </c>
      <c r="P60" s="596" t="s">
        <v>1092</v>
      </c>
      <c r="Q60" s="596" t="s">
        <v>1092</v>
      </c>
      <c r="R60" s="596" t="s">
        <v>1092</v>
      </c>
    </row>
    <row r="62" spans="1:18" ht="8.15" customHeight="1" x14ac:dyDescent="0.3"/>
  </sheetData>
  <mergeCells count="2">
    <mergeCell ref="A1:C2"/>
    <mergeCell ref="M45:O45"/>
  </mergeCells>
  <phoneticPr fontId="18" type="noConversion"/>
  <pageMargins left="0.75" right="0.75" top="1" bottom="1" header="0.5" footer="0.5"/>
  <pageSetup pageOrder="overThenDown" orientation="portrait" r:id="rId1"/>
  <headerFooter alignWithMargins="0"/>
  <ignoredErrors>
    <ignoredError sqref="K49 K52:K53 J54:K54 I49:I50 I53:I54 J49:J53" formula="1"/>
  </ignoredErrors>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1">
    <pageSetUpPr fitToPage="1"/>
  </sheetPr>
  <dimension ref="A1:P27"/>
  <sheetViews>
    <sheetView zoomScaleNormal="100" workbookViewId="0">
      <selection activeCell="A30" sqref="A30"/>
    </sheetView>
  </sheetViews>
  <sheetFormatPr defaultColWidth="9.1796875" defaultRowHeight="12.5" x14ac:dyDescent="0.25"/>
  <cols>
    <col min="1" max="1" width="33.453125" style="3" customWidth="1"/>
    <col min="2" max="2" width="9.54296875" style="3" customWidth="1"/>
    <col min="3" max="3" width="11.453125" style="3" customWidth="1"/>
    <col min="4" max="4" width="9.453125" style="3" customWidth="1"/>
    <col min="5" max="6" width="9.54296875" style="3" customWidth="1"/>
    <col min="7" max="7" width="12.54296875" style="3" customWidth="1"/>
    <col min="8" max="8" width="11.54296875" style="3" customWidth="1"/>
    <col min="9" max="10" width="10.54296875" style="3" customWidth="1"/>
    <col min="11" max="12" width="10.453125" style="3" customWidth="1"/>
    <col min="13" max="15" width="9.1796875" style="3" customWidth="1"/>
    <col min="16" max="16" width="9.1796875" style="3"/>
    <col min="17" max="16384" width="9.1796875" style="5"/>
  </cols>
  <sheetData>
    <row r="1" spans="1:12" ht="13" x14ac:dyDescent="0.3">
      <c r="A1" s="1" t="s">
        <v>1093</v>
      </c>
      <c r="B1" s="194">
        <f>deinput</f>
        <v>1</v>
      </c>
      <c r="C1" s="1" t="str">
        <f>LOOKUP(deinput,Lists!A25:A41,Lists!B25:B41)</f>
        <v>AVERT Uniform EE Factors (2022 Data)</v>
      </c>
      <c r="D1" s="194"/>
      <c r="E1" s="194"/>
      <c r="F1" s="194"/>
      <c r="G1" s="194"/>
      <c r="H1" s="194"/>
      <c r="I1" s="194"/>
      <c r="J1" s="194"/>
      <c r="K1" s="194"/>
      <c r="L1" s="194"/>
    </row>
    <row r="2" spans="1:12" ht="13" x14ac:dyDescent="0.3">
      <c r="A2" s="194"/>
      <c r="B2" s="748" t="str">
        <f ca="1">IF(deinput&lt;8,LOOKUP(deinput2,list6a,listb6),"N/A")</f>
        <v>AVERT - National Average</v>
      </c>
      <c r="C2" s="1" t="s">
        <v>1094</v>
      </c>
      <c r="D2" s="194"/>
      <c r="E2" s="194"/>
      <c r="F2" s="194"/>
      <c r="G2" s="194"/>
      <c r="H2" s="194"/>
      <c r="I2" s="194"/>
      <c r="J2" s="194"/>
      <c r="K2" s="194"/>
      <c r="L2" s="194"/>
    </row>
    <row r="4" spans="1:12" ht="13" x14ac:dyDescent="0.3">
      <c r="A4" s="194"/>
      <c r="B4" s="124" t="s">
        <v>1095</v>
      </c>
      <c r="C4" s="792">
        <f>LOOKUP(B1,B11:B27,H11:H27)</f>
        <v>0.7</v>
      </c>
      <c r="D4" s="793" t="s">
        <v>1096</v>
      </c>
      <c r="E4" s="793"/>
      <c r="F4" s="125" t="s">
        <v>1097</v>
      </c>
      <c r="G4" s="792">
        <f>LOOKUP(B1,B11:B27,K11:K27)</f>
        <v>8.5000000000000006E-2</v>
      </c>
      <c r="H4" s="793" t="s">
        <v>1096</v>
      </c>
      <c r="I4" s="794"/>
      <c r="J4" s="194"/>
      <c r="K4" s="194"/>
      <c r="L4" s="194"/>
    </row>
    <row r="5" spans="1:12" ht="13" x14ac:dyDescent="0.3">
      <c r="A5" s="194"/>
      <c r="B5" s="124" t="s">
        <v>1098</v>
      </c>
      <c r="C5" s="792">
        <f>LOOKUP(B1,B11:B27,I11:I27)</f>
        <v>0.67</v>
      </c>
      <c r="D5" s="793" t="s">
        <v>1096</v>
      </c>
      <c r="E5" s="793"/>
      <c r="F5" s="125" t="s">
        <v>1099</v>
      </c>
      <c r="G5" s="792">
        <f>LOOKUP(B1,B11:B27,L11:L27)</f>
        <v>1.2E-2</v>
      </c>
      <c r="H5" s="793" t="s">
        <v>1096</v>
      </c>
      <c r="I5" s="794"/>
      <c r="J5" s="194"/>
      <c r="K5" s="194"/>
      <c r="L5" s="194"/>
    </row>
    <row r="6" spans="1:12" ht="13" x14ac:dyDescent="0.3">
      <c r="A6" s="194"/>
      <c r="B6" s="124" t="s">
        <v>1100</v>
      </c>
      <c r="C6" s="795">
        <f>LOOKUP(B1,B11:B27,J11:J27)</f>
        <v>1438</v>
      </c>
      <c r="D6" s="793" t="s">
        <v>1096</v>
      </c>
      <c r="E6" s="793"/>
      <c r="F6" s="194"/>
      <c r="G6" s="194"/>
      <c r="H6" s="194"/>
      <c r="I6" s="194"/>
      <c r="J6" s="194"/>
      <c r="K6" s="194"/>
      <c r="L6" s="194"/>
    </row>
    <row r="7" spans="1:12" ht="13" x14ac:dyDescent="0.3">
      <c r="A7" s="194"/>
      <c r="B7" s="124" t="s">
        <v>223</v>
      </c>
      <c r="C7" s="795">
        <f>LOOKUP(B1,B11:B27,C11:C27)</f>
        <v>8934</v>
      </c>
      <c r="D7" s="793" t="s">
        <v>1101</v>
      </c>
      <c r="E7" s="793"/>
      <c r="F7" s="194"/>
      <c r="G7" s="194"/>
      <c r="H7" s="194"/>
      <c r="I7" s="194"/>
      <c r="J7" s="194"/>
      <c r="K7" s="194"/>
      <c r="L7" s="194"/>
    </row>
    <row r="8" spans="1:12" x14ac:dyDescent="0.25">
      <c r="A8" s="194"/>
      <c r="B8" s="796"/>
      <c r="C8" s="194"/>
      <c r="D8" s="194"/>
      <c r="E8" s="194"/>
      <c r="F8" s="194"/>
      <c r="G8" s="194"/>
      <c r="H8" s="194"/>
      <c r="I8" s="194"/>
      <c r="J8" s="194"/>
      <c r="K8" s="194"/>
      <c r="L8" s="194"/>
    </row>
    <row r="9" spans="1:12" ht="13" thickBot="1" x14ac:dyDescent="0.3">
      <c r="A9" s="194" t="s">
        <v>221</v>
      </c>
      <c r="B9" s="194"/>
      <c r="C9" s="194"/>
      <c r="D9" s="194"/>
      <c r="E9" s="194"/>
      <c r="F9" s="194"/>
      <c r="G9" s="194"/>
      <c r="H9" s="194"/>
      <c r="I9" s="194"/>
      <c r="J9" s="194"/>
      <c r="K9" s="194"/>
      <c r="L9" s="194"/>
    </row>
    <row r="10" spans="1:12" x14ac:dyDescent="0.25">
      <c r="A10" s="733" t="s">
        <v>224</v>
      </c>
      <c r="B10" s="797" t="s">
        <v>225</v>
      </c>
      <c r="C10" s="797" t="s">
        <v>229</v>
      </c>
      <c r="D10" s="797" t="s">
        <v>462</v>
      </c>
      <c r="E10" s="797" t="s">
        <v>464</v>
      </c>
      <c r="F10" s="797" t="s">
        <v>465</v>
      </c>
      <c r="G10" s="797"/>
      <c r="H10" s="797" t="s">
        <v>226</v>
      </c>
      <c r="I10" s="797" t="s">
        <v>227</v>
      </c>
      <c r="J10" s="797" t="s">
        <v>228</v>
      </c>
      <c r="K10" s="797" t="s">
        <v>1102</v>
      </c>
      <c r="L10" s="734" t="s">
        <v>1103</v>
      </c>
    </row>
    <row r="11" spans="1:12" x14ac:dyDescent="0.25">
      <c r="A11" s="592" t="s">
        <v>1104</v>
      </c>
      <c r="B11" s="194">
        <v>1</v>
      </c>
      <c r="C11" s="238">
        <f>IF(deinput2=1,LOOKUP(1,EGRID!$A$46:$A$60,EGRID!$K$46:$K$60),IF(deinput2&gt;15,"n/a",LOOKUP(deinput2,EGRID!$A$46:$A$60,EGRID!$K$46:$K$60)))</f>
        <v>8934</v>
      </c>
      <c r="D11" s="593" t="s">
        <v>1092</v>
      </c>
      <c r="E11" s="594" t="s">
        <v>1092</v>
      </c>
      <c r="F11" s="595" t="s">
        <v>1092</v>
      </c>
      <c r="G11" s="798"/>
      <c r="H11" s="799">
        <f>IF(deinput2=1,LOOKUP(1,EGRID!$A$46:$A$60,EGRID!$F$46:$F$60),IF(deinput2&gt;15,"n/a",LOOKUP(deinput2,EGRID!$A$46:$A$60,EGRID!$F$46:$F$60)))</f>
        <v>0.7</v>
      </c>
      <c r="I11" s="799">
        <f>IF(deinput2=1,LOOKUP(1,EGRID!$A$46:$A$60,EGRID!$G$46:$G$60),IF(deinput2&gt;15,"n/a",LOOKUP(deinput2,EGRID!$A$46:$A$60,EGRID!$G$46:$G$60)))</f>
        <v>0.67</v>
      </c>
      <c r="J11" s="800">
        <f>IF(deinput2=1,LOOKUP(1,EGRID!$A$46:$A$60,EGRID!$E$46:$E$60),IF(deinput2&gt;15,"n/a",LOOKUP(deinput2,EGRID!$A$46:$A$60,EGRID!$E$46:$E$60)))</f>
        <v>1438</v>
      </c>
      <c r="K11" s="801">
        <f>IF(deinput2=1,LOOKUP(1,EGRID!$A$46:$A$60,EGRID!$I$46:$I$60),IF(deinput2&gt;15,"n/a",LOOKUP(deinput2,EGRID!$A$46:$A$60,EGRID!$I$46:$I$60)))</f>
        <v>8.5000000000000006E-2</v>
      </c>
      <c r="L11" s="802">
        <f>IF(deinput2=1,LOOKUP(1,EGRID!$A$46:$A$60,EGRID!$J$46:$J$60),IF(deinput2&gt;15,"n/a",LOOKUP(deinput2,EGRID!$A$46:$A$60,EGRID!$J$46:$J$60)))</f>
        <v>1.2E-2</v>
      </c>
    </row>
    <row r="12" spans="1:12" x14ac:dyDescent="0.25">
      <c r="A12" s="592" t="s">
        <v>1105</v>
      </c>
      <c r="B12" s="194">
        <v>2</v>
      </c>
      <c r="C12" s="238" t="str">
        <f>IF(deinput2&lt;16,"n/a",LOOKUP(deinput2,EGRID!$A$7:$A$43,EGRID!$DK$7:$DK$43))</f>
        <v>n/a</v>
      </c>
      <c r="D12" s="803" t="e">
        <f>LOOKUP(deinput2,EGRID!$A$7:$A$43,EGRID!$Z$7:$Z$43)</f>
        <v>#N/A</v>
      </c>
      <c r="E12" s="804" t="e">
        <f>LOOKUP(deinput2,EGRID!$A$7:$A$43,EGRID!$AB$7:$AB$43)</f>
        <v>#N/A</v>
      </c>
      <c r="F12" s="238" t="e">
        <f>LOOKUP(deinput2,EGRID!$A$7:$A$43,EGRID!$AC$7:$AC$43)</f>
        <v>#N/A</v>
      </c>
      <c r="G12" s="798"/>
      <c r="H12" s="799" t="str">
        <f>IF(deinput2&lt;16,"n/a",LOOKUP(deinput2,EGRID!$A$7:$A$43,EGRID!$R$7:$R$43))</f>
        <v>n/a</v>
      </c>
      <c r="I12" s="799" t="str">
        <f>IF(deinput2&lt;16,"n/a",LOOKUP(deinput2,EGRID!$A$7:$A$43,EGRID!$T$7:$T$43))</f>
        <v>n/a</v>
      </c>
      <c r="J12" s="800" t="str">
        <f>IF(deinput2&lt;16,"n/a",LOOKUP(deinput2,EGRID!$A$7:$A$43,EGRID!$U$7:$U$43))</f>
        <v>n/a</v>
      </c>
      <c r="K12" s="805" t="e">
        <f>LOOKUP(deinput2,EGRID!$A$7:$A$43,EGRID!$V$7:$V$43)</f>
        <v>#N/A</v>
      </c>
      <c r="L12" s="806" t="e">
        <f>LOOKUP(deinput2,EGRID!$A$7:$A$43,EGRID!$W$7:$W$43)</f>
        <v>#N/A</v>
      </c>
    </row>
    <row r="13" spans="1:12" x14ac:dyDescent="0.25">
      <c r="A13" s="592" t="s">
        <v>1106</v>
      </c>
      <c r="B13" s="194">
        <v>3</v>
      </c>
      <c r="C13" s="238" t="str">
        <f>IF(deinput2&lt;16,"n/a",LOOKUP(deinput2,EGRID!$A$7:$A$43,EGRID!$DL$7:$DL$43))</f>
        <v>n/a</v>
      </c>
      <c r="D13" s="803" t="e">
        <f>LOOKUP(deinput2,EGRID!$A$7:$A$43,EGRID!$BG$7:$BG$43)</f>
        <v>#N/A</v>
      </c>
      <c r="E13" s="804" t="e">
        <f>LOOKUP(deinput2,EGRID!$A$7:$A$43,EGRID!$BO$7:$BO$43)</f>
        <v>#N/A</v>
      </c>
      <c r="F13" s="238" t="e">
        <f>LOOKUP(deinput2,EGRID!$A$7:$A$43,EGRID!$BS$7:$BS$43)</f>
        <v>#N/A</v>
      </c>
      <c r="G13" s="798"/>
      <c r="H13" s="799" t="str">
        <f>IF(deinput2&lt;16,"n/a",LOOKUP(deinput2,EGRID!$A$7:$A$43,EGRID!$AO$7:$AO$43))</f>
        <v>n/a</v>
      </c>
      <c r="I13" s="799" t="str">
        <f>IF(deinput2&lt;16,"n/a",LOOKUP(deinput2,EGRID!$A$7:$A$43,EGRID!$AW$7:$AW$43))</f>
        <v>n/a</v>
      </c>
      <c r="J13" s="800" t="str">
        <f>IF(deinput2&lt;16,"n/a",LOOKUP(deinput2,EGRID!$A$7:$A$43,EGRID!$BA$7:$BA$43))</f>
        <v>n/a</v>
      </c>
      <c r="K13" s="805" t="e">
        <f>LOOKUP(deinput2,EGRID!$A$7:$A$43,EGRID!$AI$7:$AI$43)</f>
        <v>#N/A</v>
      </c>
      <c r="L13" s="806" t="e">
        <f>LOOKUP(deinput2,EGRID!$A$7:$A$43,EGRID!$AJ$7:$AJ$43)</f>
        <v>#N/A</v>
      </c>
    </row>
    <row r="14" spans="1:12" x14ac:dyDescent="0.25">
      <c r="A14" s="592" t="s">
        <v>1107</v>
      </c>
      <c r="B14" s="194">
        <v>4</v>
      </c>
      <c r="C14" s="238" t="str">
        <f>IF(deinput2&lt;16,"n/a",LOOKUP(deinput2,EGRID!$A$7:$A$43,EGRID!$DM$7:$DM$43))</f>
        <v>n/a</v>
      </c>
      <c r="D14" s="593" t="s">
        <v>1092</v>
      </c>
      <c r="E14" s="594" t="s">
        <v>1092</v>
      </c>
      <c r="F14" s="595" t="s">
        <v>1092</v>
      </c>
      <c r="G14" s="798"/>
      <c r="H14" s="799" t="str">
        <f>IF(deinput2&lt;16,"n/a",LOOKUP(deinput2,EGRID!$A$7:$A$43,EGRID!$BV$7:$BV$43))</f>
        <v>n/a</v>
      </c>
      <c r="I14" s="799" t="str">
        <f>IF(deinput2&lt;16,"n/a",LOOKUP(deinput2,EGRID!$A$7:$A$43,EGRID!$BX$7:$BX$43))</f>
        <v>n/a</v>
      </c>
      <c r="J14" s="800" t="str">
        <f>IF(deinput2&lt;16,"n/a",LOOKUP(deinput2,EGRID!$A$7:$A$43,EGRID!$BY$7:$BY$43))</f>
        <v>n/a</v>
      </c>
      <c r="K14" s="805" t="e">
        <f>LOOKUP(deinput2,EGRID!$A$7:$A$43,EGRID!$BZ$7:$BZ$43)</f>
        <v>#N/A</v>
      </c>
      <c r="L14" s="806" t="e">
        <f>LOOKUP(deinput2,EGRID!$A$7:$A$43,EGRID!$CA$7:$CA$43)</f>
        <v>#N/A</v>
      </c>
    </row>
    <row r="15" spans="1:12" x14ac:dyDescent="0.25">
      <c r="A15" s="592" t="s">
        <v>1108</v>
      </c>
      <c r="B15" s="194">
        <v>5</v>
      </c>
      <c r="C15" s="238" t="str">
        <f>IF(deinput2&lt;16,"n/a",LOOKUP(deinput2,EGRID!$A$7:$A$43,EGRID!$DN$7:$DN$43))</f>
        <v>n/a</v>
      </c>
      <c r="D15" s="803" t="e">
        <f>LOOKUP(deinput2,EGRID!$A$7:$A$43,EGRID!$BD$7:$BD$43)</f>
        <v>#N/A</v>
      </c>
      <c r="E15" s="804" t="e">
        <f>LOOKUP(deinput2,EGRID!$A$7:$A$43,EGRID!$BL$7:$BL$43)</f>
        <v>#N/A</v>
      </c>
      <c r="F15" s="238" t="e">
        <f>LOOKUP(deinput2,EGRID!$A$7:$A$43,EGRID!$BP$7:$BP$43)</f>
        <v>#N/A</v>
      </c>
      <c r="G15" s="798"/>
      <c r="H15" s="799" t="str">
        <f>IF(deinput2&lt;16,"n/a",LOOKUP(deinput2,EGRID!$A$7:$A$43,EGRID!$AL$7:$AL$43))</f>
        <v>n/a</v>
      </c>
      <c r="I15" s="799" t="str">
        <f>IF(deinput2&lt;16,"n/a",LOOKUP(deinput2,EGRID!$A$7:$A$43,EGRID!$AT$7:$AT$43))</f>
        <v>n/a</v>
      </c>
      <c r="J15" s="800" t="str">
        <f>IF(deinput2&lt;16,"n/a",LOOKUP(deinput2,EGRID!$A$7:$A$43,EGRID!$AX$7:$AX$43))</f>
        <v>n/a</v>
      </c>
      <c r="K15" s="801" t="e">
        <f>ch4coal*C15/1000</f>
        <v>#VALUE!</v>
      </c>
      <c r="L15" s="802" t="e">
        <f>n2ocoal*C15/1000</f>
        <v>#VALUE!</v>
      </c>
    </row>
    <row r="16" spans="1:12" x14ac:dyDescent="0.25">
      <c r="A16" s="592" t="s">
        <v>1109</v>
      </c>
      <c r="B16" s="194">
        <v>6</v>
      </c>
      <c r="C16" s="238" t="str">
        <f>IF(deinput2&lt;16,"n/a",LOOKUP(deinput2,EGRID!$A$7:$A$43,EGRID!$DO$7:$DO$43))</f>
        <v>n/a</v>
      </c>
      <c r="D16" s="803" t="e">
        <f>LOOKUP(deinput2,EGRID!$A$7:$A$43,EGRID!$BE$7:$BE$43)</f>
        <v>#N/A</v>
      </c>
      <c r="E16" s="804" t="e">
        <f>LOOKUP(deinput2,EGRID!$A$7:$A$43,EGRID!$BM$7:$BM$43)</f>
        <v>#N/A</v>
      </c>
      <c r="F16" s="238" t="e">
        <f>LOOKUP(deinput2,EGRID!$A$7:$A$43,EGRID!$BQ$7:$BQ$43)</f>
        <v>#N/A</v>
      </c>
      <c r="G16" s="798"/>
      <c r="H16" s="799" t="str">
        <f>IF(deinput2&lt;16,"n/a",LOOKUP(deinput2,EGRID!$A$7:$A$43,EGRID!$AM$7:$AM$43))</f>
        <v>n/a</v>
      </c>
      <c r="I16" s="799" t="str">
        <f>IF(deinput2&lt;16,"n/a",LOOKUP(deinput2,EGRID!$A$7:$A$43,EGRID!$AU$7:$AU$43))</f>
        <v>n/a</v>
      </c>
      <c r="J16" s="800" t="str">
        <f>IF(deinput2&lt;16,"n/a",LOOKUP(deinput2,EGRID!$A$7:$A$43,EGRID!$AY$7:$AY$43))</f>
        <v>n/a</v>
      </c>
      <c r="K16" s="801" t="e">
        <f>ch4oil*C16/1000</f>
        <v>#VALUE!</v>
      </c>
      <c r="L16" s="802" t="e">
        <f>n2ooil*C16/1000</f>
        <v>#VALUE!</v>
      </c>
    </row>
    <row r="17" spans="1:16" x14ac:dyDescent="0.25">
      <c r="A17" s="592" t="s">
        <v>1110</v>
      </c>
      <c r="B17" s="194">
        <v>7</v>
      </c>
      <c r="C17" s="238" t="str">
        <f>IF(deinput2&lt;16,"n/a",LOOKUP(deinput2,EGRID!$A$7:$A$43,EGRID!$DP$7:$DP$43))</f>
        <v>n/a</v>
      </c>
      <c r="D17" s="803" t="e">
        <f>LOOKUP(deinput2,EGRID!$A$7:$A$43,EGRID!$BF$7:$BF$43)</f>
        <v>#N/A</v>
      </c>
      <c r="E17" s="804" t="e">
        <f>LOOKUP(deinput2,EGRID!$A$7:$A$43,EGRID!$BN$7:$BN$43)</f>
        <v>#N/A</v>
      </c>
      <c r="F17" s="238" t="e">
        <f>LOOKUP(deinput2,EGRID!$A$7:$A$43,EGRID!$BR$7:$BR$43)</f>
        <v>#N/A</v>
      </c>
      <c r="G17" s="798"/>
      <c r="H17" s="799" t="str">
        <f>IF(deinput2&lt;16,"n/a",LOOKUP(deinput2,EGRID!$A$7:$A$43,EGRID!$AN$7:$AN$43))</f>
        <v>n/a</v>
      </c>
      <c r="I17" s="799" t="str">
        <f>IF(deinput2&lt;16,"n/a",LOOKUP(deinput2,EGRID!$A$7:$A$43,EGRID!$AV$7:$AV$43))</f>
        <v>n/a</v>
      </c>
      <c r="J17" s="800" t="str">
        <f>IF(deinput2&lt;16,"n/a",LOOKUP(deinput2,EGRID!$A$7:$A$43,EGRID!$AZ$7:$AZ$43))</f>
        <v>n/a</v>
      </c>
      <c r="K17" s="801" t="e">
        <f>ch4gas*C17/1000</f>
        <v>#VALUE!</v>
      </c>
      <c r="L17" s="802" t="e">
        <f>n2ogas*C17/1000</f>
        <v>#VALUE!</v>
      </c>
      <c r="M17" s="194"/>
      <c r="N17" s="194"/>
      <c r="O17" s="194"/>
      <c r="P17" s="194"/>
    </row>
    <row r="18" spans="1:16" x14ac:dyDescent="0.25">
      <c r="A18" s="592" t="s">
        <v>310</v>
      </c>
      <c r="B18" s="194">
        <v>8</v>
      </c>
      <c r="C18" s="238">
        <v>9500</v>
      </c>
      <c r="D18" s="803">
        <f t="shared" ref="D18:D24" si="0">H18*1000/C18</f>
        <v>0.4</v>
      </c>
      <c r="E18" s="804">
        <f t="shared" ref="E18:E24" si="1">I18*1000/C18</f>
        <v>0.52631578947368418</v>
      </c>
      <c r="F18" s="238">
        <f t="shared" ref="F18:F24" si="2">J18*1000/C18</f>
        <v>207.1</v>
      </c>
      <c r="G18" s="798"/>
      <c r="H18" s="799">
        <v>3.8</v>
      </c>
      <c r="I18" s="799">
        <v>5</v>
      </c>
      <c r="J18" s="800">
        <f>co2coal*C18/1000</f>
        <v>1967.45</v>
      </c>
      <c r="K18" s="805">
        <f>ch4coal*C18/1000</f>
        <v>0.23031800000000002</v>
      </c>
      <c r="L18" s="802">
        <f>n2ocoal*C18/1000</f>
        <v>3.3500800000000004E-2</v>
      </c>
      <c r="M18" s="194"/>
      <c r="N18" s="194"/>
      <c r="O18" s="194">
        <f>IF(deinput2=1,36,0)</f>
        <v>36</v>
      </c>
      <c r="P18" s="194"/>
    </row>
    <row r="19" spans="1:16" x14ac:dyDescent="0.25">
      <c r="A19" s="592" t="s">
        <v>313</v>
      </c>
      <c r="B19" s="194">
        <v>9</v>
      </c>
      <c r="C19" s="238">
        <v>9500</v>
      </c>
      <c r="D19" s="803">
        <f t="shared" si="0"/>
        <v>0.15789473684210525</v>
      </c>
      <c r="E19" s="804">
        <f t="shared" si="1"/>
        <v>0.26315789473684209</v>
      </c>
      <c r="F19" s="238">
        <f t="shared" si="2"/>
        <v>207.1</v>
      </c>
      <c r="G19" s="798"/>
      <c r="H19" s="799">
        <v>1.5</v>
      </c>
      <c r="I19" s="799">
        <v>2.5</v>
      </c>
      <c r="J19" s="800">
        <f>co2coal*C19/1000</f>
        <v>1967.45</v>
      </c>
      <c r="K19" s="805">
        <f>ch4coal*C19/1000</f>
        <v>0.23031800000000002</v>
      </c>
      <c r="L19" s="802">
        <f>n2ocoal*C19/1000</f>
        <v>3.3500800000000004E-2</v>
      </c>
      <c r="M19" s="194"/>
      <c r="N19" s="194"/>
      <c r="O19" s="194"/>
      <c r="P19" s="194"/>
    </row>
    <row r="20" spans="1:16" x14ac:dyDescent="0.25">
      <c r="A20" s="592" t="s">
        <v>314</v>
      </c>
      <c r="B20" s="194">
        <v>10</v>
      </c>
      <c r="C20" s="238">
        <v>9500</v>
      </c>
      <c r="D20" s="803">
        <f t="shared" si="0"/>
        <v>8.4210526315789472E-2</v>
      </c>
      <c r="E20" s="804">
        <f t="shared" si="1"/>
        <v>0.10526315789473684</v>
      </c>
      <c r="F20" s="238">
        <f t="shared" si="2"/>
        <v>207.1</v>
      </c>
      <c r="G20" s="798"/>
      <c r="H20" s="799">
        <v>0.8</v>
      </c>
      <c r="I20" s="799">
        <v>1</v>
      </c>
      <c r="J20" s="800">
        <f>co2coal*C20/1000</f>
        <v>1967.45</v>
      </c>
      <c r="K20" s="805">
        <f>ch4coal*C20/1000</f>
        <v>0.23031800000000002</v>
      </c>
      <c r="L20" s="802">
        <f>n2ocoal*C20/1000</f>
        <v>3.3500800000000004E-2</v>
      </c>
      <c r="M20" s="194"/>
      <c r="N20" s="194"/>
      <c r="O20" s="194"/>
      <c r="P20" s="194"/>
    </row>
    <row r="21" spans="1:16" x14ac:dyDescent="0.25">
      <c r="A21" s="592" t="s">
        <v>315</v>
      </c>
      <c r="B21" s="194">
        <v>11</v>
      </c>
      <c r="C21" s="238">
        <v>11000</v>
      </c>
      <c r="D21" s="803">
        <f t="shared" si="0"/>
        <v>7.0000000000000007E-2</v>
      </c>
      <c r="E21" s="804">
        <f t="shared" si="1"/>
        <v>5.669902912621359E-4</v>
      </c>
      <c r="F21" s="238">
        <f t="shared" si="2"/>
        <v>116.9</v>
      </c>
      <c r="G21" s="798"/>
      <c r="H21" s="799">
        <v>0.77</v>
      </c>
      <c r="I21" s="799">
        <f>0.000584*C21/1030</f>
        <v>6.2368932038834946E-3</v>
      </c>
      <c r="J21" s="800">
        <f>co2gas*C21/1000</f>
        <v>1285.9000000000001</v>
      </c>
      <c r="K21" s="801">
        <f>ch4gas*C21/1000</f>
        <v>2.4244000000000002E-2</v>
      </c>
      <c r="L21" s="802">
        <f>n2ogas*C21/1000</f>
        <v>2.4244000000000002E-3</v>
      </c>
      <c r="M21" s="194"/>
      <c r="N21" s="194"/>
      <c r="O21" s="194"/>
      <c r="P21" s="194"/>
    </row>
    <row r="22" spans="1:16" x14ac:dyDescent="0.25">
      <c r="A22" s="592" t="s">
        <v>316</v>
      </c>
      <c r="B22" s="194">
        <v>12</v>
      </c>
      <c r="C22" s="238">
        <v>12000</v>
      </c>
      <c r="D22" s="803">
        <f t="shared" si="0"/>
        <v>9.1911764705882359E-2</v>
      </c>
      <c r="E22" s="804">
        <f t="shared" si="1"/>
        <v>5.669902912621359E-4</v>
      </c>
      <c r="F22" s="238">
        <f t="shared" si="2"/>
        <v>116.9</v>
      </c>
      <c r="G22" s="798"/>
      <c r="H22" s="799">
        <f>25*C22/(ppmbtu*1000)</f>
        <v>1.1029411764705883</v>
      </c>
      <c r="I22" s="799">
        <f>0.000584*C22/1030</f>
        <v>6.8038834951456312E-3</v>
      </c>
      <c r="J22" s="800">
        <f>co2gas*C22/1000</f>
        <v>1402.8</v>
      </c>
      <c r="K22" s="801">
        <f>ch4gas*C22/1000</f>
        <v>2.6448000000000003E-2</v>
      </c>
      <c r="L22" s="802">
        <f>n2ogas*C22/1000</f>
        <v>2.6448000000000001E-3</v>
      </c>
      <c r="M22" s="807"/>
      <c r="N22" s="194"/>
      <c r="O22" s="194"/>
      <c r="P22" s="194"/>
    </row>
    <row r="23" spans="1:16" x14ac:dyDescent="0.25">
      <c r="A23" s="592" t="s">
        <v>317</v>
      </c>
      <c r="B23" s="194">
        <v>13</v>
      </c>
      <c r="C23" s="238">
        <v>8000</v>
      </c>
      <c r="D23" s="803">
        <f t="shared" si="0"/>
        <v>3.3088235294117647E-2</v>
      </c>
      <c r="E23" s="804">
        <f t="shared" si="1"/>
        <v>5.669902912621359E-4</v>
      </c>
      <c r="F23" s="238">
        <f t="shared" si="2"/>
        <v>116.9</v>
      </c>
      <c r="G23" s="798"/>
      <c r="H23" s="799">
        <f>9*C23/(ppmbtu*1000)</f>
        <v>0.26470588235294118</v>
      </c>
      <c r="I23" s="799">
        <f>0.000584*C23/1030</f>
        <v>4.5359223300970872E-3</v>
      </c>
      <c r="J23" s="800">
        <f>co2gas*C23/1000</f>
        <v>935.2</v>
      </c>
      <c r="K23" s="801">
        <f>ch4gas*C23/1000</f>
        <v>1.7632000000000002E-2</v>
      </c>
      <c r="L23" s="802">
        <f>n2ogas*C23/1000</f>
        <v>1.7632000000000001E-3</v>
      </c>
      <c r="M23" s="807"/>
      <c r="N23" s="194"/>
      <c r="O23" s="194"/>
      <c r="P23" s="194"/>
    </row>
    <row r="24" spans="1:16" x14ac:dyDescent="0.25">
      <c r="A24" s="592" t="s">
        <v>233</v>
      </c>
      <c r="B24" s="194">
        <v>14</v>
      </c>
      <c r="C24" s="238">
        <v>7000</v>
      </c>
      <c r="D24" s="803">
        <f t="shared" si="0"/>
        <v>1.1029411764705881E-2</v>
      </c>
      <c r="E24" s="804">
        <f t="shared" si="1"/>
        <v>5.669902912621359E-4</v>
      </c>
      <c r="F24" s="238">
        <f t="shared" si="2"/>
        <v>116.9</v>
      </c>
      <c r="G24" s="798"/>
      <c r="H24" s="799">
        <f>3*C24/(ppmbtu*1000)</f>
        <v>7.720588235294118E-2</v>
      </c>
      <c r="I24" s="799">
        <f>0.000584*C24/1030</f>
        <v>3.9689320388349514E-3</v>
      </c>
      <c r="J24" s="800">
        <f>co2gas*C24/1000</f>
        <v>818.3</v>
      </c>
      <c r="K24" s="801">
        <f>ch4gas*C24/1000</f>
        <v>1.5428000000000001E-2</v>
      </c>
      <c r="L24" s="802">
        <f>n2ogas*C24/1000</f>
        <v>1.5428000000000002E-3</v>
      </c>
      <c r="M24" s="807"/>
      <c r="N24" s="5"/>
      <c r="O24" s="5"/>
      <c r="P24" s="5"/>
    </row>
    <row r="25" spans="1:16" x14ac:dyDescent="0.25">
      <c r="A25" s="592" t="s">
        <v>236</v>
      </c>
      <c r="B25" s="194">
        <v>15</v>
      </c>
      <c r="C25" s="783">
        <v>0</v>
      </c>
      <c r="D25" s="783"/>
      <c r="E25" s="783"/>
      <c r="F25" s="783"/>
      <c r="G25" s="783"/>
      <c r="H25" s="808">
        <v>0</v>
      </c>
      <c r="I25" s="808">
        <v>0</v>
      </c>
      <c r="J25" s="789">
        <v>0</v>
      </c>
      <c r="K25" s="809"/>
      <c r="L25" s="810"/>
      <c r="M25" s="194"/>
      <c r="N25" s="5"/>
      <c r="O25" s="5"/>
      <c r="P25" s="5"/>
    </row>
    <row r="26" spans="1:16" x14ac:dyDescent="0.25">
      <c r="A26" s="592" t="s">
        <v>237</v>
      </c>
      <c r="B26" s="194">
        <v>16</v>
      </c>
      <c r="C26" s="783">
        <v>0</v>
      </c>
      <c r="D26" s="783"/>
      <c r="E26" s="783"/>
      <c r="F26" s="783"/>
      <c r="G26" s="783"/>
      <c r="H26" s="808">
        <v>0</v>
      </c>
      <c r="I26" s="808">
        <v>0</v>
      </c>
      <c r="J26" s="789">
        <v>0</v>
      </c>
      <c r="K26" s="809"/>
      <c r="L26" s="810"/>
      <c r="M26" s="194"/>
      <c r="N26" s="5"/>
      <c r="O26" s="5"/>
      <c r="P26" s="5"/>
    </row>
    <row r="27" spans="1:16" ht="13" thickBot="1" x14ac:dyDescent="0.3">
      <c r="A27" s="811" t="s">
        <v>238</v>
      </c>
      <c r="B27" s="812">
        <v>17</v>
      </c>
      <c r="C27" s="813">
        <v>0</v>
      </c>
      <c r="D27" s="813"/>
      <c r="E27" s="813"/>
      <c r="F27" s="813"/>
      <c r="G27" s="813"/>
      <c r="H27" s="814">
        <v>0</v>
      </c>
      <c r="I27" s="814">
        <v>0</v>
      </c>
      <c r="J27" s="815">
        <v>0</v>
      </c>
      <c r="K27" s="816"/>
      <c r="L27" s="817"/>
      <c r="M27" s="194"/>
      <c r="N27" s="5"/>
      <c r="O27" s="5"/>
      <c r="P27" s="5"/>
    </row>
  </sheetData>
  <sheetProtection algorithmName="SHA-512" hashValue="C8VQQABzP/iW68Qxj1EkmBoV+ZEm1q2X2jVsmtZd2JbnMUkRxgm8Gk5ie1SfLo13hcphusKudvRGmQAWRp9miw==" saltValue="2fwoKAHo8xNcnCOk18ZYIA==" spinCount="100000" sheet="1" objects="1" scenarios="1"/>
  <phoneticPr fontId="18" type="noConversion"/>
  <printOptions horizontalCentered="1"/>
  <pageMargins left="0.25" right="0.25" top="0.25" bottom="0.5" header="0.5" footer="0.25"/>
  <pageSetup fitToHeight="0" orientation="landscape" r:id="rId1"/>
  <headerFooter alignWithMargins="0">
    <oddFooter>&amp;L&amp;F, &amp;A&amp;R&amp;D</oddFooter>
  </headerFooter>
  <ignoredErrors>
    <ignoredError sqref="D25:G27 K25:L27 D6:L6 D20:L20 C21:L24 C18:L19 C8:L10 D7:L7 D4:F4 D5:F5 H4:L4 H5:L5" unlocked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pageSetUpPr fitToPage="1"/>
  </sheetPr>
  <dimension ref="A1:T121"/>
  <sheetViews>
    <sheetView workbookViewId="0">
      <selection activeCell="B1" sqref="B1"/>
    </sheetView>
  </sheetViews>
  <sheetFormatPr defaultColWidth="9.1796875" defaultRowHeight="12.5" x14ac:dyDescent="0.25"/>
  <cols>
    <col min="1" max="1" width="11.453125" style="52" customWidth="1"/>
    <col min="2" max="2" width="12.54296875" style="3" customWidth="1"/>
    <col min="3" max="10" width="9.1796875" style="3" customWidth="1"/>
    <col min="11" max="11" width="8.54296875" style="3" customWidth="1"/>
    <col min="12" max="17" width="9.1796875" style="3" customWidth="1"/>
    <col min="18" max="20" width="9.1796875" style="3"/>
    <col min="21" max="16384" width="9.1796875" style="5"/>
  </cols>
  <sheetData>
    <row r="1" spans="1:12" ht="13" x14ac:dyDescent="0.3">
      <c r="A1" s="449" t="s">
        <v>1111</v>
      </c>
      <c r="B1" s="194"/>
      <c r="C1" s="194"/>
      <c r="D1" s="194"/>
      <c r="E1" s="194"/>
      <c r="F1" s="194"/>
      <c r="G1" s="194"/>
      <c r="H1" s="194"/>
      <c r="I1" s="194"/>
      <c r="J1" s="194"/>
      <c r="K1" s="194"/>
      <c r="L1" s="194"/>
    </row>
    <row r="3" spans="1:12" x14ac:dyDescent="0.25">
      <c r="A3" s="770" t="s">
        <v>1112</v>
      </c>
      <c r="B3" s="194"/>
      <c r="C3" s="194"/>
      <c r="D3" s="194"/>
      <c r="E3" s="194"/>
      <c r="F3" s="194"/>
      <c r="G3" s="194"/>
      <c r="H3" s="194"/>
      <c r="I3" s="194"/>
      <c r="J3" s="194"/>
      <c r="K3" s="194"/>
      <c r="L3" s="194"/>
    </row>
    <row r="4" spans="1:12" x14ac:dyDescent="0.25">
      <c r="A4" s="775">
        <v>3.11</v>
      </c>
      <c r="B4" s="194"/>
      <c r="C4" s="194" t="s">
        <v>1113</v>
      </c>
      <c r="D4" s="194"/>
      <c r="E4" s="194"/>
      <c r="F4" s="194"/>
      <c r="G4" s="194"/>
      <c r="H4" s="194"/>
      <c r="I4" s="194"/>
      <c r="J4" s="194"/>
      <c r="K4" s="194"/>
      <c r="L4" s="194"/>
    </row>
    <row r="5" spans="1:12" x14ac:dyDescent="0.25">
      <c r="A5" s="775">
        <f>12/44</f>
        <v>0.27272727272727271</v>
      </c>
      <c r="B5" s="194"/>
      <c r="C5" s="194" t="s">
        <v>1114</v>
      </c>
      <c r="D5" s="194"/>
      <c r="E5" s="194"/>
      <c r="F5" s="194"/>
      <c r="G5" s="194"/>
      <c r="H5" s="194"/>
      <c r="I5" s="194"/>
      <c r="J5" s="194"/>
      <c r="K5" s="194"/>
      <c r="L5" s="194"/>
    </row>
    <row r="6" spans="1:12" x14ac:dyDescent="0.25">
      <c r="A6" s="775">
        <f>2000/2206</f>
        <v>0.90661831368993651</v>
      </c>
      <c r="B6" s="194"/>
      <c r="C6" s="194" t="s">
        <v>1115</v>
      </c>
      <c r="D6" s="194"/>
      <c r="E6" s="194"/>
      <c r="F6" s="194"/>
      <c r="G6" s="194"/>
      <c r="H6" s="194">
        <v>7.27</v>
      </c>
      <c r="I6" s="194"/>
      <c r="J6" s="194"/>
      <c r="K6" s="194"/>
      <c r="L6" s="194"/>
    </row>
    <row r="7" spans="1:12" x14ac:dyDescent="0.25">
      <c r="A7" s="818">
        <v>8.67</v>
      </c>
      <c r="B7" s="194"/>
      <c r="C7" s="194" t="s">
        <v>1116</v>
      </c>
      <c r="D7" s="194"/>
      <c r="E7" s="194"/>
      <c r="F7" s="194"/>
      <c r="G7" s="194"/>
      <c r="H7" s="194">
        <f>H6*CO2tocarbon</f>
        <v>1.9827272727272724</v>
      </c>
      <c r="I7" s="194"/>
      <c r="J7" s="194"/>
      <c r="K7" s="194"/>
      <c r="L7" s="194"/>
    </row>
    <row r="8" spans="1:12" x14ac:dyDescent="0.25">
      <c r="A8" s="819">
        <v>4.63</v>
      </c>
      <c r="B8" s="194"/>
      <c r="C8" s="194" t="s">
        <v>1117</v>
      </c>
      <c r="D8" s="194"/>
      <c r="E8" s="194"/>
      <c r="F8" s="194"/>
      <c r="G8" s="194"/>
      <c r="H8" s="194"/>
      <c r="I8" s="194"/>
      <c r="J8" s="194"/>
      <c r="K8" s="194"/>
      <c r="L8" s="194"/>
    </row>
    <row r="9" spans="1:12" x14ac:dyDescent="0.25">
      <c r="A9" s="770">
        <v>12000</v>
      </c>
      <c r="B9" s="194"/>
      <c r="C9" s="194" t="s">
        <v>1118</v>
      </c>
      <c r="D9" s="194"/>
      <c r="E9" s="194"/>
      <c r="F9" s="194"/>
      <c r="G9" s="194"/>
      <c r="H9" s="194"/>
      <c r="I9" s="194"/>
      <c r="J9" s="194"/>
      <c r="K9" s="194"/>
      <c r="L9" s="194"/>
    </row>
    <row r="10" spans="1:12" x14ac:dyDescent="0.25">
      <c r="A10" s="770">
        <v>12183</v>
      </c>
      <c r="B10" s="194"/>
      <c r="C10" s="194" t="s">
        <v>1119</v>
      </c>
      <c r="D10" s="194"/>
      <c r="E10" s="194"/>
      <c r="F10" s="194"/>
      <c r="G10" s="194"/>
      <c r="H10" s="194"/>
      <c r="I10" s="194"/>
      <c r="J10" s="194"/>
      <c r="K10" s="194"/>
      <c r="L10" s="194"/>
    </row>
    <row r="11" spans="1:12" x14ac:dyDescent="0.25">
      <c r="A11" s="194">
        <v>3.4121400000000001E-3</v>
      </c>
      <c r="B11" s="194"/>
      <c r="C11" s="194" t="s">
        <v>1120</v>
      </c>
      <c r="D11" s="194"/>
      <c r="E11" s="194"/>
      <c r="F11" s="194"/>
      <c r="G11" s="194"/>
      <c r="H11" s="194"/>
      <c r="I11" s="194"/>
      <c r="J11" s="194"/>
      <c r="K11" s="194"/>
      <c r="L11" s="194"/>
    </row>
    <row r="12" spans="1:12" x14ac:dyDescent="0.25">
      <c r="A12" s="820">
        <v>525.27777777777771</v>
      </c>
      <c r="B12" s="194"/>
      <c r="C12" s="194" t="s">
        <v>1121</v>
      </c>
      <c r="D12" s="194"/>
      <c r="E12" s="194"/>
      <c r="F12" s="194"/>
      <c r="G12" s="194"/>
      <c r="H12" s="194"/>
      <c r="I12" s="194"/>
      <c r="J12" s="194"/>
      <c r="K12" s="194"/>
      <c r="L12" s="194"/>
    </row>
    <row r="13" spans="1:12" x14ac:dyDescent="0.25">
      <c r="A13" s="194">
        <v>0.120405</v>
      </c>
      <c r="B13" s="194"/>
      <c r="C13" s="194" t="s">
        <v>1122</v>
      </c>
      <c r="D13" s="194"/>
      <c r="E13" s="194"/>
      <c r="F13" s="194"/>
      <c r="G13" s="194"/>
      <c r="H13" s="194"/>
      <c r="I13" s="194"/>
      <c r="J13" s="194"/>
      <c r="K13" s="194"/>
      <c r="L13" s="194"/>
    </row>
    <row r="15" spans="1:12" x14ac:dyDescent="0.25">
      <c r="A15" s="770" t="s">
        <v>1123</v>
      </c>
      <c r="B15" s="194"/>
      <c r="C15" s="194"/>
      <c r="D15" s="194"/>
      <c r="E15" s="194"/>
      <c r="F15" s="194"/>
      <c r="G15" s="194"/>
      <c r="H15" s="194"/>
      <c r="I15" s="194"/>
      <c r="J15" s="194"/>
      <c r="K15" s="194"/>
      <c r="L15" s="194"/>
    </row>
    <row r="16" spans="1:12" x14ac:dyDescent="0.25">
      <c r="A16" s="770">
        <v>138000</v>
      </c>
      <c r="B16" s="194"/>
      <c r="C16" s="194" t="s">
        <v>1124</v>
      </c>
      <c r="D16" s="194"/>
      <c r="E16" s="194"/>
      <c r="F16" s="194"/>
      <c r="G16" s="194"/>
      <c r="H16" s="194"/>
      <c r="I16" s="194"/>
      <c r="J16" s="194"/>
      <c r="K16" s="194"/>
      <c r="L16" s="194"/>
    </row>
    <row r="17" spans="1:8" x14ac:dyDescent="0.25">
      <c r="A17" s="770">
        <v>304</v>
      </c>
      <c r="B17" s="194"/>
      <c r="C17" s="194" t="s">
        <v>1125</v>
      </c>
      <c r="D17" s="194"/>
      <c r="E17" s="194"/>
      <c r="F17" s="194"/>
      <c r="G17" s="194"/>
      <c r="H17" s="194"/>
    </row>
    <row r="18" spans="1:8" x14ac:dyDescent="0.25">
      <c r="A18" s="775">
        <f>A17/42</f>
        <v>7.2380952380952381</v>
      </c>
      <c r="B18" s="194" t="s">
        <v>1126</v>
      </c>
      <c r="C18" s="194" t="s">
        <v>1127</v>
      </c>
      <c r="D18" s="194"/>
      <c r="E18" s="194"/>
      <c r="F18" s="194"/>
      <c r="G18" s="194"/>
      <c r="H18" s="194"/>
    </row>
    <row r="19" spans="1:8" x14ac:dyDescent="0.25">
      <c r="A19" s="770">
        <v>150000</v>
      </c>
      <c r="B19" s="194"/>
      <c r="C19" s="194" t="s">
        <v>1128</v>
      </c>
      <c r="D19" s="194"/>
      <c r="E19" s="194"/>
      <c r="F19" s="194"/>
      <c r="G19" s="194"/>
      <c r="H19" s="194"/>
    </row>
    <row r="20" spans="1:8" x14ac:dyDescent="0.25">
      <c r="A20" s="770">
        <v>331</v>
      </c>
      <c r="B20" s="194"/>
      <c r="C20" s="194" t="s">
        <v>1129</v>
      </c>
      <c r="D20" s="194"/>
      <c r="E20" s="194"/>
      <c r="F20" s="194"/>
      <c r="G20" s="194"/>
      <c r="H20" s="194"/>
    </row>
    <row r="21" spans="1:8" x14ac:dyDescent="0.25">
      <c r="A21" s="821">
        <v>163.1</v>
      </c>
      <c r="B21" s="194"/>
      <c r="C21" s="194" t="s">
        <v>1130</v>
      </c>
      <c r="D21" s="194"/>
      <c r="E21" s="194"/>
      <c r="F21" s="194"/>
      <c r="G21" s="194"/>
      <c r="H21" s="194"/>
    </row>
    <row r="22" spans="1:8" x14ac:dyDescent="0.25">
      <c r="A22" s="770">
        <v>235</v>
      </c>
      <c r="B22" s="194"/>
      <c r="C22" s="194" t="s">
        <v>1131</v>
      </c>
      <c r="D22" s="194"/>
      <c r="E22" s="194"/>
      <c r="F22" s="194"/>
      <c r="G22" s="194"/>
      <c r="H22" s="194"/>
    </row>
    <row r="23" spans="1:8" x14ac:dyDescent="0.25">
      <c r="A23" s="770">
        <v>258</v>
      </c>
      <c r="B23" s="194"/>
      <c r="C23" s="194" t="s">
        <v>1132</v>
      </c>
      <c r="D23" s="194"/>
      <c r="E23" s="194"/>
      <c r="F23" s="194"/>
      <c r="G23" s="194"/>
      <c r="H23" s="194"/>
    </row>
    <row r="24" spans="1:8" x14ac:dyDescent="0.25">
      <c r="A24" s="770">
        <v>780</v>
      </c>
      <c r="B24" s="194"/>
      <c r="C24" s="194" t="s">
        <v>1133</v>
      </c>
      <c r="D24" s="194"/>
      <c r="E24" s="194"/>
      <c r="F24" s="194"/>
      <c r="G24" s="194"/>
      <c r="H24" s="194"/>
    </row>
    <row r="25" spans="1:8" x14ac:dyDescent="0.25">
      <c r="A25" s="822">
        <f>sulfurppmlow/10000</f>
        <v>5.0000000000000001E-4</v>
      </c>
      <c r="B25" s="194" t="s">
        <v>490</v>
      </c>
      <c r="C25" s="194" t="s">
        <v>1134</v>
      </c>
      <c r="D25" s="194"/>
      <c r="E25" s="194"/>
      <c r="F25" s="194"/>
      <c r="G25" s="194"/>
      <c r="H25" s="194"/>
    </row>
    <row r="26" spans="1:8" x14ac:dyDescent="0.25">
      <c r="A26" s="822">
        <v>0.05</v>
      </c>
      <c r="B26" s="194" t="s">
        <v>490</v>
      </c>
      <c r="C26" s="194" t="s">
        <v>1135</v>
      </c>
      <c r="D26" s="194"/>
      <c r="E26" s="194"/>
      <c r="F26" s="194"/>
      <c r="G26" s="194"/>
      <c r="H26" s="194"/>
    </row>
    <row r="27" spans="1:8" x14ac:dyDescent="0.25">
      <c r="A27" s="770">
        <v>5</v>
      </c>
      <c r="B27" s="194" t="s">
        <v>82</v>
      </c>
      <c r="C27" s="194" t="s">
        <v>1134</v>
      </c>
      <c r="D27" s="194"/>
      <c r="E27" s="194"/>
      <c r="F27" s="194"/>
      <c r="G27" s="194"/>
      <c r="H27" s="194"/>
    </row>
    <row r="28" spans="1:8" x14ac:dyDescent="0.25">
      <c r="A28" s="770">
        <v>5000</v>
      </c>
      <c r="B28" s="194" t="s">
        <v>82</v>
      </c>
      <c r="C28" s="194" t="s">
        <v>1135</v>
      </c>
      <c r="D28" s="194"/>
      <c r="E28" s="194"/>
      <c r="F28" s="194"/>
      <c r="G28" s="194"/>
      <c r="H28" s="194"/>
    </row>
    <row r="29" spans="1:8" x14ac:dyDescent="0.25">
      <c r="A29" s="770">
        <v>20000</v>
      </c>
      <c r="B29" s="194" t="s">
        <v>214</v>
      </c>
      <c r="C29" s="194" t="s">
        <v>1136</v>
      </c>
      <c r="D29" s="194"/>
      <c r="E29" s="194"/>
      <c r="F29" s="194"/>
      <c r="G29" s="194"/>
      <c r="H29" s="194"/>
    </row>
    <row r="30" spans="1:8" x14ac:dyDescent="0.25">
      <c r="A30" s="823">
        <v>6.6120000000000007E-3</v>
      </c>
      <c r="B30" s="194"/>
      <c r="C30" s="194" t="s">
        <v>1137</v>
      </c>
      <c r="D30" s="194"/>
      <c r="E30" s="194"/>
      <c r="F30" s="194"/>
      <c r="G30" s="194"/>
      <c r="H30" s="194"/>
    </row>
    <row r="31" spans="1:8" x14ac:dyDescent="0.25">
      <c r="A31" s="823">
        <v>1.3224000000000001E-3</v>
      </c>
      <c r="B31" s="194"/>
      <c r="C31" s="194" t="s">
        <v>1138</v>
      </c>
      <c r="D31" s="194"/>
      <c r="E31" s="194"/>
      <c r="F31" s="194"/>
      <c r="G31" s="194"/>
      <c r="H31" s="194"/>
    </row>
    <row r="33" spans="1:3" x14ac:dyDescent="0.25">
      <c r="A33" s="770" t="s">
        <v>401</v>
      </c>
      <c r="B33" s="194"/>
      <c r="C33" s="194"/>
    </row>
    <row r="34" spans="1:3" x14ac:dyDescent="0.25">
      <c r="A34" s="194">
        <v>0.42380000000000001</v>
      </c>
      <c r="B34" s="194"/>
      <c r="C34" s="194" t="s">
        <v>1139</v>
      </c>
    </row>
    <row r="35" spans="1:3" x14ac:dyDescent="0.25">
      <c r="A35" s="194">
        <v>1028</v>
      </c>
      <c r="B35" s="194"/>
      <c r="C35" s="194" t="s">
        <v>1140</v>
      </c>
    </row>
    <row r="36" spans="1:3" x14ac:dyDescent="0.25">
      <c r="A36" s="824">
        <v>7.0967437470559683E-7</v>
      </c>
      <c r="B36" s="194"/>
      <c r="C36" s="194" t="s">
        <v>1141</v>
      </c>
    </row>
    <row r="37" spans="1:3" x14ac:dyDescent="0.25">
      <c r="A37" s="821">
        <v>116.9</v>
      </c>
      <c r="B37" s="194"/>
      <c r="C37" s="194" t="s">
        <v>1130</v>
      </c>
    </row>
    <row r="38" spans="1:3" x14ac:dyDescent="0.25">
      <c r="A38" s="770">
        <f>ppmbtu*0.91</f>
        <v>247.52</v>
      </c>
      <c r="B38" s="194"/>
      <c r="C38" s="194" t="s">
        <v>1142</v>
      </c>
    </row>
    <row r="39" spans="1:3" x14ac:dyDescent="0.25">
      <c r="A39" s="770">
        <v>272</v>
      </c>
      <c r="B39" s="194"/>
      <c r="C39" s="194" t="s">
        <v>1143</v>
      </c>
    </row>
    <row r="40" spans="1:3" x14ac:dyDescent="0.25">
      <c r="A40" s="770">
        <v>823</v>
      </c>
      <c r="B40" s="194"/>
      <c r="C40" s="194" t="s">
        <v>1144</v>
      </c>
    </row>
    <row r="41" spans="1:3" x14ac:dyDescent="0.25">
      <c r="A41" s="823">
        <v>2.2040000000000002E-3</v>
      </c>
      <c r="B41" s="194"/>
      <c r="C41" s="194" t="s">
        <v>1137</v>
      </c>
    </row>
    <row r="42" spans="1:3" x14ac:dyDescent="0.25">
      <c r="A42" s="823">
        <v>2.2040000000000002E-4</v>
      </c>
      <c r="B42" s="194"/>
      <c r="C42" s="194" t="s">
        <v>1138</v>
      </c>
    </row>
    <row r="44" spans="1:3" x14ac:dyDescent="0.25">
      <c r="A44" s="770" t="s">
        <v>404</v>
      </c>
      <c r="B44" s="194"/>
      <c r="C44" s="194"/>
    </row>
    <row r="45" spans="1:3" x14ac:dyDescent="0.25">
      <c r="A45" s="770">
        <v>91600</v>
      </c>
      <c r="B45" s="194"/>
      <c r="C45" s="194" t="s">
        <v>1145</v>
      </c>
    </row>
    <row r="46" spans="1:3" x14ac:dyDescent="0.25">
      <c r="A46" s="770">
        <v>139</v>
      </c>
      <c r="B46" s="194"/>
      <c r="C46" s="194" t="s">
        <v>1130</v>
      </c>
    </row>
    <row r="47" spans="1:3" x14ac:dyDescent="0.25">
      <c r="A47" s="824">
        <v>7.0967437470559683E-7</v>
      </c>
      <c r="B47" s="194"/>
      <c r="C47" s="194" t="s">
        <v>1141</v>
      </c>
    </row>
    <row r="48" spans="1:3" x14ac:dyDescent="0.25">
      <c r="A48" s="770">
        <v>582</v>
      </c>
      <c r="B48" s="194"/>
      <c r="C48" s="194" t="s">
        <v>1146</v>
      </c>
    </row>
    <row r="49" spans="1:3" x14ac:dyDescent="0.25">
      <c r="A49" s="775">
        <v>4.2</v>
      </c>
      <c r="B49" s="194"/>
      <c r="C49" s="194" t="s">
        <v>1126</v>
      </c>
    </row>
    <row r="50" spans="1:3" x14ac:dyDescent="0.25">
      <c r="A50" s="823">
        <v>2.2040000000000002E-3</v>
      </c>
      <c r="B50" s="194"/>
      <c r="C50" s="194" t="s">
        <v>1137</v>
      </c>
    </row>
    <row r="51" spans="1:3" x14ac:dyDescent="0.25">
      <c r="A51" s="823">
        <v>2.2040000000000002E-4</v>
      </c>
      <c r="B51" s="194"/>
      <c r="C51" s="194" t="s">
        <v>1138</v>
      </c>
    </row>
    <row r="54" spans="1:3" x14ac:dyDescent="0.25">
      <c r="A54" s="770" t="s">
        <v>259</v>
      </c>
      <c r="B54" s="194"/>
      <c r="C54" s="194"/>
    </row>
    <row r="55" spans="1:3" x14ac:dyDescent="0.25">
      <c r="A55" s="194">
        <v>21.015000000000001</v>
      </c>
      <c r="B55" s="194"/>
      <c r="C55" s="194" t="s">
        <v>1147</v>
      </c>
    </row>
    <row r="56" spans="1:3" x14ac:dyDescent="0.25">
      <c r="A56" s="821">
        <v>207.1</v>
      </c>
      <c r="B56" s="194"/>
      <c r="C56" s="194" t="s">
        <v>1130</v>
      </c>
    </row>
    <row r="57" spans="1:3" x14ac:dyDescent="0.25">
      <c r="A57" s="770">
        <v>11175</v>
      </c>
      <c r="B57" s="194" t="s">
        <v>214</v>
      </c>
      <c r="C57" s="194"/>
    </row>
    <row r="58" spans="1:3" x14ac:dyDescent="0.25">
      <c r="A58" s="823">
        <v>2.4244000000000002E-2</v>
      </c>
      <c r="B58" s="194"/>
      <c r="C58" s="194" t="s">
        <v>1137</v>
      </c>
    </row>
    <row r="59" spans="1:3" x14ac:dyDescent="0.25">
      <c r="A59" s="823">
        <v>3.5264000000000003E-3</v>
      </c>
      <c r="B59" s="194"/>
      <c r="C59" s="194" t="s">
        <v>1138</v>
      </c>
    </row>
    <row r="61" spans="1:3" x14ac:dyDescent="0.25">
      <c r="A61" s="825" t="s">
        <v>405</v>
      </c>
      <c r="B61" s="194"/>
      <c r="C61" s="194"/>
    </row>
    <row r="62" spans="1:3" x14ac:dyDescent="0.25">
      <c r="A62" s="770">
        <v>206.7</v>
      </c>
      <c r="B62" s="194"/>
      <c r="C62" s="194" t="s">
        <v>1130</v>
      </c>
    </row>
    <row r="63" spans="1:3" x14ac:dyDescent="0.25">
      <c r="A63" s="770">
        <v>7500</v>
      </c>
      <c r="B63" s="194"/>
      <c r="C63" s="194" t="s">
        <v>214</v>
      </c>
    </row>
    <row r="64" spans="1:3" x14ac:dyDescent="0.25">
      <c r="A64" s="826">
        <v>7.0000000000000007E-2</v>
      </c>
      <c r="B64" s="194"/>
      <c r="C64" s="194" t="s">
        <v>1137</v>
      </c>
    </row>
    <row r="65" spans="1:3" x14ac:dyDescent="0.25">
      <c r="A65" s="827">
        <v>8.9999999999999993E-3</v>
      </c>
      <c r="B65" s="194"/>
      <c r="C65" s="194" t="s">
        <v>1138</v>
      </c>
    </row>
    <row r="68" spans="1:3" x14ac:dyDescent="0.25">
      <c r="A68" s="770" t="s">
        <v>481</v>
      </c>
      <c r="B68" s="194"/>
      <c r="C68" s="194"/>
    </row>
    <row r="69" spans="1:3" x14ac:dyDescent="0.25">
      <c r="A69" s="828">
        <v>1</v>
      </c>
      <c r="B69" s="194"/>
      <c r="C69" s="194" t="s">
        <v>1148</v>
      </c>
    </row>
    <row r="70" spans="1:3" x14ac:dyDescent="0.25">
      <c r="A70" s="828">
        <v>1</v>
      </c>
      <c r="B70" s="194"/>
      <c r="C70" s="194" t="s">
        <v>1149</v>
      </c>
    </row>
    <row r="71" spans="1:3" x14ac:dyDescent="0.25">
      <c r="A71" s="775">
        <v>7.0000000000000007E-2</v>
      </c>
      <c r="B71" s="194" t="s">
        <v>490</v>
      </c>
      <c r="C71" s="194" t="s">
        <v>1150</v>
      </c>
    </row>
    <row r="72" spans="1:3" x14ac:dyDescent="0.25">
      <c r="A72" s="775">
        <v>0.66</v>
      </c>
      <c r="B72" s="194" t="s">
        <v>490</v>
      </c>
      <c r="C72" s="194" t="s">
        <v>1151</v>
      </c>
    </row>
    <row r="73" spans="1:3" x14ac:dyDescent="0.25">
      <c r="A73" s="770">
        <f>3412/effpercenthigh</f>
        <v>5169.6969696969691</v>
      </c>
      <c r="B73" s="194" t="s">
        <v>142</v>
      </c>
      <c r="C73" s="194" t="s">
        <v>1152</v>
      </c>
    </row>
    <row r="74" spans="1:3" x14ac:dyDescent="0.25">
      <c r="A74" s="770">
        <f>3412/effpercentlow</f>
        <v>48742.857142857138</v>
      </c>
      <c r="B74" s="194" t="s">
        <v>142</v>
      </c>
      <c r="C74" s="194" t="s">
        <v>1153</v>
      </c>
    </row>
    <row r="75" spans="1:3" x14ac:dyDescent="0.25">
      <c r="A75" s="770">
        <f>A73*0.91</f>
        <v>4704.424242424242</v>
      </c>
      <c r="B75" s="194" t="s">
        <v>491</v>
      </c>
      <c r="C75" s="194" t="s">
        <v>1154</v>
      </c>
    </row>
    <row r="76" spans="1:3" x14ac:dyDescent="0.25">
      <c r="A76" s="770">
        <f>A74*0.91</f>
        <v>44356</v>
      </c>
      <c r="B76" s="194" t="s">
        <v>491</v>
      </c>
      <c r="C76" s="194" t="s">
        <v>1155</v>
      </c>
    </row>
    <row r="77" spans="1:3" x14ac:dyDescent="0.25">
      <c r="A77" s="775">
        <v>0.05</v>
      </c>
      <c r="B77" s="194"/>
      <c r="C77" s="194" t="s">
        <v>1156</v>
      </c>
    </row>
    <row r="78" spans="1:3" x14ac:dyDescent="0.25">
      <c r="A78" s="775">
        <v>10</v>
      </c>
      <c r="B78" s="194"/>
      <c r="C78" s="194" t="s">
        <v>1157</v>
      </c>
    </row>
    <row r="79" spans="1:3" x14ac:dyDescent="0.25">
      <c r="A79" s="775">
        <v>1</v>
      </c>
      <c r="B79" s="194" t="s">
        <v>82</v>
      </c>
      <c r="C79" s="194" t="s">
        <v>1158</v>
      </c>
    </row>
    <row r="80" spans="1:3" x14ac:dyDescent="0.25">
      <c r="A80" s="770">
        <v>200</v>
      </c>
      <c r="B80" s="194" t="s">
        <v>82</v>
      </c>
      <c r="C80" s="194" t="s">
        <v>1159</v>
      </c>
    </row>
    <row r="81" spans="1:3" x14ac:dyDescent="0.25">
      <c r="A81" s="775">
        <v>0.05</v>
      </c>
      <c r="B81" s="194" t="s">
        <v>1160</v>
      </c>
      <c r="C81" s="194" t="s">
        <v>1158</v>
      </c>
    </row>
    <row r="82" spans="1:3" x14ac:dyDescent="0.25">
      <c r="A82" s="775">
        <v>20</v>
      </c>
      <c r="B82" s="194" t="s">
        <v>1160</v>
      </c>
      <c r="C82" s="194" t="s">
        <v>1159</v>
      </c>
    </row>
    <row r="83" spans="1:3" x14ac:dyDescent="0.25">
      <c r="A83" s="822">
        <v>5.0000000000000001E-3</v>
      </c>
      <c r="B83" s="194" t="s">
        <v>95</v>
      </c>
      <c r="C83" s="194" t="s">
        <v>1158</v>
      </c>
    </row>
    <row r="84" spans="1:3" x14ac:dyDescent="0.25">
      <c r="A84" s="775">
        <v>0.8</v>
      </c>
      <c r="B84" s="194" t="s">
        <v>95</v>
      </c>
      <c r="C84" s="194" t="s">
        <v>1159</v>
      </c>
    </row>
    <row r="85" spans="1:3" x14ac:dyDescent="0.25">
      <c r="A85" s="822">
        <v>0.05</v>
      </c>
      <c r="B85" s="194" t="s">
        <v>95</v>
      </c>
      <c r="C85" s="194" t="s">
        <v>1158</v>
      </c>
    </row>
    <row r="86" spans="1:3" x14ac:dyDescent="0.25">
      <c r="A86" s="775">
        <v>8</v>
      </c>
      <c r="B86" s="194" t="s">
        <v>95</v>
      </c>
      <c r="C86" s="194" t="s">
        <v>1159</v>
      </c>
    </row>
    <row r="88" spans="1:3" x14ac:dyDescent="0.25">
      <c r="A88" s="770" t="s">
        <v>1161</v>
      </c>
      <c r="B88" s="194"/>
      <c r="C88" s="194"/>
    </row>
    <row r="89" spans="1:3" x14ac:dyDescent="0.25">
      <c r="A89" s="828">
        <v>0.66</v>
      </c>
      <c r="B89" s="194"/>
      <c r="C89" s="194" t="s">
        <v>1162</v>
      </c>
    </row>
    <row r="90" spans="1:3" x14ac:dyDescent="0.25">
      <c r="A90" s="828">
        <v>0.99</v>
      </c>
      <c r="B90" s="194"/>
      <c r="C90" s="194" t="s">
        <v>1163</v>
      </c>
    </row>
    <row r="91" spans="1:3" x14ac:dyDescent="0.25">
      <c r="A91" s="828">
        <v>3.5</v>
      </c>
      <c r="B91" s="194"/>
      <c r="C91" s="194" t="s">
        <v>1164</v>
      </c>
    </row>
    <row r="94" spans="1:3" x14ac:dyDescent="0.25">
      <c r="A94" s="770">
        <v>1100</v>
      </c>
      <c r="B94" s="194"/>
      <c r="C94" s="194" t="s">
        <v>1165</v>
      </c>
    </row>
    <row r="98" spans="1:3" x14ac:dyDescent="0.25">
      <c r="A98" s="770" t="s">
        <v>1166</v>
      </c>
      <c r="B98" s="194"/>
      <c r="C98" s="194"/>
    </row>
    <row r="99" spans="1:3" x14ac:dyDescent="0.25">
      <c r="A99" s="829"/>
      <c r="B99" s="194" t="s">
        <v>1167</v>
      </c>
      <c r="C99" s="194"/>
    </row>
    <row r="101" spans="1:3" x14ac:dyDescent="0.25">
      <c r="A101" s="770" t="s">
        <v>1168</v>
      </c>
      <c r="B101" s="194"/>
      <c r="C101" s="194"/>
    </row>
    <row r="102" spans="1:3" x14ac:dyDescent="0.25">
      <c r="A102" s="770" t="s">
        <v>1100</v>
      </c>
      <c r="B102" s="194">
        <v>1</v>
      </c>
      <c r="C102" s="194"/>
    </row>
    <row r="103" spans="1:3" x14ac:dyDescent="0.25">
      <c r="A103" s="770" t="s">
        <v>1097</v>
      </c>
      <c r="B103" s="194">
        <v>21</v>
      </c>
      <c r="C103" s="194"/>
    </row>
    <row r="104" spans="1:3" x14ac:dyDescent="0.25">
      <c r="A104" s="770" t="s">
        <v>1099</v>
      </c>
      <c r="B104" s="194">
        <v>310</v>
      </c>
      <c r="C104" s="194"/>
    </row>
    <row r="107" spans="1:3" x14ac:dyDescent="0.25">
      <c r="A107" s="770" t="s">
        <v>1169</v>
      </c>
      <c r="B107" s="194"/>
      <c r="C107" s="194"/>
    </row>
    <row r="108" spans="1:3" x14ac:dyDescent="0.25">
      <c r="A108" s="829">
        <v>1</v>
      </c>
      <c r="B108" s="194"/>
      <c r="C108" s="194"/>
    </row>
    <row r="110" spans="1:3" x14ac:dyDescent="0.25">
      <c r="A110" s="770" t="s">
        <v>1170</v>
      </c>
      <c r="B110" s="194"/>
      <c r="C110" s="194"/>
    </row>
    <row r="111" spans="1:3" x14ac:dyDescent="0.25">
      <c r="A111" s="829">
        <f>chptechinput</f>
        <v>0</v>
      </c>
      <c r="B111" s="783" t="e">
        <f>VLOOKUP(A111,A112:B121,2)</f>
        <v>#N/A</v>
      </c>
      <c r="C111" s="783" t="e">
        <f>VLOOKUP(A111,A112:C121,3)</f>
        <v>#N/A</v>
      </c>
    </row>
    <row r="112" spans="1:3" x14ac:dyDescent="0.25">
      <c r="A112" s="829">
        <v>1</v>
      </c>
      <c r="B112" s="783">
        <v>1</v>
      </c>
      <c r="C112" s="783">
        <v>7</v>
      </c>
    </row>
    <row r="113" spans="1:3" x14ac:dyDescent="0.25">
      <c r="A113" s="829">
        <v>2</v>
      </c>
      <c r="B113" s="783">
        <v>1</v>
      </c>
      <c r="C113" s="783">
        <v>7</v>
      </c>
    </row>
    <row r="114" spans="1:3" x14ac:dyDescent="0.25">
      <c r="A114" s="829">
        <v>3</v>
      </c>
      <c r="B114" s="783">
        <v>1</v>
      </c>
      <c r="C114" s="783">
        <v>7</v>
      </c>
    </row>
    <row r="115" spans="1:3" x14ac:dyDescent="0.25">
      <c r="A115" s="829">
        <v>4</v>
      </c>
      <c r="B115" s="783">
        <v>1</v>
      </c>
      <c r="C115" s="783">
        <v>7</v>
      </c>
    </row>
    <row r="116" spans="1:3" x14ac:dyDescent="0.25">
      <c r="A116" s="829">
        <v>5</v>
      </c>
      <c r="B116" s="783">
        <v>1</v>
      </c>
      <c r="C116" s="783">
        <v>7</v>
      </c>
    </row>
    <row r="117" spans="1:3" x14ac:dyDescent="0.25">
      <c r="A117" s="829">
        <v>6</v>
      </c>
      <c r="B117" s="783">
        <v>1</v>
      </c>
      <c r="C117" s="783">
        <v>7</v>
      </c>
    </row>
    <row r="118" spans="1:3" x14ac:dyDescent="0.25">
      <c r="A118" s="829">
        <v>7</v>
      </c>
      <c r="B118" s="783">
        <v>1</v>
      </c>
      <c r="C118" s="783">
        <v>7</v>
      </c>
    </row>
    <row r="119" spans="1:3" x14ac:dyDescent="0.25">
      <c r="A119" s="829">
        <v>8</v>
      </c>
      <c r="B119" s="783">
        <v>1</v>
      </c>
      <c r="C119" s="783">
        <v>7</v>
      </c>
    </row>
    <row r="120" spans="1:3" x14ac:dyDescent="0.25">
      <c r="A120" s="829">
        <v>9</v>
      </c>
      <c r="B120" s="783">
        <v>8</v>
      </c>
      <c r="C120" s="783">
        <v>8</v>
      </c>
    </row>
    <row r="121" spans="1:3" x14ac:dyDescent="0.25">
      <c r="A121" s="829">
        <v>10</v>
      </c>
      <c r="B121" s="783">
        <v>8</v>
      </c>
      <c r="C121" s="783">
        <v>8</v>
      </c>
    </row>
  </sheetData>
  <sheetProtection algorithmName="SHA-512" hashValue="3ybsLUs9jTxAfMrl+cGbOOhw5ZyCShNU+k280/Q22ZyKGxUTtL5LDftG7BFCJSBtS1kKh752FcblQHAeol1L2w==" saltValue="P9UJiSzD+0j3g+nn0/LptA==" spinCount="100000" sheet="1" objects="1" scenarios="1"/>
  <phoneticPr fontId="18" type="noConversion"/>
  <printOptions horizontalCentered="1" gridLines="1"/>
  <pageMargins left="0.5" right="0.5" top="0.75" bottom="0.5" header="0.5" footer="0.25"/>
  <pageSetup scale="47" orientation="portrait" r:id="rId1"/>
  <headerFooter alignWithMargins="0">
    <oddFooter>&amp;L&amp;F, &amp;A&amp;R&amp;D</oddFooter>
  </headerFooter>
  <ignoredErrors>
    <ignoredError sqref="A112:C112 A111" unlockedFormula="1"/>
    <ignoredError sqref="B111:C111" evalError="1" unlockedFormula="1"/>
  </ignoredError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6">
    <pageSetUpPr fitToPage="1"/>
  </sheetPr>
  <dimension ref="A1:Q192"/>
  <sheetViews>
    <sheetView workbookViewId="0">
      <selection activeCell="B1" sqref="B1"/>
    </sheetView>
  </sheetViews>
  <sheetFormatPr defaultColWidth="9.1796875" defaultRowHeight="12.5" x14ac:dyDescent="0.25"/>
  <cols>
    <col min="1" max="1" width="30.81640625" style="54" customWidth="1"/>
    <col min="2" max="2" width="14.81640625" style="54" customWidth="1"/>
    <col min="3" max="3" width="41.81640625" style="54" customWidth="1"/>
    <col min="4" max="4" width="14" style="54" customWidth="1"/>
    <col min="5" max="5" width="12.453125" style="54" customWidth="1"/>
    <col min="6" max="10" width="9.1796875" style="54" customWidth="1"/>
    <col min="11" max="17" width="9.1796875" style="54"/>
    <col min="18" max="16384" width="9.1796875" style="53"/>
  </cols>
  <sheetData>
    <row r="1" spans="1:4" ht="13" x14ac:dyDescent="0.3">
      <c r="A1" s="118" t="s">
        <v>1171</v>
      </c>
      <c r="B1" s="545"/>
      <c r="C1" s="545"/>
      <c r="D1" s="545"/>
    </row>
    <row r="2" spans="1:4" ht="13" thickBot="1" x14ac:dyDescent="0.3">
      <c r="A2" s="545"/>
      <c r="B2" s="545"/>
      <c r="C2" s="545"/>
      <c r="D2" s="545"/>
    </row>
    <row r="3" spans="1:4" ht="38" thickBot="1" x14ac:dyDescent="0.3">
      <c r="A3" s="119" t="s">
        <v>1172</v>
      </c>
      <c r="B3" s="830" t="s">
        <v>506</v>
      </c>
      <c r="C3" s="830" t="s">
        <v>1173</v>
      </c>
      <c r="D3" s="831" t="s">
        <v>1174</v>
      </c>
    </row>
    <row r="4" spans="1:4" ht="13.5" thickBot="1" x14ac:dyDescent="0.35">
      <c r="A4" s="120" t="s">
        <v>1175</v>
      </c>
      <c r="B4" s="121">
        <f>chpnumunits</f>
        <v>1</v>
      </c>
      <c r="C4" s="832"/>
      <c r="D4" s="833"/>
    </row>
    <row r="5" spans="1:4" x14ac:dyDescent="0.25">
      <c r="A5" s="211" t="s">
        <v>1176</v>
      </c>
      <c r="B5" s="238">
        <f>B28*chpnumunits</f>
        <v>0</v>
      </c>
      <c r="C5" s="834"/>
      <c r="D5" s="835"/>
    </row>
    <row r="6" spans="1:4" x14ac:dyDescent="0.25">
      <c r="A6" s="211" t="s">
        <v>1177</v>
      </c>
      <c r="B6" s="238">
        <f>IF(B155&gt;0,dispgridelec,B29*chpnumunits)</f>
        <v>0</v>
      </c>
      <c r="C6" s="238"/>
      <c r="D6" s="835"/>
    </row>
    <row r="7" spans="1:4" x14ac:dyDescent="0.25">
      <c r="A7" s="211" t="s">
        <v>1178</v>
      </c>
      <c r="B7" s="238">
        <f>B30*chpnumunits</f>
        <v>0</v>
      </c>
      <c r="C7" s="238">
        <f>C30*chpnumunits</f>
        <v>0</v>
      </c>
      <c r="D7" s="836">
        <f>D30*chpnumunits</f>
        <v>0</v>
      </c>
    </row>
    <row r="8" spans="1:4" x14ac:dyDescent="0.25">
      <c r="A8" s="211" t="s">
        <v>1179</v>
      </c>
      <c r="B8" s="238">
        <f>B31*chpnumunits</f>
        <v>0</v>
      </c>
      <c r="C8" s="834"/>
      <c r="D8" s="835"/>
    </row>
    <row r="9" spans="1:4" x14ac:dyDescent="0.25">
      <c r="A9" s="211"/>
      <c r="B9" s="834"/>
      <c r="C9" s="834"/>
      <c r="D9" s="835"/>
    </row>
    <row r="10" spans="1:4" x14ac:dyDescent="0.25">
      <c r="A10" s="211"/>
      <c r="B10" s="834"/>
      <c r="C10" s="834"/>
      <c r="D10" s="835"/>
    </row>
    <row r="11" spans="1:4" x14ac:dyDescent="0.25">
      <c r="A11" s="211" t="s">
        <v>1180</v>
      </c>
      <c r="B11" s="834"/>
      <c r="C11" s="834"/>
      <c r="D11" s="835"/>
    </row>
    <row r="12" spans="1:4" x14ac:dyDescent="0.25">
      <c r="A12" s="211" t="s">
        <v>1181</v>
      </c>
      <c r="B12" s="789">
        <f>B17+B22</f>
        <v>0</v>
      </c>
      <c r="C12" s="789">
        <f t="shared" ref="C12:D14" si="0">C17</f>
        <v>0</v>
      </c>
      <c r="D12" s="837">
        <f t="shared" si="0"/>
        <v>0</v>
      </c>
    </row>
    <row r="13" spans="1:4" x14ac:dyDescent="0.25">
      <c r="A13" s="211" t="s">
        <v>1182</v>
      </c>
      <c r="B13" s="789" t="e">
        <f>B18+B23</f>
        <v>#DIV/0!</v>
      </c>
      <c r="C13" s="789">
        <f t="shared" si="0"/>
        <v>0</v>
      </c>
      <c r="D13" s="837">
        <f t="shared" si="0"/>
        <v>0</v>
      </c>
    </row>
    <row r="14" spans="1:4" x14ac:dyDescent="0.25">
      <c r="A14" s="211" t="s">
        <v>1183</v>
      </c>
      <c r="B14" s="238" t="e">
        <f>B19+B24</f>
        <v>#DIV/0!</v>
      </c>
      <c r="C14" s="238">
        <f t="shared" si="0"/>
        <v>0</v>
      </c>
      <c r="D14" s="838">
        <f t="shared" si="0"/>
        <v>0</v>
      </c>
    </row>
    <row r="15" spans="1:4" x14ac:dyDescent="0.25">
      <c r="A15" s="211"/>
      <c r="B15" s="789"/>
      <c r="C15" s="789"/>
      <c r="D15" s="837"/>
    </row>
    <row r="16" spans="1:4" x14ac:dyDescent="0.25">
      <c r="A16" s="211" t="s">
        <v>1184</v>
      </c>
      <c r="B16" s="789"/>
      <c r="C16" s="789"/>
      <c r="D16" s="837"/>
    </row>
    <row r="17" spans="1:6" x14ac:dyDescent="0.25">
      <c r="A17" s="211" t="s">
        <v>1181</v>
      </c>
      <c r="B17" s="789">
        <f t="shared" ref="B17:C19" si="1">B40*chpnumunits</f>
        <v>0</v>
      </c>
      <c r="C17" s="789">
        <f t="shared" si="1"/>
        <v>0</v>
      </c>
      <c r="D17" s="837">
        <f>D40</f>
        <v>0</v>
      </c>
      <c r="E17" s="211" t="s">
        <v>1185</v>
      </c>
      <c r="F17" s="783" t="e">
        <f>F40*chpnumunits</f>
        <v>#N/A</v>
      </c>
    </row>
    <row r="18" spans="1:6" x14ac:dyDescent="0.25">
      <c r="A18" s="211" t="s">
        <v>1182</v>
      </c>
      <c r="B18" s="789">
        <f t="shared" si="1"/>
        <v>0</v>
      </c>
      <c r="C18" s="789">
        <f t="shared" si="1"/>
        <v>0</v>
      </c>
      <c r="D18" s="837">
        <f>D41</f>
        <v>0</v>
      </c>
      <c r="E18" s="211" t="s">
        <v>1186</v>
      </c>
      <c r="F18" s="783" t="e">
        <f>F41*chpnumunits</f>
        <v>#N/A</v>
      </c>
    </row>
    <row r="19" spans="1:6" x14ac:dyDescent="0.25">
      <c r="A19" s="211" t="s">
        <v>1183</v>
      </c>
      <c r="B19" s="238">
        <f t="shared" si="1"/>
        <v>0</v>
      </c>
      <c r="C19" s="238">
        <f t="shared" si="1"/>
        <v>0</v>
      </c>
      <c r="D19" s="838">
        <f>D42</f>
        <v>0</v>
      </c>
      <c r="E19" s="545"/>
      <c r="F19" s="783"/>
    </row>
    <row r="20" spans="1:6" x14ac:dyDescent="0.25">
      <c r="A20" s="211"/>
      <c r="B20" s="789"/>
      <c r="C20" s="789"/>
      <c r="D20" s="837"/>
      <c r="E20" s="545"/>
      <c r="F20" s="783"/>
    </row>
    <row r="21" spans="1:6" x14ac:dyDescent="0.25">
      <c r="A21" s="211" t="s">
        <v>1187</v>
      </c>
      <c r="B21" s="789"/>
      <c r="C21" s="789"/>
      <c r="D21" s="837"/>
      <c r="E21" s="545"/>
      <c r="F21" s="783"/>
    </row>
    <row r="22" spans="1:6" x14ac:dyDescent="0.25">
      <c r="A22" s="211" t="s">
        <v>1181</v>
      </c>
      <c r="B22" s="789">
        <f>B45*chpnumunits</f>
        <v>0</v>
      </c>
      <c r="C22" s="789"/>
      <c r="D22" s="837"/>
      <c r="E22" s="211" t="s">
        <v>1185</v>
      </c>
      <c r="F22" s="839">
        <f>E112*chpnumunits</f>
        <v>0</v>
      </c>
    </row>
    <row r="23" spans="1:6" x14ac:dyDescent="0.25">
      <c r="A23" s="211" t="s">
        <v>1182</v>
      </c>
      <c r="B23" s="789" t="e">
        <f>B46*chpnumunits</f>
        <v>#DIV/0!</v>
      </c>
      <c r="C23" s="789"/>
      <c r="D23" s="837"/>
      <c r="E23" s="211" t="s">
        <v>1186</v>
      </c>
      <c r="F23" s="839">
        <f>E113*chpnumunits</f>
        <v>0</v>
      </c>
    </row>
    <row r="24" spans="1:6" ht="13" thickBot="1" x14ac:dyDescent="0.3">
      <c r="A24" s="615" t="s">
        <v>1183</v>
      </c>
      <c r="B24" s="840" t="e">
        <f>B47*chpnumunits</f>
        <v>#DIV/0!</v>
      </c>
      <c r="C24" s="815"/>
      <c r="D24" s="841"/>
      <c r="E24" s="545"/>
      <c r="F24" s="545"/>
    </row>
    <row r="25" spans="1:6" ht="13" thickBot="1" x14ac:dyDescent="0.3">
      <c r="A25" s="545"/>
      <c r="B25" s="545"/>
      <c r="C25" s="545"/>
      <c r="D25" s="545"/>
      <c r="E25" s="545"/>
      <c r="F25" s="545"/>
    </row>
    <row r="26" spans="1:6" ht="38" thickBot="1" x14ac:dyDescent="0.3">
      <c r="A26" s="842"/>
      <c r="B26" s="843" t="s">
        <v>506</v>
      </c>
      <c r="C26" s="843" t="s">
        <v>1188</v>
      </c>
      <c r="D26" s="844" t="s">
        <v>1189</v>
      </c>
      <c r="E26" s="545"/>
      <c r="F26" s="545"/>
    </row>
    <row r="27" spans="1:6" ht="13.5" thickBot="1" x14ac:dyDescent="0.35">
      <c r="A27" s="120" t="s">
        <v>1190</v>
      </c>
      <c r="B27" s="121"/>
      <c r="C27" s="832"/>
      <c r="D27" s="833"/>
      <c r="E27" s="545"/>
      <c r="F27" s="545"/>
    </row>
    <row r="28" spans="1:6" x14ac:dyDescent="0.25">
      <c r="A28" s="211" t="s">
        <v>1176</v>
      </c>
      <c r="B28" s="238">
        <f>ccap</f>
        <v>0</v>
      </c>
      <c r="C28" s="834"/>
      <c r="D28" s="835"/>
      <c r="E28" s="545"/>
      <c r="F28" s="545"/>
    </row>
    <row r="29" spans="1:6" x14ac:dyDescent="0.25">
      <c r="A29" s="211" t="s">
        <v>1177</v>
      </c>
      <c r="B29" s="238">
        <f>cMWh</f>
        <v>0</v>
      </c>
      <c r="C29" s="845"/>
      <c r="D29" s="835"/>
      <c r="E29" s="545"/>
      <c r="F29" s="545"/>
    </row>
    <row r="30" spans="1:6" x14ac:dyDescent="0.25">
      <c r="A30" s="211" t="s">
        <v>1178</v>
      </c>
      <c r="B30" s="238">
        <f>cbtu</f>
        <v>0</v>
      </c>
      <c r="C30" s="845">
        <f>B159</f>
        <v>0</v>
      </c>
      <c r="D30" s="836">
        <f>dsbtu</f>
        <v>0</v>
      </c>
      <c r="E30" s="545"/>
      <c r="F30" s="545"/>
    </row>
    <row r="31" spans="1:6" x14ac:dyDescent="0.25">
      <c r="A31" s="211" t="s">
        <v>1179</v>
      </c>
      <c r="B31" s="238">
        <f>B107</f>
        <v>0</v>
      </c>
      <c r="C31" s="834"/>
      <c r="D31" s="835"/>
      <c r="E31" s="545"/>
      <c r="F31" s="545"/>
    </row>
    <row r="32" spans="1:6" x14ac:dyDescent="0.25">
      <c r="A32" s="211"/>
      <c r="B32" s="834"/>
      <c r="C32" s="834"/>
      <c r="D32" s="835"/>
      <c r="E32" s="545"/>
      <c r="F32" s="545"/>
    </row>
    <row r="33" spans="1:6" x14ac:dyDescent="0.25">
      <c r="A33" s="211"/>
      <c r="B33" s="834"/>
      <c r="C33" s="834"/>
      <c r="D33" s="835"/>
      <c r="E33" s="545"/>
      <c r="F33" s="545"/>
    </row>
    <row r="34" spans="1:6" x14ac:dyDescent="0.25">
      <c r="A34" s="211" t="s">
        <v>1180</v>
      </c>
      <c r="B34" s="834"/>
      <c r="C34" s="834"/>
      <c r="D34" s="835"/>
      <c r="E34" s="545"/>
      <c r="F34" s="545"/>
    </row>
    <row r="35" spans="1:6" x14ac:dyDescent="0.25">
      <c r="A35" s="211" t="s">
        <v>1181</v>
      </c>
      <c r="B35" s="789">
        <f>B40+B45</f>
        <v>0</v>
      </c>
      <c r="C35" s="789">
        <f>denoxtons</f>
        <v>0</v>
      </c>
      <c r="D35" s="837">
        <f>dsnoxtons</f>
        <v>0</v>
      </c>
      <c r="E35" s="211" t="s">
        <v>1185</v>
      </c>
      <c r="F35" s="846" t="e">
        <f>F40+F45</f>
        <v>#N/A</v>
      </c>
    </row>
    <row r="36" spans="1:6" x14ac:dyDescent="0.25">
      <c r="A36" s="211" t="s">
        <v>1182</v>
      </c>
      <c r="B36" s="789" t="e">
        <f>B41+B46</f>
        <v>#DIV/0!</v>
      </c>
      <c r="C36" s="789">
        <f>deso2tons</f>
        <v>0</v>
      </c>
      <c r="D36" s="837">
        <f>dsso2tons</f>
        <v>0</v>
      </c>
      <c r="E36" s="211" t="s">
        <v>1186</v>
      </c>
      <c r="F36" s="846" t="e">
        <f>F41+F46</f>
        <v>#N/A</v>
      </c>
    </row>
    <row r="37" spans="1:6" x14ac:dyDescent="0.25">
      <c r="A37" s="211" t="s">
        <v>1183</v>
      </c>
      <c r="B37" s="238" t="e">
        <f>B42+B47</f>
        <v>#DIV/0!</v>
      </c>
      <c r="C37" s="238">
        <f>deco2tons</f>
        <v>0</v>
      </c>
      <c r="D37" s="838">
        <f>dsco2tons</f>
        <v>0</v>
      </c>
      <c r="E37" s="545"/>
      <c r="F37" s="783"/>
    </row>
    <row r="38" spans="1:6" x14ac:dyDescent="0.25">
      <c r="A38" s="211"/>
      <c r="B38" s="789"/>
      <c r="C38" s="789"/>
      <c r="D38" s="837"/>
      <c r="E38" s="545"/>
      <c r="F38" s="783"/>
    </row>
    <row r="39" spans="1:6" x14ac:dyDescent="0.25">
      <c r="A39" s="211" t="s">
        <v>1184</v>
      </c>
      <c r="B39" s="789"/>
      <c r="C39" s="789"/>
      <c r="D39" s="837"/>
      <c r="E39" s="545"/>
      <c r="F39" s="783"/>
    </row>
    <row r="40" spans="1:6" x14ac:dyDescent="0.25">
      <c r="A40" s="211" t="s">
        <v>1181</v>
      </c>
      <c r="B40" s="789">
        <f>cnoxtons</f>
        <v>0</v>
      </c>
      <c r="C40" s="789">
        <f>denoxtons</f>
        <v>0</v>
      </c>
      <c r="D40" s="837">
        <f>dsnoxtons</f>
        <v>0</v>
      </c>
      <c r="E40" s="211" t="s">
        <v>1185</v>
      </c>
      <c r="F40" s="809" t="e">
        <f>E87</f>
        <v>#N/A</v>
      </c>
    </row>
    <row r="41" spans="1:6" x14ac:dyDescent="0.25">
      <c r="A41" s="211" t="s">
        <v>1182</v>
      </c>
      <c r="B41" s="789">
        <f>cso2tons</f>
        <v>0</v>
      </c>
      <c r="C41" s="789">
        <f>deso2tons</f>
        <v>0</v>
      </c>
      <c r="D41" s="837">
        <f>dsso2tons</f>
        <v>0</v>
      </c>
      <c r="E41" s="211" t="s">
        <v>1186</v>
      </c>
      <c r="F41" s="809" t="e">
        <f>E88</f>
        <v>#N/A</v>
      </c>
    </row>
    <row r="42" spans="1:6" x14ac:dyDescent="0.25">
      <c r="A42" s="211" t="s">
        <v>1183</v>
      </c>
      <c r="B42" s="238">
        <f>cco2tons</f>
        <v>0</v>
      </c>
      <c r="C42" s="238">
        <f>deco2tons</f>
        <v>0</v>
      </c>
      <c r="D42" s="838">
        <f>dsco2tons</f>
        <v>0</v>
      </c>
      <c r="E42" s="545"/>
      <c r="F42" s="783"/>
    </row>
    <row r="43" spans="1:6" x14ac:dyDescent="0.25">
      <c r="A43" s="211"/>
      <c r="B43" s="789"/>
      <c r="C43" s="789"/>
      <c r="D43" s="837"/>
      <c r="E43" s="545"/>
      <c r="F43" s="783"/>
    </row>
    <row r="44" spans="1:6" x14ac:dyDescent="0.25">
      <c r="A44" s="211" t="s">
        <v>1187</v>
      </c>
      <c r="B44" s="789"/>
      <c r="C44" s="789"/>
      <c r="D44" s="837"/>
      <c r="E44" s="545"/>
      <c r="F44" s="783"/>
    </row>
    <row r="45" spans="1:6" x14ac:dyDescent="0.25">
      <c r="A45" s="211" t="s">
        <v>1181</v>
      </c>
      <c r="B45" s="789">
        <f>B112</f>
        <v>0</v>
      </c>
      <c r="C45" s="789"/>
      <c r="D45" s="837"/>
      <c r="E45" s="211" t="s">
        <v>1185</v>
      </c>
      <c r="F45" s="839">
        <f>E112</f>
        <v>0</v>
      </c>
    </row>
    <row r="46" spans="1:6" x14ac:dyDescent="0.25">
      <c r="A46" s="211" t="s">
        <v>1182</v>
      </c>
      <c r="B46" s="789" t="e">
        <f>B113</f>
        <v>#DIV/0!</v>
      </c>
      <c r="C46" s="789"/>
      <c r="D46" s="837"/>
      <c r="E46" s="211" t="s">
        <v>1186</v>
      </c>
      <c r="F46" s="839">
        <f>E113</f>
        <v>0</v>
      </c>
    </row>
    <row r="47" spans="1:6" ht="13" thickBot="1" x14ac:dyDescent="0.3">
      <c r="A47" s="615" t="s">
        <v>1183</v>
      </c>
      <c r="B47" s="840" t="e">
        <f>B114</f>
        <v>#DIV/0!</v>
      </c>
      <c r="C47" s="815"/>
      <c r="D47" s="841"/>
      <c r="E47" s="545"/>
      <c r="F47" s="545"/>
    </row>
    <row r="48" spans="1:6" ht="13" thickBot="1" x14ac:dyDescent="0.3">
      <c r="A48" s="545"/>
      <c r="B48" s="545"/>
      <c r="C48" s="545"/>
      <c r="D48" s="545"/>
      <c r="E48" s="545"/>
      <c r="F48" s="545"/>
    </row>
    <row r="49" spans="1:3" ht="13" x14ac:dyDescent="0.3">
      <c r="A49" s="122" t="s">
        <v>1191</v>
      </c>
      <c r="B49" s="847">
        <f>chptechinput</f>
        <v>0</v>
      </c>
      <c r="C49" s="848" t="e">
        <f>LOOKUP(chptechinput,lista1a,ListA1)</f>
        <v>#N/A</v>
      </c>
    </row>
    <row r="50" spans="1:3" x14ac:dyDescent="0.25">
      <c r="A50" s="211" t="s">
        <v>1192</v>
      </c>
      <c r="B50" s="238">
        <f>chpcapinput</f>
        <v>0</v>
      </c>
      <c r="C50" s="239" t="s">
        <v>5</v>
      </c>
    </row>
    <row r="51" spans="1:3" x14ac:dyDescent="0.25">
      <c r="A51" s="211" t="s">
        <v>291</v>
      </c>
      <c r="B51" s="238">
        <f>IFERROR(IF(inputophours&gt;0,inputophours,IF(dispgridelec&gt;0,dispgridelec/(ccap/1000),8760*inputoppercent)),"-")</f>
        <v>0</v>
      </c>
      <c r="C51" s="239" t="s">
        <v>1193</v>
      </c>
    </row>
    <row r="52" spans="1:3" x14ac:dyDescent="0.25">
      <c r="A52" s="211" t="s">
        <v>1194</v>
      </c>
      <c r="B52" s="849">
        <f>IFERROR(IF(chours&gt;0,chours/8760,inputoppercent),"-")</f>
        <v>0</v>
      </c>
      <c r="C52" s="239"/>
    </row>
    <row r="53" spans="1:3" x14ac:dyDescent="0.25">
      <c r="A53" s="211" t="s">
        <v>1195</v>
      </c>
      <c r="B53" s="849"/>
      <c r="C53" s="239"/>
    </row>
    <row r="54" spans="1:3" x14ac:dyDescent="0.25">
      <c r="A54" s="211" t="s">
        <v>1196</v>
      </c>
      <c r="B54" s="850">
        <f>ROUND(ccap*chr/1000000,1)</f>
        <v>0</v>
      </c>
      <c r="C54" s="239" t="s">
        <v>42</v>
      </c>
    </row>
    <row r="55" spans="1:3" x14ac:dyDescent="0.25">
      <c r="A55" s="211"/>
      <c r="B55" s="783"/>
      <c r="C55" s="239"/>
    </row>
    <row r="56" spans="1:3" x14ac:dyDescent="0.25">
      <c r="A56" s="211" t="s">
        <v>104</v>
      </c>
      <c r="B56" s="783">
        <f>chpfuelinput</f>
        <v>0</v>
      </c>
      <c r="C56" s="239" t="e">
        <f>LOOKUP(chpfuelinput,lista6a,lista6)</f>
        <v>#N/A</v>
      </c>
    </row>
    <row r="57" spans="1:3" x14ac:dyDescent="0.25">
      <c r="A57" s="211" t="s">
        <v>1197</v>
      </c>
      <c r="B57" s="783" t="e">
        <f>LOOKUP(chphoursinput,listb3a,listb3)</f>
        <v>#N/A</v>
      </c>
      <c r="C57" s="239"/>
    </row>
    <row r="58" spans="1:3" x14ac:dyDescent="0.25">
      <c r="A58" s="211" t="s">
        <v>1198</v>
      </c>
      <c r="B58" s="238">
        <f>ccap*8760/1000</f>
        <v>0</v>
      </c>
      <c r="C58" s="239" t="s">
        <v>13</v>
      </c>
    </row>
    <row r="59" spans="1:3" x14ac:dyDescent="0.25">
      <c r="A59" s="211" t="s">
        <v>1199</v>
      </c>
      <c r="B59" s="238">
        <f>IF(B155&gt;0,B155,ccap*chours/1000)</f>
        <v>0</v>
      </c>
      <c r="C59" s="239" t="s">
        <v>13</v>
      </c>
    </row>
    <row r="60" spans="1:3" x14ac:dyDescent="0.25">
      <c r="A60" s="211"/>
      <c r="B60" s="789">
        <f>cMWh*1000*3412/1000000</f>
        <v>0</v>
      </c>
      <c r="C60" s="239" t="s">
        <v>1200</v>
      </c>
    </row>
    <row r="61" spans="1:3" x14ac:dyDescent="0.25">
      <c r="A61" s="211" t="s">
        <v>1201</v>
      </c>
      <c r="B61" s="849">
        <f>chpeffinput1</f>
        <v>0</v>
      </c>
      <c r="C61" s="837"/>
    </row>
    <row r="62" spans="1:3" x14ac:dyDescent="0.25">
      <c r="A62" s="211" t="s">
        <v>1202</v>
      </c>
      <c r="B62" s="238">
        <f>chpeffinput2</f>
        <v>0</v>
      </c>
      <c r="C62" s="837"/>
    </row>
    <row r="63" spans="1:3" x14ac:dyDescent="0.25">
      <c r="A63" s="211" t="s">
        <v>1203</v>
      </c>
      <c r="B63" s="238">
        <f>chpeffinput3</f>
        <v>0</v>
      </c>
      <c r="C63" s="239"/>
    </row>
    <row r="64" spans="1:3" x14ac:dyDescent="0.25">
      <c r="A64" s="211" t="s">
        <v>1204</v>
      </c>
      <c r="B64" s="783">
        <f>IF(chpfuelinput=1,ppmbtulhv/ppmbtu,ppmbtudlhv/ppmbtud)</f>
        <v>0.91085271317829453</v>
      </c>
      <c r="C64" s="239"/>
    </row>
    <row r="65" spans="1:5" x14ac:dyDescent="0.25">
      <c r="A65" s="211" t="s">
        <v>1205</v>
      </c>
      <c r="B65" s="238" t="b">
        <f>IF(chptechinput=6,cbtu/cMWh*1000,IF(B61&gt;0,3413/B61,IF(B62&gt;0,B62,IF(B63&gt;0,B63/B64))))</f>
        <v>0</v>
      </c>
      <c r="C65" s="239" t="s">
        <v>229</v>
      </c>
      <c r="D65" s="545"/>
      <c r="E65" s="545"/>
    </row>
    <row r="66" spans="1:5" x14ac:dyDescent="0.25">
      <c r="A66" s="211" t="s">
        <v>1206</v>
      </c>
      <c r="B66" s="849" t="e">
        <f>IF(chptechinput=6,0,3412/B65)</f>
        <v>#DIV/0!</v>
      </c>
      <c r="C66" s="239"/>
      <c r="D66" s="545"/>
      <c r="E66" s="545"/>
    </row>
    <row r="67" spans="1:5" x14ac:dyDescent="0.25">
      <c r="A67" s="211"/>
      <c r="B67" s="238"/>
      <c r="C67" s="239"/>
      <c r="D67" s="545"/>
      <c r="E67" s="545"/>
    </row>
    <row r="68" spans="1:5" x14ac:dyDescent="0.25">
      <c r="A68" s="211" t="s">
        <v>1207</v>
      </c>
      <c r="B68" s="238">
        <f>IF(chptechinput=6,B100,(cMWh*B65/1000))</f>
        <v>0</v>
      </c>
      <c r="C68" s="239" t="s">
        <v>144</v>
      </c>
      <c r="D68" s="545"/>
      <c r="E68" s="851"/>
    </row>
    <row r="69" spans="1:5" x14ac:dyDescent="0.25">
      <c r="A69" s="211"/>
      <c r="B69" s="789"/>
      <c r="C69" s="239"/>
      <c r="D69" s="545"/>
      <c r="E69" s="545"/>
    </row>
    <row r="70" spans="1:5" x14ac:dyDescent="0.25">
      <c r="A70" s="211" t="s">
        <v>1208</v>
      </c>
      <c r="B70" s="789">
        <f>chpnoxinput1</f>
        <v>0</v>
      </c>
      <c r="C70" s="239" t="s">
        <v>82</v>
      </c>
      <c r="D70" s="545"/>
      <c r="E70" s="852"/>
    </row>
    <row r="71" spans="1:5" x14ac:dyDescent="0.25">
      <c r="A71" s="211" t="s">
        <v>1209</v>
      </c>
      <c r="B71" s="789">
        <f>chpnoxinput2</f>
        <v>0</v>
      </c>
      <c r="C71" s="239" t="s">
        <v>89</v>
      </c>
      <c r="D71" s="545"/>
      <c r="E71" s="545"/>
    </row>
    <row r="72" spans="1:5" x14ac:dyDescent="0.25">
      <c r="A72" s="211" t="s">
        <v>1210</v>
      </c>
      <c r="B72" s="789">
        <f>chpnoxinput3</f>
        <v>0</v>
      </c>
      <c r="C72" s="239" t="s">
        <v>95</v>
      </c>
      <c r="D72" s="545"/>
      <c r="E72" s="545"/>
    </row>
    <row r="73" spans="1:5" x14ac:dyDescent="0.25">
      <c r="A73" s="211" t="s">
        <v>1211</v>
      </c>
      <c r="B73" s="789">
        <f>chpnoxinput4</f>
        <v>0</v>
      </c>
      <c r="C73" s="239" t="s">
        <v>1212</v>
      </c>
      <c r="D73" s="545"/>
      <c r="E73" s="545"/>
    </row>
    <row r="74" spans="1:5" x14ac:dyDescent="0.25">
      <c r="A74" s="211" t="s">
        <v>1213</v>
      </c>
      <c r="B74" s="783">
        <f>IF(chpfuelinput=1,ppmbtu,ppmbtud)</f>
        <v>258</v>
      </c>
      <c r="C74" s="239"/>
      <c r="D74" s="545"/>
      <c r="E74" s="545"/>
    </row>
    <row r="75" spans="1:5" x14ac:dyDescent="0.25">
      <c r="A75" s="211" t="s">
        <v>1214</v>
      </c>
      <c r="B75" s="788" t="e">
        <f>IF(B70&gt;0,B70/B74,IF(B71&gt;0,B71*B66*0.866,IF(B72&gt;0,B72,B73*1000/B65)))</f>
        <v>#DIV/0!</v>
      </c>
      <c r="C75" s="239" t="s">
        <v>95</v>
      </c>
      <c r="D75" s="545"/>
      <c r="E75" s="545"/>
    </row>
    <row r="76" spans="1:5" x14ac:dyDescent="0.25">
      <c r="A76" s="211" t="s">
        <v>1215</v>
      </c>
      <c r="B76" s="789" t="e">
        <f>B75*B65/1000</f>
        <v>#DIV/0!</v>
      </c>
      <c r="C76" s="239" t="s">
        <v>1212</v>
      </c>
      <c r="D76" s="545"/>
      <c r="E76" s="545"/>
    </row>
    <row r="77" spans="1:5" x14ac:dyDescent="0.25">
      <c r="A77" s="211"/>
      <c r="B77" s="783"/>
      <c r="C77" s="239"/>
      <c r="D77" s="545"/>
      <c r="E77" s="545"/>
    </row>
    <row r="78" spans="1:5" x14ac:dyDescent="0.25">
      <c r="A78" s="211" t="s">
        <v>1216</v>
      </c>
      <c r="B78" s="789">
        <f>IF(chr=FALSE,0,cMWh*cnoxrate/2000)</f>
        <v>0</v>
      </c>
      <c r="C78" s="239" t="s">
        <v>1217</v>
      </c>
      <c r="D78" s="545"/>
      <c r="E78" s="545"/>
    </row>
    <row r="79" spans="1:5" x14ac:dyDescent="0.25">
      <c r="A79" s="211"/>
      <c r="B79" s="783"/>
      <c r="C79" s="239"/>
      <c r="D79" s="545"/>
      <c r="E79" s="545"/>
    </row>
    <row r="80" spans="1:5" x14ac:dyDescent="0.25">
      <c r="A80" s="211" t="s">
        <v>1218</v>
      </c>
      <c r="B80" s="853">
        <f>chpsulfurinput1</f>
        <v>0</v>
      </c>
      <c r="C80" s="239"/>
      <c r="D80" s="545"/>
      <c r="E80" s="545"/>
    </row>
    <row r="81" spans="1:6" x14ac:dyDescent="0.25">
      <c r="A81" s="211" t="s">
        <v>1219</v>
      </c>
      <c r="B81" s="783">
        <f>chpsulfurinput2</f>
        <v>0</v>
      </c>
      <c r="C81" s="239" t="s">
        <v>82</v>
      </c>
      <c r="D81" s="545"/>
      <c r="E81" s="545"/>
      <c r="F81" s="545"/>
    </row>
    <row r="82" spans="1:6" x14ac:dyDescent="0.25">
      <c r="A82" s="211" t="s">
        <v>1220</v>
      </c>
      <c r="B82" s="783">
        <f>IF(B80&gt;0,B80,B81/1000000)</f>
        <v>0</v>
      </c>
      <c r="C82" s="239"/>
      <c r="D82" s="545"/>
      <c r="E82" s="545"/>
      <c r="F82" s="545"/>
    </row>
    <row r="83" spans="1:6" x14ac:dyDescent="0.25">
      <c r="A83" s="211" t="s">
        <v>1221</v>
      </c>
      <c r="B83" s="783">
        <f>IF(heatinput1&gt;0,heatinput1,IF(heatinput2&gt;0,heatinput2,IF(heatinput3&gt;0,heatinput3,0)))</f>
        <v>0</v>
      </c>
      <c r="C83" s="239">
        <f>IF(heatinput1&gt;0,"Btu/cf",IF(heatinput2&gt;0,"Btu/gallon",IF(heatinput3&gt;0,"Btu/lb",0)))</f>
        <v>0</v>
      </c>
      <c r="D83" s="545"/>
      <c r="E83" s="545"/>
      <c r="F83" s="545"/>
    </row>
    <row r="84" spans="1:6" x14ac:dyDescent="0.25">
      <c r="A84" s="211" t="s">
        <v>1222</v>
      </c>
      <c r="B84" s="238">
        <f>IF(heatinput1&gt;0,heatinput1/ngdensity,IF(heatinput2&gt;0,IF(chpfuelinput =5,heatinput2/propDensity,heatinput2/distdensity),IF(heatinput3&gt;0,heatinput3,0)))</f>
        <v>0</v>
      </c>
      <c r="C84" s="239" t="s">
        <v>214</v>
      </c>
      <c r="D84" s="545"/>
      <c r="E84" s="545"/>
      <c r="F84" s="545"/>
    </row>
    <row r="85" spans="1:6" x14ac:dyDescent="0.25">
      <c r="A85" s="211" t="s">
        <v>1223</v>
      </c>
      <c r="B85" s="839">
        <f>IF(B84&gt;0,B68*1000000/(B84*2000),0)</f>
        <v>0</v>
      </c>
      <c r="C85" s="239" t="s">
        <v>1217</v>
      </c>
      <c r="D85" s="545"/>
      <c r="E85" s="545"/>
      <c r="F85" s="545"/>
    </row>
    <row r="86" spans="1:6" x14ac:dyDescent="0.25">
      <c r="A86" s="211" t="s">
        <v>1224</v>
      </c>
      <c r="B86" s="854">
        <f>IF(B81&gt;0,cMWh*cso2rate/2000,B82*B85*2)</f>
        <v>0</v>
      </c>
      <c r="C86" s="239" t="s">
        <v>1217</v>
      </c>
      <c r="D86" s="545"/>
      <c r="E86" s="545"/>
      <c r="F86" s="545"/>
    </row>
    <row r="87" spans="1:6" x14ac:dyDescent="0.25">
      <c r="A87" s="211" t="s">
        <v>1225</v>
      </c>
      <c r="B87" s="855" t="e">
        <f>IF(B81&gt;0,B81/B74*B65/1000,cso2tons*2000/cMWh)</f>
        <v>#DIV/0!</v>
      </c>
      <c r="C87" s="239" t="s">
        <v>1212</v>
      </c>
      <c r="D87" s="211" t="s">
        <v>1226</v>
      </c>
      <c r="E87" s="809" t="e">
        <f>cbtu*STMTech!H23/2000</f>
        <v>#N/A</v>
      </c>
      <c r="F87" s="545" t="s">
        <v>1217</v>
      </c>
    </row>
    <row r="88" spans="1:6" x14ac:dyDescent="0.25">
      <c r="A88" s="211"/>
      <c r="B88" s="783"/>
      <c r="C88" s="239"/>
      <c r="D88" s="211" t="s">
        <v>1227</v>
      </c>
      <c r="E88" s="809" t="e">
        <f>cbtu*STMTech!I23/2000</f>
        <v>#N/A</v>
      </c>
      <c r="F88" s="545" t="s">
        <v>1217</v>
      </c>
    </row>
    <row r="89" spans="1:6" x14ac:dyDescent="0.25">
      <c r="A89" s="211" t="s">
        <v>1228</v>
      </c>
      <c r="B89" s="789">
        <f>cbtu*co2input/2000</f>
        <v>0</v>
      </c>
      <c r="C89" s="239" t="s">
        <v>1217</v>
      </c>
      <c r="D89" s="545"/>
      <c r="E89" s="545"/>
      <c r="F89" s="545"/>
    </row>
    <row r="90" spans="1:6" x14ac:dyDescent="0.25">
      <c r="A90" s="211" t="s">
        <v>1229</v>
      </c>
      <c r="B90" s="238" t="e">
        <f>cco2tons*2000/cMWh</f>
        <v>#DIV/0!</v>
      </c>
      <c r="C90" s="239" t="s">
        <v>1212</v>
      </c>
      <c r="D90" s="545"/>
      <c r="E90" s="545"/>
      <c r="F90" s="545"/>
    </row>
    <row r="91" spans="1:6" ht="13" thickBot="1" x14ac:dyDescent="0.3">
      <c r="A91" s="615"/>
      <c r="B91" s="813"/>
      <c r="C91" s="856"/>
      <c r="D91" s="545"/>
      <c r="E91" s="545"/>
      <c r="F91" s="545"/>
    </row>
    <row r="92" spans="1:6" ht="13" thickBot="1" x14ac:dyDescent="0.3">
      <c r="A92" s="545"/>
      <c r="B92" s="545"/>
      <c r="C92" s="545"/>
      <c r="D92" s="545"/>
      <c r="E92" s="545"/>
      <c r="F92" s="545"/>
    </row>
    <row r="93" spans="1:6" ht="13" x14ac:dyDescent="0.3">
      <c r="A93" s="122" t="s">
        <v>1230</v>
      </c>
      <c r="B93" s="847"/>
      <c r="C93" s="848"/>
      <c r="D93" s="545"/>
      <c r="E93" s="545"/>
      <c r="F93" s="545"/>
    </row>
    <row r="94" spans="1:6" x14ac:dyDescent="0.25">
      <c r="A94" s="857" t="s">
        <v>1231</v>
      </c>
      <c r="B94" s="783">
        <f>lbsteamperhr</f>
        <v>0</v>
      </c>
      <c r="C94" s="239"/>
      <c r="D94" s="545"/>
      <c r="E94" s="545"/>
      <c r="F94" s="545"/>
    </row>
    <row r="95" spans="1:6" x14ac:dyDescent="0.25">
      <c r="A95" s="857" t="s">
        <v>1232</v>
      </c>
      <c r="B95" s="783">
        <f>mmbtusteamperhr</f>
        <v>0</v>
      </c>
      <c r="C95" s="239"/>
      <c r="D95" s="545"/>
      <c r="E95" s="545"/>
      <c r="F95" s="545"/>
    </row>
    <row r="96" spans="1:6" x14ac:dyDescent="0.25">
      <c r="A96" s="857" t="s">
        <v>1233</v>
      </c>
      <c r="B96" s="783">
        <f>IF(B95&gt;0,B95,IF(B94&gt;0,B94*lbtobtusteam/1000000,))</f>
        <v>0</v>
      </c>
      <c r="C96" s="239"/>
      <c r="D96" s="545"/>
      <c r="E96" s="545"/>
      <c r="F96" s="545"/>
    </row>
    <row r="97" spans="1:6" x14ac:dyDescent="0.25">
      <c r="A97" s="211"/>
      <c r="B97" s="783"/>
      <c r="C97" s="239"/>
      <c r="D97" s="545"/>
      <c r="E97" s="545"/>
      <c r="F97" s="545"/>
    </row>
    <row r="98" spans="1:6" x14ac:dyDescent="0.25">
      <c r="A98" s="211" t="s">
        <v>479</v>
      </c>
      <c r="B98" s="858">
        <f>boilereff</f>
        <v>0</v>
      </c>
      <c r="C98" s="239"/>
      <c r="D98" s="545"/>
      <c r="E98" s="545"/>
      <c r="F98" s="545"/>
    </row>
    <row r="99" spans="1:6" x14ac:dyDescent="0.25">
      <c r="A99" s="211"/>
      <c r="B99" s="783"/>
      <c r="C99" s="239"/>
      <c r="D99" s="545"/>
      <c r="E99" s="545"/>
      <c r="F99" s="545"/>
    </row>
    <row r="100" spans="1:6" x14ac:dyDescent="0.25">
      <c r="A100" s="211" t="s">
        <v>1234</v>
      </c>
      <c r="B100" s="859">
        <f>IFERROR(IF(chptechinput=6,((B96*chours)+(B60/0.95))/B98,0),"-")</f>
        <v>0</v>
      </c>
      <c r="C100" s="239"/>
      <c r="D100" s="545"/>
      <c r="E100" s="545"/>
      <c r="F100" s="545"/>
    </row>
    <row r="101" spans="1:6" ht="13" thickBot="1" x14ac:dyDescent="0.3">
      <c r="A101" s="615" t="s">
        <v>1235</v>
      </c>
      <c r="B101" s="860">
        <f>B96*chours</f>
        <v>0</v>
      </c>
      <c r="C101" s="856"/>
      <c r="D101" s="545"/>
      <c r="E101" s="545"/>
      <c r="F101" s="545"/>
    </row>
    <row r="103" spans="1:6" ht="13" thickBot="1" x14ac:dyDescent="0.3">
      <c r="A103" s="545"/>
      <c r="B103" s="545"/>
      <c r="C103" s="545"/>
      <c r="D103" s="545"/>
      <c r="E103" s="545"/>
      <c r="F103" s="545"/>
    </row>
    <row r="104" spans="1:6" ht="13" x14ac:dyDescent="0.3">
      <c r="A104" s="122" t="s">
        <v>1187</v>
      </c>
      <c r="B104" s="847"/>
      <c r="C104" s="848"/>
      <c r="D104" s="545"/>
      <c r="E104" s="545"/>
      <c r="F104" s="545"/>
    </row>
    <row r="105" spans="1:6" x14ac:dyDescent="0.25">
      <c r="A105" s="211" t="s">
        <v>1236</v>
      </c>
      <c r="B105" s="783">
        <f>chpduct2</f>
        <v>0</v>
      </c>
      <c r="C105" s="239" t="s">
        <v>42</v>
      </c>
      <c r="D105" s="545"/>
      <c r="E105" s="545"/>
      <c r="F105" s="545"/>
    </row>
    <row r="106" spans="1:6" x14ac:dyDescent="0.25">
      <c r="A106" s="211" t="s">
        <v>1237</v>
      </c>
      <c r="B106" s="238">
        <f>IF(chpduct1=1,IF(ducthours1&gt;0,ducthours1,ductpercent*chours),0)</f>
        <v>0</v>
      </c>
      <c r="C106" s="239" t="s">
        <v>1238</v>
      </c>
      <c r="D106" s="545"/>
      <c r="E106" s="545"/>
      <c r="F106" s="545"/>
    </row>
    <row r="107" spans="1:6" x14ac:dyDescent="0.25">
      <c r="A107" s="211" t="s">
        <v>1239</v>
      </c>
      <c r="B107" s="238">
        <f>B105*0.88*ducthours</f>
        <v>0</v>
      </c>
      <c r="C107" s="239" t="s">
        <v>144</v>
      </c>
      <c r="D107" s="545"/>
      <c r="E107" s="545"/>
      <c r="F107" s="545"/>
    </row>
    <row r="108" spans="1:6" x14ac:dyDescent="0.25">
      <c r="A108" s="211"/>
      <c r="B108" s="783"/>
      <c r="C108" s="239"/>
      <c r="D108" s="545"/>
      <c r="E108" s="545"/>
      <c r="F108" s="545"/>
    </row>
    <row r="109" spans="1:6" x14ac:dyDescent="0.25">
      <c r="A109" s="211" t="s">
        <v>1240</v>
      </c>
      <c r="B109" s="789">
        <f>IF(chpduct3&gt;0,chpduct3,IF(chpfuelinput=1,chpduct4/ppmbtu,chpduct4/ppmbtud))</f>
        <v>0</v>
      </c>
      <c r="C109" s="239" t="s">
        <v>95</v>
      </c>
      <c r="D109" s="545"/>
      <c r="E109" s="545"/>
      <c r="F109" s="545"/>
    </row>
    <row r="110" spans="1:6" x14ac:dyDescent="0.25">
      <c r="A110" s="211" t="s">
        <v>1241</v>
      </c>
      <c r="B110" s="854" t="e">
        <f>IF(chpduct1=2,0,cso2rate*1000/chr)</f>
        <v>#DIV/0!</v>
      </c>
      <c r="C110" s="239" t="s">
        <v>95</v>
      </c>
      <c r="D110" s="211" t="s">
        <v>1242</v>
      </c>
      <c r="E110" s="783">
        <f>IF(chpduct1=2,0,ch4gas)</f>
        <v>2.2040000000000002E-3</v>
      </c>
      <c r="F110" s="545" t="s">
        <v>95</v>
      </c>
    </row>
    <row r="111" spans="1:6" x14ac:dyDescent="0.25">
      <c r="A111" s="211" t="s">
        <v>1243</v>
      </c>
      <c r="B111" s="238" t="e">
        <f>IF(chpduct1=2,0,cco2rate*1000/chr)</f>
        <v>#DIV/0!</v>
      </c>
      <c r="C111" s="239" t="s">
        <v>95</v>
      </c>
      <c r="D111" s="211" t="s">
        <v>1244</v>
      </c>
      <c r="E111" s="783">
        <f>IF(chpduct1=2,0,n2ogas)</f>
        <v>2.2040000000000002E-4</v>
      </c>
      <c r="F111" s="545" t="s">
        <v>95</v>
      </c>
    </row>
    <row r="112" spans="1:6" x14ac:dyDescent="0.25">
      <c r="A112" s="211" t="s">
        <v>1245</v>
      </c>
      <c r="B112" s="861">
        <f>B109*B107/2000</f>
        <v>0</v>
      </c>
      <c r="C112" s="239" t="s">
        <v>1217</v>
      </c>
      <c r="D112" s="211" t="s">
        <v>1246</v>
      </c>
      <c r="E112" s="839">
        <f>E110*B107/2000</f>
        <v>0</v>
      </c>
      <c r="F112" s="545" t="s">
        <v>1217</v>
      </c>
    </row>
    <row r="113" spans="1:6" x14ac:dyDescent="0.25">
      <c r="A113" s="211" t="s">
        <v>1247</v>
      </c>
      <c r="B113" s="861" t="e">
        <f>B110*B107/2000</f>
        <v>#DIV/0!</v>
      </c>
      <c r="C113" s="239" t="s">
        <v>1217</v>
      </c>
      <c r="D113" s="211" t="s">
        <v>1248</v>
      </c>
      <c r="E113" s="839">
        <f>E111*B107/2000</f>
        <v>0</v>
      </c>
      <c r="F113" s="545" t="s">
        <v>1217</v>
      </c>
    </row>
    <row r="114" spans="1:6" ht="13" thickBot="1" x14ac:dyDescent="0.3">
      <c r="A114" s="615" t="s">
        <v>1249</v>
      </c>
      <c r="B114" s="862" t="e">
        <f>B111*B107/2000</f>
        <v>#DIV/0!</v>
      </c>
      <c r="C114" s="856" t="s">
        <v>1217</v>
      </c>
      <c r="D114" s="545"/>
      <c r="E114" s="545"/>
      <c r="F114" s="545"/>
    </row>
    <row r="116" spans="1:6" ht="13" thickBot="1" x14ac:dyDescent="0.3">
      <c r="A116" s="545"/>
      <c r="B116" s="545"/>
      <c r="C116" s="545"/>
      <c r="D116" s="545"/>
      <c r="E116" s="545"/>
      <c r="F116" s="545"/>
    </row>
    <row r="117" spans="1:6" ht="13" x14ac:dyDescent="0.3">
      <c r="A117" s="122" t="s">
        <v>1250</v>
      </c>
      <c r="B117" s="847"/>
      <c r="C117" s="847"/>
      <c r="D117" s="848"/>
      <c r="E117" s="545"/>
      <c r="F117" s="545"/>
    </row>
    <row r="118" spans="1:6" x14ac:dyDescent="0.25">
      <c r="A118" s="211" t="s">
        <v>1251</v>
      </c>
      <c r="B118" s="783">
        <f>coolinput3</f>
        <v>0</v>
      </c>
      <c r="C118" s="783" t="e">
        <f>LOOKUP(B118,lista9a,lista9e)</f>
        <v>#N/A</v>
      </c>
      <c r="D118" s="239"/>
      <c r="E118" s="545"/>
      <c r="F118" s="545"/>
    </row>
    <row r="119" spans="1:6" x14ac:dyDescent="0.25">
      <c r="A119" s="211" t="s">
        <v>1252</v>
      </c>
      <c r="B119" s="859">
        <f>IF(chpheatcoolboth=3,IF(coolhours&gt;0,coolhours,coolpercent*chours),IF(chpheatcoolboth=2,IF(coolhours&gt;0,coolhours,coolpercent*chours),0))</f>
        <v>0</v>
      </c>
      <c r="C119" s="783" t="s">
        <v>1253</v>
      </c>
      <c r="D119" s="239"/>
      <c r="E119" s="545"/>
      <c r="F119" s="545"/>
    </row>
    <row r="120" spans="1:6" x14ac:dyDescent="0.25">
      <c r="A120" s="211" t="s">
        <v>1254</v>
      </c>
      <c r="B120" s="238">
        <f>IF(chpphinput&gt;0,chpnumunits*(ccap*3.412/(chpphinput*1000)+B105),0)</f>
        <v>0</v>
      </c>
      <c r="C120" s="783" t="s">
        <v>42</v>
      </c>
      <c r="D120" s="239"/>
      <c r="E120" s="545"/>
      <c r="F120" s="545"/>
    </row>
    <row r="121" spans="1:6" x14ac:dyDescent="0.25">
      <c r="A121" s="211" t="s">
        <v>1255</v>
      </c>
      <c r="B121" s="808">
        <f>(coolavailablemmbturaw*1000000/coolbtuton)</f>
        <v>0</v>
      </c>
      <c r="C121" s="783" t="s">
        <v>1256</v>
      </c>
      <c r="D121" s="239"/>
      <c r="E121" s="545"/>
      <c r="F121" s="545"/>
    </row>
    <row r="122" spans="1:6" x14ac:dyDescent="0.25">
      <c r="A122" s="211" t="s">
        <v>1257</v>
      </c>
      <c r="B122" s="850">
        <f>ROUNDDOWN(coolavailablemmbturaw*1000000/coolbtuton,1)</f>
        <v>0</v>
      </c>
      <c r="C122" s="783" t="s">
        <v>1256</v>
      </c>
      <c r="D122" s="239"/>
      <c r="E122" s="545"/>
      <c r="F122" s="545"/>
    </row>
    <row r="123" spans="1:6" x14ac:dyDescent="0.25">
      <c r="A123" s="211" t="s">
        <v>1255</v>
      </c>
      <c r="B123" s="808">
        <f>(B120*coolinput3a)</f>
        <v>0</v>
      </c>
      <c r="C123" s="783" t="s">
        <v>1258</v>
      </c>
      <c r="D123" s="239"/>
      <c r="E123" s="545"/>
      <c r="F123" s="545"/>
    </row>
    <row r="124" spans="1:6" x14ac:dyDescent="0.25">
      <c r="A124" s="211" t="s">
        <v>1257</v>
      </c>
      <c r="B124" s="863">
        <f>ROUNDDOWN(B120*coolinput3a,1)</f>
        <v>0</v>
      </c>
      <c r="C124" s="783" t="s">
        <v>1258</v>
      </c>
      <c r="D124" s="239"/>
      <c r="E124" s="545"/>
      <c r="F124" s="545"/>
    </row>
    <row r="125" spans="1:6" x14ac:dyDescent="0.25">
      <c r="A125" s="211"/>
      <c r="B125" s="850"/>
      <c r="C125" s="783"/>
      <c r="D125" s="239"/>
      <c r="E125" s="545"/>
      <c r="F125" s="545"/>
    </row>
    <row r="126" spans="1:6" x14ac:dyDescent="0.25">
      <c r="A126" s="211" t="s">
        <v>1259</v>
      </c>
      <c r="B126" s="850">
        <f>coolinput3a</f>
        <v>0</v>
      </c>
      <c r="C126" s="783" t="s">
        <v>1260</v>
      </c>
      <c r="D126" s="239"/>
      <c r="E126" s="545"/>
      <c r="F126" s="545"/>
    </row>
    <row r="127" spans="1:6" x14ac:dyDescent="0.25">
      <c r="A127" s="211" t="s">
        <v>1250</v>
      </c>
      <c r="B127" s="783">
        <f>IF(coolinput2a&gt;0,coolinput2a*12000/1000000,coolinput2b)</f>
        <v>0</v>
      </c>
      <c r="C127" s="783" t="s">
        <v>42</v>
      </c>
      <c r="D127" s="239"/>
      <c r="E127" s="545"/>
      <c r="F127" s="545"/>
    </row>
    <row r="128" spans="1:6" x14ac:dyDescent="0.25">
      <c r="A128" s="211" t="s">
        <v>1261</v>
      </c>
      <c r="B128" s="861">
        <f>IF(B126&gt;0,B127/B126,0)</f>
        <v>0</v>
      </c>
      <c r="C128" s="783" t="s">
        <v>42</v>
      </c>
      <c r="D128" s="239"/>
      <c r="E128" s="545"/>
      <c r="F128" s="545"/>
    </row>
    <row r="129" spans="1:4" x14ac:dyDescent="0.25">
      <c r="A129" s="211" t="s">
        <v>1261</v>
      </c>
      <c r="B129" s="861">
        <f>B128*B119</f>
        <v>0</v>
      </c>
      <c r="C129" s="783" t="s">
        <v>144</v>
      </c>
      <c r="D129" s="239"/>
    </row>
    <row r="130" spans="1:4" x14ac:dyDescent="0.25">
      <c r="A130" s="211" t="s">
        <v>1262</v>
      </c>
      <c r="B130" s="861">
        <f>B119*(B120-B128)</f>
        <v>0</v>
      </c>
      <c r="C130" s="783" t="s">
        <v>144</v>
      </c>
      <c r="D130" s="239"/>
    </row>
    <row r="131" spans="1:4" x14ac:dyDescent="0.25">
      <c r="A131" s="211" t="s">
        <v>1263</v>
      </c>
      <c r="B131" s="861">
        <f>IF(chpheatcoolsimultaneous=2,B130,0)</f>
        <v>0</v>
      </c>
      <c r="C131" s="783" t="s">
        <v>144</v>
      </c>
      <c r="D131" s="239"/>
    </row>
    <row r="132" spans="1:4" x14ac:dyDescent="0.25">
      <c r="A132" s="211" t="s">
        <v>1264</v>
      </c>
      <c r="B132" s="861">
        <f>B120*(chours-B119)</f>
        <v>0</v>
      </c>
      <c r="C132" s="783" t="s">
        <v>144</v>
      </c>
      <c r="D132" s="239"/>
    </row>
    <row r="133" spans="1:4" x14ac:dyDescent="0.25">
      <c r="A133" s="211"/>
      <c r="B133" s="783"/>
      <c r="C133" s="783"/>
      <c r="D133" s="239"/>
    </row>
    <row r="134" spans="1:4" x14ac:dyDescent="0.25">
      <c r="A134" s="211" t="s">
        <v>1265</v>
      </c>
      <c r="B134" s="783">
        <f>cooldisp1</f>
        <v>0</v>
      </c>
      <c r="C134" s="783" t="e">
        <f>LOOKUP(B134,listh3a,listh3)</f>
        <v>#N/A</v>
      </c>
      <c r="D134" s="239"/>
    </row>
    <row r="135" spans="1:4" x14ac:dyDescent="0.25">
      <c r="A135" s="211" t="s">
        <v>1266</v>
      </c>
      <c r="B135" s="789">
        <f>IF(cooldisp2&gt;0,3.517/cooldisp2,cooldisp3)</f>
        <v>0</v>
      </c>
      <c r="C135" s="783" t="s">
        <v>1260</v>
      </c>
      <c r="D135" s="239"/>
    </row>
    <row r="136" spans="1:4" x14ac:dyDescent="0.25">
      <c r="A136" s="211" t="s">
        <v>1267</v>
      </c>
      <c r="B136" s="861">
        <f>IF(B135&gt;0,B127/B135,0)</f>
        <v>0</v>
      </c>
      <c r="C136" s="783" t="s">
        <v>42</v>
      </c>
      <c r="D136" s="239"/>
    </row>
    <row r="137" spans="1:4" x14ac:dyDescent="0.25">
      <c r="A137" s="211" t="s">
        <v>1267</v>
      </c>
      <c r="B137" s="861">
        <f>B136/3.412</f>
        <v>0</v>
      </c>
      <c r="C137" s="783" t="s">
        <v>1268</v>
      </c>
      <c r="D137" s="239"/>
    </row>
    <row r="138" spans="1:4" x14ac:dyDescent="0.25">
      <c r="A138" s="211" t="s">
        <v>1267</v>
      </c>
      <c r="B138" s="839">
        <f>B137*B119*thermutil</f>
        <v>0</v>
      </c>
      <c r="C138" s="783" t="s">
        <v>148</v>
      </c>
      <c r="D138" s="239"/>
    </row>
    <row r="139" spans="1:4" ht="13" thickBot="1" x14ac:dyDescent="0.3">
      <c r="A139" s="615"/>
      <c r="B139" s="813"/>
      <c r="C139" s="813"/>
      <c r="D139" s="856"/>
    </row>
    <row r="141" spans="1:4" ht="13" thickBot="1" x14ac:dyDescent="0.3">
      <c r="A141" s="545"/>
      <c r="B141" s="545"/>
      <c r="C141" s="545"/>
      <c r="D141" s="545"/>
    </row>
    <row r="142" spans="1:4" ht="13" x14ac:dyDescent="0.3">
      <c r="A142" s="122" t="s">
        <v>1269</v>
      </c>
      <c r="B142" s="847"/>
      <c r="C142" s="848"/>
      <c r="D142" s="545"/>
    </row>
    <row r="143" spans="1:4" x14ac:dyDescent="0.25">
      <c r="A143" s="211" t="s">
        <v>1270</v>
      </c>
      <c r="B143" s="783">
        <f>deinput1</f>
        <v>1</v>
      </c>
      <c r="C143" s="239" t="str">
        <f>LOOKUP(B143,listb5a,listb5)</f>
        <v>AVERT Uniform EE Factors (2022 Data)</v>
      </c>
      <c r="D143" s="545"/>
    </row>
    <row r="144" spans="1:4" x14ac:dyDescent="0.25">
      <c r="A144" s="211" t="s">
        <v>1271</v>
      </c>
      <c r="B144" s="783">
        <f>deinput2</f>
        <v>1</v>
      </c>
      <c r="C144" s="239" t="str">
        <f ca="1">LOOKUP(deinput2,listb6a,listb6)</f>
        <v>AVERT - National Average</v>
      </c>
      <c r="D144" s="545"/>
    </row>
    <row r="145" spans="1:6" x14ac:dyDescent="0.25">
      <c r="A145" s="211" t="s">
        <v>1272</v>
      </c>
      <c r="B145" s="789">
        <f>Profiles!C4</f>
        <v>0.7</v>
      </c>
      <c r="C145" s="239" t="s">
        <v>1212</v>
      </c>
      <c r="D145" s="545" t="s">
        <v>1273</v>
      </c>
      <c r="E145" s="809">
        <f>Profiles!G4</f>
        <v>8.5000000000000006E-2</v>
      </c>
      <c r="F145" s="545" t="s">
        <v>1212</v>
      </c>
    </row>
    <row r="146" spans="1:6" x14ac:dyDescent="0.25">
      <c r="A146" s="211" t="s">
        <v>1274</v>
      </c>
      <c r="B146" s="854">
        <f>Profiles!C5</f>
        <v>0.67</v>
      </c>
      <c r="C146" s="239" t="s">
        <v>1212</v>
      </c>
      <c r="D146" s="545" t="s">
        <v>1275</v>
      </c>
      <c r="E146" s="809">
        <f>Profiles!G5</f>
        <v>1.2E-2</v>
      </c>
      <c r="F146" s="545" t="s">
        <v>1212</v>
      </c>
    </row>
    <row r="147" spans="1:6" x14ac:dyDescent="0.25">
      <c r="A147" s="211" t="s">
        <v>1276</v>
      </c>
      <c r="B147" s="238">
        <f>Profiles!C6</f>
        <v>1438</v>
      </c>
      <c r="C147" s="239" t="s">
        <v>1212</v>
      </c>
      <c r="D147" s="545"/>
      <c r="E147" s="783"/>
      <c r="F147" s="545"/>
    </row>
    <row r="148" spans="1:6" x14ac:dyDescent="0.25">
      <c r="A148" s="211" t="s">
        <v>1277</v>
      </c>
      <c r="B148" s="238">
        <f>Profiles!C7</f>
        <v>8934</v>
      </c>
      <c r="C148" s="239" t="s">
        <v>229</v>
      </c>
      <c r="D148" s="545"/>
      <c r="E148" s="783"/>
      <c r="F148" s="545"/>
    </row>
    <row r="149" spans="1:6" x14ac:dyDescent="0.25">
      <c r="A149" s="211" t="s">
        <v>1278</v>
      </c>
      <c r="B149" s="784">
        <f>cMWh</f>
        <v>0</v>
      </c>
      <c r="C149" s="239" t="s">
        <v>1279</v>
      </c>
      <c r="D149" s="545"/>
      <c r="E149" s="839"/>
      <c r="F149" s="545"/>
    </row>
    <row r="150" spans="1:6" x14ac:dyDescent="0.25">
      <c r="A150" s="211" t="s">
        <v>1280</v>
      </c>
      <c r="B150" s="238">
        <f>B138/chpnumunits</f>
        <v>0</v>
      </c>
      <c r="C150" s="239" t="s">
        <v>1279</v>
      </c>
      <c r="D150" s="545"/>
      <c r="E150" s="839"/>
      <c r="F150" s="545"/>
    </row>
    <row r="151" spans="1:6" x14ac:dyDescent="0.25">
      <c r="A151" s="211" t="s">
        <v>1281</v>
      </c>
      <c r="B151" s="238">
        <f>B192</f>
        <v>0</v>
      </c>
      <c r="C151" s="239" t="s">
        <v>1279</v>
      </c>
      <c r="D151" s="545"/>
      <c r="E151" s="839"/>
      <c r="F151" s="545"/>
    </row>
    <row r="152" spans="1:6" x14ac:dyDescent="0.25">
      <c r="A152" s="211" t="s">
        <v>175</v>
      </c>
      <c r="B152" s="864">
        <f>lossinput</f>
        <v>0</v>
      </c>
      <c r="C152" s="239"/>
      <c r="D152" s="545"/>
      <c r="E152" s="783"/>
      <c r="F152" s="545"/>
    </row>
    <row r="153" spans="1:6" x14ac:dyDescent="0.25">
      <c r="A153" s="211" t="s">
        <v>175</v>
      </c>
      <c r="B153" s="238">
        <f>(B149+B150+B151)*B152</f>
        <v>0</v>
      </c>
      <c r="C153" s="239" t="s">
        <v>1279</v>
      </c>
      <c r="D153" s="545"/>
      <c r="E153" s="839"/>
      <c r="F153" s="545"/>
    </row>
    <row r="154" spans="1:6" x14ac:dyDescent="0.25">
      <c r="A154" s="210" t="s">
        <v>1282</v>
      </c>
      <c r="B154" s="865">
        <f>B149+B150+B151+B153</f>
        <v>0</v>
      </c>
      <c r="C154" s="240" t="s">
        <v>1279</v>
      </c>
      <c r="D154" s="545"/>
      <c r="E154" s="839"/>
      <c r="F154" s="545"/>
    </row>
    <row r="155" spans="1:6" x14ac:dyDescent="0.25">
      <c r="A155" s="210" t="s">
        <v>1283</v>
      </c>
      <c r="B155" s="865">
        <f>dispgridelec</f>
        <v>0</v>
      </c>
      <c r="C155" s="240" t="s">
        <v>1284</v>
      </c>
      <c r="D155" s="545"/>
      <c r="E155" s="839"/>
      <c r="F155" s="545"/>
    </row>
    <row r="156" spans="1:6" x14ac:dyDescent="0.25">
      <c r="A156" s="211" t="s">
        <v>1285</v>
      </c>
      <c r="B156" s="861">
        <f>denoxrate*B154/2000</f>
        <v>0</v>
      </c>
      <c r="C156" s="239" t="s">
        <v>1286</v>
      </c>
      <c r="D156" s="545" t="s">
        <v>1287</v>
      </c>
      <c r="E156" s="861">
        <f>dech4rate*B154/2000</f>
        <v>0</v>
      </c>
      <c r="F156" s="866" t="s">
        <v>1286</v>
      </c>
    </row>
    <row r="157" spans="1:6" x14ac:dyDescent="0.25">
      <c r="A157" s="211" t="s">
        <v>1288</v>
      </c>
      <c r="B157" s="861">
        <f>deso2rate*B154/2000</f>
        <v>0</v>
      </c>
      <c r="C157" s="239" t="s">
        <v>1286</v>
      </c>
      <c r="D157" s="545" t="s">
        <v>1289</v>
      </c>
      <c r="E157" s="861">
        <f>den2orate*B154/2000</f>
        <v>0</v>
      </c>
      <c r="F157" s="866" t="s">
        <v>1286</v>
      </c>
    </row>
    <row r="158" spans="1:6" x14ac:dyDescent="0.25">
      <c r="A158" s="211" t="s">
        <v>1290</v>
      </c>
      <c r="B158" s="238">
        <f>deco2rate*B154/2000</f>
        <v>0</v>
      </c>
      <c r="C158" s="239" t="s">
        <v>1286</v>
      </c>
      <c r="D158" s="545"/>
      <c r="E158" s="545"/>
      <c r="F158" s="545"/>
    </row>
    <row r="159" spans="1:6" ht="13" thickBot="1" x14ac:dyDescent="0.3">
      <c r="A159" s="615" t="s">
        <v>1291</v>
      </c>
      <c r="B159" s="840">
        <f>deheatrate*B154/1000</f>
        <v>0</v>
      </c>
      <c r="C159" s="856" t="s">
        <v>1292</v>
      </c>
      <c r="D159" s="545"/>
      <c r="E159" s="545"/>
      <c r="F159" s="545"/>
    </row>
    <row r="161" spans="1:4" ht="13" thickBot="1" x14ac:dyDescent="0.3">
      <c r="A161" s="545"/>
      <c r="B161" s="545"/>
      <c r="C161" s="545"/>
      <c r="D161" s="545"/>
    </row>
    <row r="162" spans="1:4" ht="13" x14ac:dyDescent="0.3">
      <c r="A162" s="122" t="s">
        <v>1293</v>
      </c>
      <c r="B162" s="847"/>
      <c r="C162" s="848"/>
      <c r="D162" s="545"/>
    </row>
    <row r="163" spans="1:4" x14ac:dyDescent="0.25">
      <c r="A163" s="211" t="s">
        <v>1294</v>
      </c>
      <c r="B163" s="849">
        <f>thermutil</f>
        <v>0</v>
      </c>
      <c r="C163" s="239"/>
      <c r="D163" s="545"/>
    </row>
    <row r="164" spans="1:4" x14ac:dyDescent="0.25">
      <c r="A164" s="211" t="s">
        <v>1295</v>
      </c>
      <c r="B164" s="861">
        <f>IF(chpphinput=0,0,IF(chptechinput=9,0,IF(chpphinput&gt;0,chpphinput,B60/B100)))</f>
        <v>0</v>
      </c>
      <c r="C164" s="239"/>
      <c r="D164" s="545"/>
    </row>
    <row r="165" spans="1:4" x14ac:dyDescent="0.25">
      <c r="A165" s="211" t="s">
        <v>1296</v>
      </c>
      <c r="B165" s="238">
        <f>IF(chptechinput=6,B101/boilereff,IF(chpphinput=0,0,IF(chptechinput=9,0,chpnumunits*(cMWh*3.412/(B164)))))</f>
        <v>0</v>
      </c>
      <c r="C165" s="239" t="s">
        <v>65</v>
      </c>
      <c r="D165" s="545"/>
    </row>
    <row r="166" spans="1:4" x14ac:dyDescent="0.25">
      <c r="A166" s="211" t="s">
        <v>1297</v>
      </c>
      <c r="B166" s="238">
        <f>chpnumunits*B107</f>
        <v>0</v>
      </c>
      <c r="C166" s="239" t="s">
        <v>65</v>
      </c>
      <c r="D166" s="545"/>
    </row>
    <row r="167" spans="1:4" x14ac:dyDescent="0.25">
      <c r="A167" s="211" t="s">
        <v>1298</v>
      </c>
      <c r="B167" s="238">
        <f>B129</f>
        <v>0</v>
      </c>
      <c r="C167" s="239" t="s">
        <v>65</v>
      </c>
      <c r="D167" s="545"/>
    </row>
    <row r="168" spans="1:4" x14ac:dyDescent="0.25">
      <c r="A168" s="211" t="s">
        <v>1299</v>
      </c>
      <c r="B168" s="238">
        <f>B131</f>
        <v>0</v>
      </c>
      <c r="C168" s="239" t="s">
        <v>65</v>
      </c>
      <c r="D168" s="545"/>
    </row>
    <row r="169" spans="1:4" x14ac:dyDescent="0.25">
      <c r="A169" s="211" t="s">
        <v>1300</v>
      </c>
      <c r="B169" s="238">
        <f>IF(chpheatcoolboth&lt;&gt;2,B165+B166-B167-B168,0)</f>
        <v>0</v>
      </c>
      <c r="C169" s="239" t="s">
        <v>65</v>
      </c>
      <c r="D169" s="545"/>
    </row>
    <row r="170" spans="1:4" x14ac:dyDescent="0.25">
      <c r="A170" s="211" t="s">
        <v>1301</v>
      </c>
      <c r="B170" s="867" t="b">
        <f>IF(whptherminput&gt;0,whptherminput*chours)</f>
        <v>0</v>
      </c>
      <c r="C170" s="239" t="s">
        <v>65</v>
      </c>
      <c r="D170" s="868">
        <f>MAX(B169:B170)*B163</f>
        <v>0</v>
      </c>
    </row>
    <row r="171" spans="1:4" x14ac:dyDescent="0.25">
      <c r="A171" s="211" t="s">
        <v>1302</v>
      </c>
      <c r="B171" s="783">
        <f>stminput1</f>
        <v>0</v>
      </c>
      <c r="C171" s="239" t="str">
        <f>IF(stminput1&gt;0,LOOKUP(stminput1,listd2a,listd2)," ")</f>
        <v xml:space="preserve"> </v>
      </c>
      <c r="D171" s="545"/>
    </row>
    <row r="172" spans="1:4" x14ac:dyDescent="0.25">
      <c r="A172" s="211" t="s">
        <v>1303</v>
      </c>
      <c r="B172" s="869">
        <f>stmsulfurinput1</f>
        <v>0</v>
      </c>
      <c r="C172" s="239"/>
      <c r="D172" s="545"/>
    </row>
    <row r="173" spans="1:4" x14ac:dyDescent="0.25">
      <c r="A173" s="211" t="s">
        <v>1304</v>
      </c>
      <c r="B173" s="238">
        <f>stmsulfurinput2</f>
        <v>0</v>
      </c>
      <c r="C173" s="239"/>
      <c r="D173" s="545"/>
    </row>
    <row r="174" spans="1:4" x14ac:dyDescent="0.25">
      <c r="A174" s="211" t="s">
        <v>1305</v>
      </c>
      <c r="B174" s="870">
        <f>IF(B172&gt;0,B172,IF(B173&gt;0,B173/1000000,IF(stminput1&gt;0,STMTech!E4,0)))</f>
        <v>0</v>
      </c>
      <c r="C174" s="239"/>
      <c r="D174" s="545"/>
    </row>
    <row r="175" spans="1:4" x14ac:dyDescent="0.25">
      <c r="A175" s="211" t="s">
        <v>1306</v>
      </c>
      <c r="B175" s="849">
        <f>stmeff</f>
        <v>0</v>
      </c>
      <c r="C175" s="239"/>
      <c r="D175" s="545"/>
    </row>
    <row r="176" spans="1:4" x14ac:dyDescent="0.25">
      <c r="A176" s="210" t="s">
        <v>1307</v>
      </c>
      <c r="B176" s="865">
        <f>IF(dispboilerfuel&gt;0,dispboilerfuel,IF(D170&gt;0,IF(B175&gt;0,D170/B175,0),0))</f>
        <v>0</v>
      </c>
      <c r="C176" s="240" t="s">
        <v>144</v>
      </c>
      <c r="D176" s="545"/>
    </row>
    <row r="177" spans="1:6" x14ac:dyDescent="0.25">
      <c r="A177" s="210" t="s">
        <v>1308</v>
      </c>
      <c r="B177" s="241" t="e">
        <f>(chpnumunits*(IF(B119&gt;0,((chours-IF(chpheatcoolsimultaneous=1,MAX(coolinput2a/coolavailabletons,coolinput2b/coolavailableMMBtu),1)*B119)/chours),1)*cMWh*3.412/(B164)/B175))</f>
        <v>#DIV/0!</v>
      </c>
      <c r="C177" s="240" t="s">
        <v>144</v>
      </c>
      <c r="D177" s="545"/>
      <c r="E177" s="545"/>
      <c r="F177" s="545"/>
    </row>
    <row r="178" spans="1:6" x14ac:dyDescent="0.25">
      <c r="A178" s="211" t="s">
        <v>1309</v>
      </c>
      <c r="B178" s="238">
        <f>IF(stmheatinput1&gt;0,stmheatinput1,IF(stmheatinput2&gt;0,stmheatinput2,IF(stmheatinput3&gt;0,stmheatinput3,0)))</f>
        <v>0</v>
      </c>
      <c r="C178" s="239" t="str">
        <f>IF(stmheatinput1&gt;0,"Btu/cf",IF(stmheatinput2&gt;0,"Btu/gallon",IF(stmheatinput3&gt;0,"Btu/lb"," ")))</f>
        <v xml:space="preserve"> </v>
      </c>
      <c r="D178" s="545"/>
      <c r="E178" s="545"/>
      <c r="F178" s="545"/>
    </row>
    <row r="179" spans="1:6" x14ac:dyDescent="0.25">
      <c r="A179" s="211" t="s">
        <v>1310</v>
      </c>
      <c r="B179" s="238">
        <f>IF(stmheatinput1&gt;0,stmheatinput1/ngdensity,IF(stmheatinput2&gt;0,stmheatinput2/distdensity,IF(stmheatinput3&gt;0,stmheatinput3,0)))</f>
        <v>0</v>
      </c>
      <c r="C179" s="239" t="s">
        <v>214</v>
      </c>
      <c r="D179" s="545"/>
      <c r="E179" s="545"/>
      <c r="F179" s="545"/>
    </row>
    <row r="180" spans="1:6" x14ac:dyDescent="0.25">
      <c r="A180" s="211" t="s">
        <v>1311</v>
      </c>
      <c r="B180" s="839">
        <f>IF(B179&gt;0,dsbtu*1000000/(B179*2000),0)</f>
        <v>0</v>
      </c>
      <c r="C180" s="239" t="s">
        <v>1217</v>
      </c>
      <c r="D180" s="545"/>
      <c r="E180" s="545"/>
      <c r="F180" s="545"/>
    </row>
    <row r="181" spans="1:6" x14ac:dyDescent="0.25">
      <c r="A181" s="211" t="s">
        <v>1312</v>
      </c>
      <c r="B181" s="238">
        <f>B174*B180*2</f>
        <v>0</v>
      </c>
      <c r="C181" s="239" t="s">
        <v>1217</v>
      </c>
      <c r="D181" s="545"/>
      <c r="E181" s="871"/>
      <c r="F181" s="545"/>
    </row>
    <row r="182" spans="1:6" x14ac:dyDescent="0.25">
      <c r="A182" s="211" t="s">
        <v>1313</v>
      </c>
      <c r="B182" s="861">
        <f>IF(stmnoxinput&gt;0,stmnoxinput,IF(stminput1&lt;&gt;0,STMTech!D4,0))</f>
        <v>0</v>
      </c>
      <c r="C182" s="239" t="s">
        <v>95</v>
      </c>
      <c r="D182" s="545" t="s">
        <v>1314</v>
      </c>
      <c r="E182" s="783">
        <f>IF(stminput1&lt;&gt;0,STMTech!J4,0)</f>
        <v>0</v>
      </c>
      <c r="F182" s="545" t="s">
        <v>95</v>
      </c>
    </row>
    <row r="183" spans="1:6" x14ac:dyDescent="0.25">
      <c r="A183" s="211" t="s">
        <v>1315</v>
      </c>
      <c r="B183" s="789">
        <f>B182*dsbtu/2000</f>
        <v>0</v>
      </c>
      <c r="C183" s="239" t="s">
        <v>1217</v>
      </c>
      <c r="D183" s="545" t="s">
        <v>1316</v>
      </c>
      <c r="E183" s="783">
        <f>E182*dsbtu/2000</f>
        <v>0</v>
      </c>
      <c r="F183" s="545" t="s">
        <v>1217</v>
      </c>
    </row>
    <row r="184" spans="1:6" x14ac:dyDescent="0.25">
      <c r="A184" s="211" t="s">
        <v>1317</v>
      </c>
      <c r="B184" s="789">
        <f>IF(stmco2input&gt;0,stmco2input,IF(stminput1&lt;&gt;0,STMTech!G4,0))</f>
        <v>0</v>
      </c>
      <c r="C184" s="239" t="s">
        <v>95</v>
      </c>
      <c r="D184" s="545" t="s">
        <v>1318</v>
      </c>
      <c r="E184" s="783">
        <f>IF(stminput1&lt;&gt;0,STMTech!K4,0)</f>
        <v>0</v>
      </c>
      <c r="F184" s="545" t="s">
        <v>95</v>
      </c>
    </row>
    <row r="185" spans="1:6" ht="13" thickBot="1" x14ac:dyDescent="0.3">
      <c r="A185" s="615" t="s">
        <v>1319</v>
      </c>
      <c r="B185" s="840">
        <f>B184*dsbtu/2000</f>
        <v>0</v>
      </c>
      <c r="C185" s="856" t="s">
        <v>1217</v>
      </c>
      <c r="D185" s="545" t="s">
        <v>1320</v>
      </c>
      <c r="E185" s="783">
        <f>E184*dsbtu/2000</f>
        <v>0</v>
      </c>
      <c r="F185" s="545" t="s">
        <v>1217</v>
      </c>
    </row>
    <row r="186" spans="1:6" ht="13" thickBot="1" x14ac:dyDescent="0.3">
      <c r="A186" s="545"/>
      <c r="B186" s="545"/>
      <c r="C186" s="545"/>
      <c r="D186" s="545"/>
      <c r="E186" s="545"/>
      <c r="F186" s="545"/>
    </row>
    <row r="187" spans="1:6" ht="13" x14ac:dyDescent="0.3">
      <c r="A187" s="122" t="s">
        <v>1321</v>
      </c>
      <c r="B187" s="847"/>
      <c r="C187" s="872"/>
      <c r="D187" s="545"/>
      <c r="E187" s="545"/>
      <c r="F187" s="545"/>
    </row>
    <row r="188" spans="1:6" x14ac:dyDescent="0.25">
      <c r="A188" s="211" t="s">
        <v>1300</v>
      </c>
      <c r="B188" s="859">
        <f>IF(stminput1=9,D170,0)</f>
        <v>0</v>
      </c>
      <c r="C188" s="866" t="s">
        <v>144</v>
      </c>
      <c r="D188" s="545"/>
      <c r="E188" s="545"/>
      <c r="F188" s="545"/>
    </row>
    <row r="189" spans="1:6" x14ac:dyDescent="0.25">
      <c r="A189" s="211" t="s">
        <v>1322</v>
      </c>
      <c r="B189" s="783">
        <f>stmeff</f>
        <v>0</v>
      </c>
      <c r="C189" s="866"/>
      <c r="D189" s="545"/>
      <c r="E189" s="545"/>
      <c r="F189" s="545"/>
    </row>
    <row r="190" spans="1:6" x14ac:dyDescent="0.25">
      <c r="A190" s="211"/>
      <c r="B190" s="861">
        <f>IF(B188&gt;0,B188/B189/chours,0)</f>
        <v>0</v>
      </c>
      <c r="C190" s="866" t="s">
        <v>42</v>
      </c>
      <c r="D190" s="545"/>
      <c r="E190" s="545"/>
      <c r="F190" s="545"/>
    </row>
    <row r="191" spans="1:6" x14ac:dyDescent="0.25">
      <c r="A191" s="211" t="s">
        <v>1323</v>
      </c>
      <c r="B191" s="861">
        <f>B190/3.412</f>
        <v>0</v>
      </c>
      <c r="C191" s="866" t="s">
        <v>1268</v>
      </c>
      <c r="D191" s="545"/>
      <c r="E191" s="545"/>
      <c r="F191" s="545"/>
    </row>
    <row r="192" spans="1:6" ht="13" thickBot="1" x14ac:dyDescent="0.3">
      <c r="A192" s="615" t="s">
        <v>1323</v>
      </c>
      <c r="B192" s="862">
        <f>B191*chours</f>
        <v>0</v>
      </c>
      <c r="C192" s="873" t="s">
        <v>148</v>
      </c>
      <c r="D192" s="545"/>
      <c r="E192" s="545"/>
      <c r="F192" s="545"/>
    </row>
  </sheetData>
  <sheetProtection algorithmName="SHA-512" hashValue="LhS9tivX6wqy736dVw/54NbJWQibKidmVIdHEKi9cAmTfbUXIXzO27329Nw0o9TcW2VBzpCvIERldcE40Lj1Rg==" saltValue="WibiY4yPynzs5bjPl4q7eA==" spinCount="100000" sheet="1" objects="1" scenarios="1"/>
  <phoneticPr fontId="18" type="noConversion"/>
  <printOptions gridLines="1"/>
  <pageMargins left="0.75" right="0.75" top="1" bottom="1" header="0.5" footer="0.5"/>
  <pageSetup scale="64" fitToHeight="0" orientation="portrait" r:id="rId1"/>
  <headerFooter alignWithMargins="0">
    <oddFooter>&amp;L&amp;F, &amp;A&amp;R&amp;D</oddFooter>
  </headerFooter>
  <ignoredErrors>
    <ignoredError sqref="B5:D5 B8:D11 D6:D7 B48:D48 B12 D12:D19 D20:D47 B50:D50 B49 D49 B65:D65 D52:D64 B102:D109 C66:D101 B115:D117 C110:D114 B119:D120 B118 D118 B133:D133 C132:D132 B135:D135 B134 D134 B160:D164 C149:D159 B186:D191 C177:D185 E182:E183 C192:D192 E185 B51:B52 C51:D51 B100:B101 B166:D166 B96 E145:E146 E156:E157 C176:D176 B171:D175 B170:C170 B139:D148 C138:D138 C137:D137 C136:D136 B129:D131 C128:D128 C127:D127 B168:D168 C167:D167 C169:D169 C165:D165 B122:D126 C121:D121" unlockedFormula="1"/>
    <ignoredError sqref="B7:C7 C6 C12 B13:B19 B20:C29 C13:C19 F35:F46 C49 B53:C64 B66:B95 B110:B114 C118 B132 C134 B149:B153 B177:B183 B185 B192 C52 B97:B99 F17:F18 F22:F23 E87:E88 B155:B159 B31:C47 C30" evalError="1" unlockedFormula="1"/>
    <ignoredError sqref="B6 B184" evalError="1" formula="1" unlockedFormula="1"/>
    <ignoredError sqref="F19:F21" evalError="1"/>
    <ignoredError sqref="E184" formula="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a6a9aea-fb0f-4ddd-aff8-712634b7d5fe" xsi:nil="true"/>
    <lcf76f155ced4ddcb4097134ff3c332f xmlns="6e4dd1ac-fb92-48a9-9c08-e0f8aa2e21c5">
      <Terms xmlns="http://schemas.microsoft.com/office/infopath/2007/PartnerControls"/>
    </lcf76f155ced4ddcb4097134ff3c332f>
    <SharedWithUsers xmlns="d5b246bb-b4f2-488c-be94-ef73d717d87a">
      <UserInfo>
        <DisplayName>Jones, David</DisplayName>
        <AccountId>6</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C61D0F79A20B943AE59D3ECFC4FFBFC" ma:contentTypeVersion="17" ma:contentTypeDescription="Create a new document." ma:contentTypeScope="" ma:versionID="82229fe51686dcaceef9ab2f4f515b02">
  <xsd:schema xmlns:xsd="http://www.w3.org/2001/XMLSchema" xmlns:xs="http://www.w3.org/2001/XMLSchema" xmlns:p="http://schemas.microsoft.com/office/2006/metadata/properties" xmlns:ns2="6e4dd1ac-fb92-48a9-9c08-e0f8aa2e21c5" xmlns:ns3="d5b246bb-b4f2-488c-be94-ef73d717d87a" xmlns:ns4="fa6a9aea-fb0f-4ddd-aff8-712634b7d5fe" targetNamespace="http://schemas.microsoft.com/office/2006/metadata/properties" ma:root="true" ma:fieldsID="3a528ab317436312f8e3a255a8e4d63b" ns2:_="" ns3:_="" ns4:_="">
    <xsd:import namespace="6e4dd1ac-fb92-48a9-9c08-e0f8aa2e21c5"/>
    <xsd:import namespace="d5b246bb-b4f2-488c-be94-ef73d717d87a"/>
    <xsd:import namespace="fa6a9aea-fb0f-4ddd-aff8-712634b7d5f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AutoTags" minOccurs="0"/>
                <xsd:element ref="ns3:SharedWithUsers" minOccurs="0"/>
                <xsd:element ref="ns3:SharedWithDetails"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2:MediaLengthInSeconds"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4dd1ac-fb92-48a9-9c08-e0f8aa2e21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6856f2ee-118d-42e8-91de-064c9a66b68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5b246bb-b4f2-488c-be94-ef73d717d87a"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a6a9aea-fb0f-4ddd-aff8-712634b7d5f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6a283aa0-209c-4258-8158-fe5cf197b20f}" ma:internalName="TaxCatchAll" ma:showField="CatchAllData" ma:web="d5b246bb-b4f2-488c-be94-ef73d717d8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C3894D-6A08-4576-89AC-C7E3600BAD1A}">
  <ds:schemaRefs>
    <ds:schemaRef ds:uri="http://schemas.microsoft.com/sharepoint/v3/contenttype/forms"/>
  </ds:schemaRefs>
</ds:datastoreItem>
</file>

<file path=customXml/itemProps2.xml><?xml version="1.0" encoding="utf-8"?>
<ds:datastoreItem xmlns:ds="http://schemas.openxmlformats.org/officeDocument/2006/customXml" ds:itemID="{05C6B58C-FF06-49B5-A4A1-F12171BBB19E}">
  <ds:schemaRefs>
    <ds:schemaRef ds:uri="http://schemas.microsoft.com/office/2006/metadata/properties"/>
    <ds:schemaRef ds:uri="http://schemas.microsoft.com/office/infopath/2007/PartnerControls"/>
    <ds:schemaRef ds:uri="fa6a9aea-fb0f-4ddd-aff8-712634b7d5fe"/>
    <ds:schemaRef ds:uri="6e4dd1ac-fb92-48a9-9c08-e0f8aa2e21c5"/>
    <ds:schemaRef ds:uri="d5b246bb-b4f2-488c-be94-ef73d717d87a"/>
  </ds:schemaRefs>
</ds:datastoreItem>
</file>

<file path=customXml/itemProps3.xml><?xml version="1.0" encoding="utf-8"?>
<ds:datastoreItem xmlns:ds="http://schemas.openxmlformats.org/officeDocument/2006/customXml" ds:itemID="{EECA1D61-715B-4BDC-A1EC-7675F5DF64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4dd1ac-fb92-48a9-9c08-e0f8aa2e21c5"/>
    <ds:schemaRef ds:uri="d5b246bb-b4f2-488c-be94-ef73d717d87a"/>
    <ds:schemaRef ds:uri="fa6a9aea-fb0f-4ddd-aff8-712634b7d5f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cf90b97b-be46-4a00-9700-81ce4ff1b7f6}" enabled="0" method="" siteId="{cf90b97b-be46-4a00-9700-81ce4ff1b7f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371</vt:i4>
      </vt:variant>
    </vt:vector>
  </HeadingPairs>
  <TitlesOfParts>
    <vt:vector size="378" baseType="lpstr">
      <vt:lpstr>Getting Started</vt:lpstr>
      <vt:lpstr>Inputs</vt:lpstr>
      <vt:lpstr>Results</vt:lpstr>
      <vt:lpstr>SubThermalCalculator</vt:lpstr>
      <vt:lpstr>SubGenSources</vt:lpstr>
      <vt:lpstr>Biomass and Coal Data</vt:lpstr>
      <vt:lpstr>Maps</vt:lpstr>
      <vt:lpstr>allcheck</vt:lpstr>
      <vt:lpstr>allcheck1</vt:lpstr>
      <vt:lpstr>allcheck10</vt:lpstr>
      <vt:lpstr>allcheck100</vt:lpstr>
      <vt:lpstr>allcheck11</vt:lpstr>
      <vt:lpstr>allcheck12</vt:lpstr>
      <vt:lpstr>allcheck13</vt:lpstr>
      <vt:lpstr>allcheck14</vt:lpstr>
      <vt:lpstr>allcheck15</vt:lpstr>
      <vt:lpstr>allcheck16</vt:lpstr>
      <vt:lpstr>allcheck18</vt:lpstr>
      <vt:lpstr>allcheck19</vt:lpstr>
      <vt:lpstr>allcheck2</vt:lpstr>
      <vt:lpstr>allcheck20</vt:lpstr>
      <vt:lpstr>allcheck21</vt:lpstr>
      <vt:lpstr>allcheck22</vt:lpstr>
      <vt:lpstr>allcheck23</vt:lpstr>
      <vt:lpstr>allcheck24</vt:lpstr>
      <vt:lpstr>allcheck25</vt:lpstr>
      <vt:lpstr>allcheck26</vt:lpstr>
      <vt:lpstr>allcheck27</vt:lpstr>
      <vt:lpstr>allcheck29</vt:lpstr>
      <vt:lpstr>allcheck4</vt:lpstr>
      <vt:lpstr>allcheck5</vt:lpstr>
      <vt:lpstr>allcheck6</vt:lpstr>
      <vt:lpstr>allcheck7</vt:lpstr>
      <vt:lpstr>allcheck8</vt:lpstr>
      <vt:lpstr>allcheck9</vt:lpstr>
      <vt:lpstr>allchecknew</vt:lpstr>
      <vt:lpstr>allchecknote1</vt:lpstr>
      <vt:lpstr>allchecknote2</vt:lpstr>
      <vt:lpstr>avert_lkup</vt:lpstr>
      <vt:lpstr>boilereff</vt:lpstr>
      <vt:lpstr>boilereffdefault</vt:lpstr>
      <vt:lpstr>calcbtu</vt:lpstr>
      <vt:lpstr>calckw</vt:lpstr>
      <vt:lpstr>caphigh</vt:lpstr>
      <vt:lpstr>caplow</vt:lpstr>
      <vt:lpstr>cars</vt:lpstr>
      <vt:lpstr>cbtu</vt:lpstr>
      <vt:lpstr>cbtuperhour</vt:lpstr>
      <vt:lpstr>ccap</vt:lpstr>
      <vt:lpstr>cco2rate</vt:lpstr>
      <vt:lpstr>cco2tons</vt:lpstr>
      <vt:lpstr>cfuel</vt:lpstr>
      <vt:lpstr>ch4coal</vt:lpstr>
      <vt:lpstr>ch4gas</vt:lpstr>
      <vt:lpstr>ch4GWP</vt:lpstr>
      <vt:lpstr>ch4oil</vt:lpstr>
      <vt:lpstr>CH4wood</vt:lpstr>
      <vt:lpstr>chours</vt:lpstr>
      <vt:lpstr>chpcapinput</vt:lpstr>
      <vt:lpstr>chpco2default</vt:lpstr>
      <vt:lpstr>chpduct1</vt:lpstr>
      <vt:lpstr>chpduct1default</vt:lpstr>
      <vt:lpstr>chpduct2</vt:lpstr>
      <vt:lpstr>chpduct2default</vt:lpstr>
      <vt:lpstr>chpduct3</vt:lpstr>
      <vt:lpstr>chpduct4</vt:lpstr>
      <vt:lpstr>chpeffdefault1</vt:lpstr>
      <vt:lpstr>chpeffdefault2</vt:lpstr>
      <vt:lpstr>chpeffdefault3</vt:lpstr>
      <vt:lpstr>chpeffinput1</vt:lpstr>
      <vt:lpstr>chpeffinput2</vt:lpstr>
      <vt:lpstr>chpeffinput3</vt:lpstr>
      <vt:lpstr>chpfuelinput</vt:lpstr>
      <vt:lpstr>chpheatcoolboth</vt:lpstr>
      <vt:lpstr>chpheatcoolsimultaneous</vt:lpstr>
      <vt:lpstr>Profiles!chphoursinput</vt:lpstr>
      <vt:lpstr>chphoursinput</vt:lpstr>
      <vt:lpstr>CHPname</vt:lpstr>
      <vt:lpstr>chpnoxdefault1</vt:lpstr>
      <vt:lpstr>chpnoxdefault2</vt:lpstr>
      <vt:lpstr>chpnoxdefault3</vt:lpstr>
      <vt:lpstr>chpnoxdefault4</vt:lpstr>
      <vt:lpstr>chpnoxgmhphrhigh</vt:lpstr>
      <vt:lpstr>chpnoxgmhphrlow</vt:lpstr>
      <vt:lpstr>chpnoxinput1</vt:lpstr>
      <vt:lpstr>chpnoxinput2</vt:lpstr>
      <vt:lpstr>chpnoxinput3</vt:lpstr>
      <vt:lpstr>chpnoxinput4</vt:lpstr>
      <vt:lpstr>chpnoxlbhigh</vt:lpstr>
      <vt:lpstr>chpnoxlblow</vt:lpstr>
      <vt:lpstr>chpnoxlbmwhhigh</vt:lpstr>
      <vt:lpstr>chpnoxlbmwhlow</vt:lpstr>
      <vt:lpstr>chpnoxppmhigh</vt:lpstr>
      <vt:lpstr>chpnoxppmlow</vt:lpstr>
      <vt:lpstr>chpnumunits</vt:lpstr>
      <vt:lpstr>chpphdefault</vt:lpstr>
      <vt:lpstr>chpphinput</vt:lpstr>
      <vt:lpstr>chpresults</vt:lpstr>
      <vt:lpstr>chpsulfurinput1</vt:lpstr>
      <vt:lpstr>chpsulfurinput2</vt:lpstr>
      <vt:lpstr>chptechcaphigh</vt:lpstr>
      <vt:lpstr>chptechcaplow</vt:lpstr>
      <vt:lpstr>chptechinput</vt:lpstr>
      <vt:lpstr>chr</vt:lpstr>
      <vt:lpstr>cMWh</vt:lpstr>
      <vt:lpstr>cnoxrate</vt:lpstr>
      <vt:lpstr>cnoxtons</vt:lpstr>
      <vt:lpstr>co2coal</vt:lpstr>
      <vt:lpstr>co2gas</vt:lpstr>
      <vt:lpstr>co2input</vt:lpstr>
      <vt:lpstr>co2oil</vt:lpstr>
      <vt:lpstr>co2propane</vt:lpstr>
      <vt:lpstr>co2q</vt:lpstr>
      <vt:lpstr>co2qi</vt:lpstr>
      <vt:lpstr>CO2tocarbon</vt:lpstr>
      <vt:lpstr>co2wood</vt:lpstr>
      <vt:lpstr>coolavailableMMBtu</vt:lpstr>
      <vt:lpstr>coolavailablemmbturaw</vt:lpstr>
      <vt:lpstr>coolavailabletons</vt:lpstr>
      <vt:lpstr>coolavailabletonsraw</vt:lpstr>
      <vt:lpstr>coolbtuton</vt:lpstr>
      <vt:lpstr>cooldisp1</vt:lpstr>
      <vt:lpstr>cooldisp2</vt:lpstr>
      <vt:lpstr>cooldisp3</vt:lpstr>
      <vt:lpstr>cooldoublecop</vt:lpstr>
      <vt:lpstr>coolhours</vt:lpstr>
      <vt:lpstr>coolinput1</vt:lpstr>
      <vt:lpstr>coolinput1a</vt:lpstr>
      <vt:lpstr>coolinput2a</vt:lpstr>
      <vt:lpstr>coolinput2b</vt:lpstr>
      <vt:lpstr>coolinput3</vt:lpstr>
      <vt:lpstr>coolinput3a</vt:lpstr>
      <vt:lpstr>coolpercent</vt:lpstr>
      <vt:lpstr>Coolsinglecop</vt:lpstr>
      <vt:lpstr>cpercent</vt:lpstr>
      <vt:lpstr>cso2rate</vt:lpstr>
      <vt:lpstr>cso2tons</vt:lpstr>
      <vt:lpstr>dech4rate</vt:lpstr>
      <vt:lpstr>deco2rate</vt:lpstr>
      <vt:lpstr>deco2tons</vt:lpstr>
      <vt:lpstr>deheatrate</vt:lpstr>
      <vt:lpstr>deinput</vt:lpstr>
      <vt:lpstr>Profiles!deinput1</vt:lpstr>
      <vt:lpstr>deinput1</vt:lpstr>
      <vt:lpstr>deinput2</vt:lpstr>
      <vt:lpstr>deinput3</vt:lpstr>
      <vt:lpstr>den2orate</vt:lpstr>
      <vt:lpstr>denoxrate</vt:lpstr>
      <vt:lpstr>denoxtons</vt:lpstr>
      <vt:lpstr>deso2rate</vt:lpstr>
      <vt:lpstr>deso2tons</vt:lpstr>
      <vt:lpstr>dispboilerfuel</vt:lpstr>
      <vt:lpstr>dispgridelec</vt:lpstr>
      <vt:lpstr>distdensity</vt:lpstr>
      <vt:lpstr>dsbtu</vt:lpstr>
      <vt:lpstr>dsbtuout</vt:lpstr>
      <vt:lpstr>dsco2tons</vt:lpstr>
      <vt:lpstr>dsnoxtons</vt:lpstr>
      <vt:lpstr>dsso2tons</vt:lpstr>
      <vt:lpstr>ducthours</vt:lpstr>
      <vt:lpstr>ducthours1</vt:lpstr>
      <vt:lpstr>ductpercent</vt:lpstr>
      <vt:lpstr>effhhvhigh</vt:lpstr>
      <vt:lpstr>effhhvlow</vt:lpstr>
      <vt:lpstr>efflhvhigh</vt:lpstr>
      <vt:lpstr>efflhvlow</vt:lpstr>
      <vt:lpstr>effpercenthigh</vt:lpstr>
      <vt:lpstr>effpercentlow</vt:lpstr>
      <vt:lpstr>egrid_lkup</vt:lpstr>
      <vt:lpstr>eGridMap</vt:lpstr>
      <vt:lpstr>eGridMap1</vt:lpstr>
      <vt:lpstr>eGridNERCMap</vt:lpstr>
      <vt:lpstr>energysavingsinputs</vt:lpstr>
      <vt:lpstr>ftmatchhigh</vt:lpstr>
      <vt:lpstr>ftmatchlow</vt:lpstr>
      <vt:lpstr>fuel</vt:lpstr>
      <vt:lpstr>fuels</vt:lpstr>
      <vt:lpstr>fueltechmatch</vt:lpstr>
      <vt:lpstr>galvehicle</vt:lpstr>
      <vt:lpstr>genco21</vt:lpstr>
      <vt:lpstr>genco22</vt:lpstr>
      <vt:lpstr>genco23</vt:lpstr>
      <vt:lpstr>gennox1</vt:lpstr>
      <vt:lpstr>gennox2</vt:lpstr>
      <vt:lpstr>gennox3</vt:lpstr>
      <vt:lpstr>genpastearea</vt:lpstr>
      <vt:lpstr>genpastearea2</vt:lpstr>
      <vt:lpstr>Profiles!genpastetarget</vt:lpstr>
      <vt:lpstr>genpastetarget2</vt:lpstr>
      <vt:lpstr>genso21</vt:lpstr>
      <vt:lpstr>genso22</vt:lpstr>
      <vt:lpstr>genso23</vt:lpstr>
      <vt:lpstr>gmhphrlbMWh</vt:lpstr>
      <vt:lpstr>gridloss</vt:lpstr>
      <vt:lpstr>gridregion</vt:lpstr>
      <vt:lpstr>heatcontentcoal</vt:lpstr>
      <vt:lpstr>heatcontentoil</vt:lpstr>
      <vt:lpstr>heatcontentwood</vt:lpstr>
      <vt:lpstr>heatinput1</vt:lpstr>
      <vt:lpstr>heatinput2</vt:lpstr>
      <vt:lpstr>heatinput3</vt:lpstr>
      <vt:lpstr>heatq</vt:lpstr>
      <vt:lpstr>heatqi</vt:lpstr>
      <vt:lpstr>hginput</vt:lpstr>
      <vt:lpstr>homes</vt:lpstr>
      <vt:lpstr>homes2</vt:lpstr>
      <vt:lpstr>inputophours</vt:lpstr>
      <vt:lpstr>inputoppercent</vt:lpstr>
      <vt:lpstr>kWhtoMMBtu</vt:lpstr>
      <vt:lpstr>lbsteamperhr</vt:lpstr>
      <vt:lpstr>lbtobtusteam</vt:lpstr>
      <vt:lpstr>list6a</vt:lpstr>
      <vt:lpstr>ListA1</vt:lpstr>
      <vt:lpstr>lista1a</vt:lpstr>
      <vt:lpstr>lista1c</vt:lpstr>
      <vt:lpstr>lista6</vt:lpstr>
      <vt:lpstr>lista6a</vt:lpstr>
      <vt:lpstr>lista6c</vt:lpstr>
      <vt:lpstr>lista6d</vt:lpstr>
      <vt:lpstr>lista6e</vt:lpstr>
      <vt:lpstr>lista6f</vt:lpstr>
      <vt:lpstr>lista7</vt:lpstr>
      <vt:lpstr>lista7a</vt:lpstr>
      <vt:lpstr>lista7c</vt:lpstr>
      <vt:lpstr>lista7d</vt:lpstr>
      <vt:lpstr>lista7e</vt:lpstr>
      <vt:lpstr>lista7f</vt:lpstr>
      <vt:lpstr>lista8</vt:lpstr>
      <vt:lpstr>lista8a</vt:lpstr>
      <vt:lpstr>lista9</vt:lpstr>
      <vt:lpstr>lista9a</vt:lpstr>
      <vt:lpstr>lista9e</vt:lpstr>
      <vt:lpstr>listb3</vt:lpstr>
      <vt:lpstr>listb3_1</vt:lpstr>
      <vt:lpstr>listb3_2</vt:lpstr>
      <vt:lpstr>listb3_3</vt:lpstr>
      <vt:lpstr>listb3_4</vt:lpstr>
      <vt:lpstr>listb3a</vt:lpstr>
      <vt:lpstr>listb3c</vt:lpstr>
      <vt:lpstr>Profiles!listb5</vt:lpstr>
      <vt:lpstr>listb5</vt:lpstr>
      <vt:lpstr>Profiles!listb5a</vt:lpstr>
      <vt:lpstr>listb5a</vt:lpstr>
      <vt:lpstr>Profiles!listb5c</vt:lpstr>
      <vt:lpstr>listb5c</vt:lpstr>
      <vt:lpstr>Profiles!listb5d</vt:lpstr>
      <vt:lpstr>listb5d</vt:lpstr>
      <vt:lpstr>listb5e</vt:lpstr>
      <vt:lpstr>listb6</vt:lpstr>
      <vt:lpstr>listb6a</vt:lpstr>
      <vt:lpstr>listb7</vt:lpstr>
      <vt:lpstr>listb7_1</vt:lpstr>
      <vt:lpstr>listb7_2</vt:lpstr>
      <vt:lpstr>listb7_3</vt:lpstr>
      <vt:lpstr>listb7_4</vt:lpstr>
      <vt:lpstr>listb7_5</vt:lpstr>
      <vt:lpstr>listb7_6</vt:lpstr>
      <vt:lpstr>listb7_7</vt:lpstr>
      <vt:lpstr>listb7a</vt:lpstr>
      <vt:lpstr>listb7c</vt:lpstr>
      <vt:lpstr>listb8</vt:lpstr>
      <vt:lpstr>listb8a</vt:lpstr>
      <vt:lpstr>listc4</vt:lpstr>
      <vt:lpstr>listc4a</vt:lpstr>
      <vt:lpstr>listd2</vt:lpstr>
      <vt:lpstr>listd2a</vt:lpstr>
      <vt:lpstr>listd2c</vt:lpstr>
      <vt:lpstr>listd2d</vt:lpstr>
      <vt:lpstr>listd2e</vt:lpstr>
      <vt:lpstr>listd2f</vt:lpstr>
      <vt:lpstr>listh1</vt:lpstr>
      <vt:lpstr>listh1a</vt:lpstr>
      <vt:lpstr>listh2</vt:lpstr>
      <vt:lpstr>listh2a</vt:lpstr>
      <vt:lpstr>listh3</vt:lpstr>
      <vt:lpstr>listh3a</vt:lpstr>
      <vt:lpstr>lossinput</vt:lpstr>
      <vt:lpstr>mmbtugalgas</vt:lpstr>
      <vt:lpstr>mmbtusteamperhr</vt:lpstr>
      <vt:lpstr>n2ocoal</vt:lpstr>
      <vt:lpstr>n2ogas</vt:lpstr>
      <vt:lpstr>n2oGWP</vt:lpstr>
      <vt:lpstr>n2ooil</vt:lpstr>
      <vt:lpstr>N2Owood</vt:lpstr>
      <vt:lpstr>NERCMap1</vt:lpstr>
      <vt:lpstr>NERCMapLink</vt:lpstr>
      <vt:lpstr>next100note</vt:lpstr>
      <vt:lpstr>next10note</vt:lpstr>
      <vt:lpstr>next11note</vt:lpstr>
      <vt:lpstr>next12note</vt:lpstr>
      <vt:lpstr>next13note</vt:lpstr>
      <vt:lpstr>next14note</vt:lpstr>
      <vt:lpstr>next15note</vt:lpstr>
      <vt:lpstr>next16note</vt:lpstr>
      <vt:lpstr>next18note</vt:lpstr>
      <vt:lpstr>next19note</vt:lpstr>
      <vt:lpstr>next1anote</vt:lpstr>
      <vt:lpstr>next1note</vt:lpstr>
      <vt:lpstr>next20note</vt:lpstr>
      <vt:lpstr>next21note</vt:lpstr>
      <vt:lpstr>next22note</vt:lpstr>
      <vt:lpstr>next23note</vt:lpstr>
      <vt:lpstr>next24note</vt:lpstr>
      <vt:lpstr>next25note</vt:lpstr>
      <vt:lpstr>next26note</vt:lpstr>
      <vt:lpstr>next27note</vt:lpstr>
      <vt:lpstr>next29note</vt:lpstr>
      <vt:lpstr>next2note</vt:lpstr>
      <vt:lpstr>next4note</vt:lpstr>
      <vt:lpstr>next5anote</vt:lpstr>
      <vt:lpstr>next5note</vt:lpstr>
      <vt:lpstr>next6note</vt:lpstr>
      <vt:lpstr>next7note</vt:lpstr>
      <vt:lpstr>next8note</vt:lpstr>
      <vt:lpstr>next9note</vt:lpstr>
      <vt:lpstr>ngbtu</vt:lpstr>
      <vt:lpstr>ngdensity</vt:lpstr>
      <vt:lpstr>ngsulfur</vt:lpstr>
      <vt:lpstr>phhigh</vt:lpstr>
      <vt:lpstr>phlow</vt:lpstr>
      <vt:lpstr>Profiles!ppmbtu</vt:lpstr>
      <vt:lpstr>ppmbtu</vt:lpstr>
      <vt:lpstr>ppmbtu3</vt:lpstr>
      <vt:lpstr>ppmbtud</vt:lpstr>
      <vt:lpstr>ppmbtud3</vt:lpstr>
      <vt:lpstr>ppmbtudlhv</vt:lpstr>
      <vt:lpstr>ppmbtulhv</vt:lpstr>
      <vt:lpstr>preset10</vt:lpstr>
      <vt:lpstr>preset12</vt:lpstr>
      <vt:lpstr>preset13</vt:lpstr>
      <vt:lpstr>preset15</vt:lpstr>
      <vt:lpstr>preset16</vt:lpstr>
      <vt:lpstr>preset16a</vt:lpstr>
      <vt:lpstr>preset18</vt:lpstr>
      <vt:lpstr>preset19</vt:lpstr>
      <vt:lpstr>preset20</vt:lpstr>
      <vt:lpstr>preset22</vt:lpstr>
      <vt:lpstr>preset7</vt:lpstr>
      <vt:lpstr>CHPTech!Print_Area</vt:lpstr>
      <vt:lpstr>'Getting Started'!Print_Area</vt:lpstr>
      <vt:lpstr>Inputs!Print_Area</vt:lpstr>
      <vt:lpstr>Lists!Print_Area</vt:lpstr>
      <vt:lpstr>Results!Print_Area</vt:lpstr>
      <vt:lpstr>Inputs!Print_Titles</vt:lpstr>
      <vt:lpstr>Results!Print_Titles</vt:lpstr>
      <vt:lpstr>profilea1</vt:lpstr>
      <vt:lpstr>propDensity</vt:lpstr>
      <vt:lpstr>questionNum</vt:lpstr>
      <vt:lpstr>stmco2input</vt:lpstr>
      <vt:lpstr>stmeff</vt:lpstr>
      <vt:lpstr>stmeffdefault1</vt:lpstr>
      <vt:lpstr>stmeffelec</vt:lpstr>
      <vt:lpstr>stmeffhigh</vt:lpstr>
      <vt:lpstr>stmefflow</vt:lpstr>
      <vt:lpstr>stmheatinput1</vt:lpstr>
      <vt:lpstr>stmheatinput2</vt:lpstr>
      <vt:lpstr>stmheatinput3</vt:lpstr>
      <vt:lpstr>stminput1</vt:lpstr>
      <vt:lpstr>stmnoxdefault</vt:lpstr>
      <vt:lpstr>stmnoxinput</vt:lpstr>
      <vt:lpstr>stmsulfurinput1</vt:lpstr>
      <vt:lpstr>stmsulfurinput2</vt:lpstr>
      <vt:lpstr>sulfurpercenthigh</vt:lpstr>
      <vt:lpstr>sulfurpercentlow</vt:lpstr>
      <vt:lpstr>sulfurppmhigh</vt:lpstr>
      <vt:lpstr>sulfurppmlow</vt:lpstr>
      <vt:lpstr>tcbtuinput</vt:lpstr>
      <vt:lpstr>tcbtuinput2</vt:lpstr>
      <vt:lpstr>tcbtulbinput</vt:lpstr>
      <vt:lpstr>tceffinput</vt:lpstr>
      <vt:lpstr>tclbinput</vt:lpstr>
      <vt:lpstr>tcph</vt:lpstr>
      <vt:lpstr>tctitle</vt:lpstr>
      <vt:lpstr>techfuelmatch</vt:lpstr>
      <vt:lpstr>thermutil</vt:lpstr>
      <vt:lpstr>tonnes</vt:lpstr>
      <vt:lpstr>wasteheat</vt:lpstr>
      <vt:lpstr>whptherminput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CHP Emissions Calculator</dc:title>
  <dc:subject/>
  <dc:creator>Hampson, Anne</dc:creator>
  <cp:keywords/>
  <dc:description>Version: April 26, 2006</dc:description>
  <cp:lastModifiedBy>Jones, David</cp:lastModifiedBy>
  <cp:revision/>
  <dcterms:created xsi:type="dcterms:W3CDTF">2004-05-13T21:24:11Z</dcterms:created>
  <dcterms:modified xsi:type="dcterms:W3CDTF">2023-11-21T16:52:01Z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0x010100CC61D0F79A20B943AE59D3ECFC4FFBFC</vt:lpwstr>
  </property>
</Properties>
</file>

<file path=userCustomization/customUI.xml><?xml version="1.0" encoding="utf-8"?>
<mso:customUI xmlns:mso="http://schemas.microsoft.com/office/2006/01/customui">
  <mso:ribbon>
    <mso:qat>
      <mso:documentControls>
        <mso:control idQ="mso:ShadowOnOrOffClassic" visible="true"/>
      </mso:documentControls>
    </mso:qat>
  </mso:ribbon>
</mso:customUI>
</file>