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ate Structure_Cases\2026\"/>
    </mc:Choice>
  </mc:AlternateContent>
  <xr:revisionPtr revIDLastSave="0" documentId="13_ncr:1_{416E6AA4-4E8A-4E5E-95EA-836A7889FA76}" xr6:coauthVersionLast="47" xr6:coauthVersionMax="47" xr10:uidLastSave="{00000000-0000-0000-0000-000000000000}"/>
  <bookViews>
    <workbookView xWindow="28680" yWindow="-120" windowWidth="29040" windowHeight="15720" activeTab="2" xr2:uid="{A69B9B7E-D58C-475E-965C-DCF9F9A72DB0}"/>
  </bookViews>
  <sheets>
    <sheet name="Components of Increase" sheetId="3" r:id="rId1"/>
    <sheet name="Exh 3 - Summary of Adjustments" sheetId="4" r:id="rId2"/>
    <sheet name="Exh 2 - COS" sheetId="1" r:id="rId3"/>
  </sheets>
  <definedNames>
    <definedName name="_xlnm.Print_Area" localSheetId="2">'Exh 2 - COS'!$A$9:$G$195</definedName>
    <definedName name="_xlnm.Print_Titles" localSheetId="2">'Exh 2 - COS'!$1:$8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" i="1" l="1"/>
  <c r="D143" i="1"/>
  <c r="F13" i="4"/>
  <c r="E44" i="1"/>
  <c r="E43" i="1"/>
  <c r="E42" i="1"/>
  <c r="E41" i="1"/>
  <c r="E40" i="1"/>
  <c r="E39" i="1"/>
  <c r="F40" i="1"/>
  <c r="F39" i="1"/>
  <c r="D43" i="1"/>
  <c r="D41" i="1"/>
  <c r="D40" i="1"/>
  <c r="F12" i="4"/>
  <c r="J13" i="4" l="1"/>
  <c r="F19" i="4"/>
  <c r="D98" i="1" l="1"/>
  <c r="F172" i="1" l="1"/>
  <c r="F171" i="1"/>
  <c r="F170" i="1"/>
  <c r="E132" i="1"/>
  <c r="F132" i="1" s="1"/>
  <c r="D16" i="1"/>
  <c r="F16" i="1" s="1"/>
  <c r="E184" i="1"/>
  <c r="D184" i="1"/>
  <c r="F183" i="1"/>
  <c r="F182" i="1"/>
  <c r="F184" i="1" s="1"/>
  <c r="E179" i="1"/>
  <c r="I16" i="4" s="1"/>
  <c r="J16" i="4" s="1"/>
  <c r="D179" i="1"/>
  <c r="F178" i="1"/>
  <c r="F179" i="1" s="1"/>
  <c r="E175" i="1"/>
  <c r="D175" i="1"/>
  <c r="F174" i="1"/>
  <c r="F173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E154" i="1"/>
  <c r="D154" i="1"/>
  <c r="F153" i="1"/>
  <c r="F152" i="1"/>
  <c r="F151" i="1"/>
  <c r="F150" i="1"/>
  <c r="E141" i="1"/>
  <c r="D20" i="3" s="1"/>
  <c r="D141" i="1"/>
  <c r="F140" i="1"/>
  <c r="F139" i="1"/>
  <c r="E136" i="1"/>
  <c r="D136" i="1"/>
  <c r="F135" i="1"/>
  <c r="F136" i="1" s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E92" i="1"/>
  <c r="E12" i="4" s="1"/>
  <c r="E19" i="4" s="1"/>
  <c r="D92" i="1"/>
  <c r="F91" i="1"/>
  <c r="F90" i="1"/>
  <c r="F89" i="1"/>
  <c r="F88" i="1"/>
  <c r="F87" i="1"/>
  <c r="F86" i="1"/>
  <c r="F85" i="1"/>
  <c r="F84" i="1"/>
  <c r="F83" i="1"/>
  <c r="D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D45" i="1"/>
  <c r="E45" i="1" s="1"/>
  <c r="E32" i="1"/>
  <c r="D32" i="1"/>
  <c r="F31" i="1"/>
  <c r="F30" i="1"/>
  <c r="F29" i="1"/>
  <c r="E26" i="1"/>
  <c r="D26" i="1"/>
  <c r="F25" i="1"/>
  <c r="F24" i="1"/>
  <c r="E21" i="1"/>
  <c r="F20" i="1"/>
  <c r="F19" i="1"/>
  <c r="F18" i="1"/>
  <c r="F17" i="1"/>
  <c r="F15" i="1"/>
  <c r="F14" i="1"/>
  <c r="F13" i="1"/>
  <c r="F12" i="1"/>
  <c r="D22" i="3" l="1"/>
  <c r="H17" i="4"/>
  <c r="I14" i="4"/>
  <c r="D27" i="3"/>
  <c r="D18" i="3"/>
  <c r="G15" i="4"/>
  <c r="D14" i="3"/>
  <c r="C11" i="4"/>
  <c r="F175" i="1"/>
  <c r="F190" i="1" s="1"/>
  <c r="F21" i="1"/>
  <c r="D21" i="1"/>
  <c r="E186" i="1"/>
  <c r="F32" i="1"/>
  <c r="F92" i="1"/>
  <c r="F26" i="1"/>
  <c r="F141" i="1"/>
  <c r="F154" i="1"/>
  <c r="E80" i="1"/>
  <c r="D186" i="1"/>
  <c r="E34" i="1"/>
  <c r="F80" i="1"/>
  <c r="H19" i="4" l="1"/>
  <c r="J17" i="4"/>
  <c r="J14" i="4"/>
  <c r="J15" i="4"/>
  <c r="G19" i="4"/>
  <c r="J11" i="4"/>
  <c r="C19" i="4"/>
  <c r="D16" i="3"/>
  <c r="D12" i="4"/>
  <c r="F34" i="1"/>
  <c r="D34" i="1"/>
  <c r="F192" i="1"/>
  <c r="F186" i="1"/>
  <c r="D145" i="1"/>
  <c r="D188" i="1" s="1"/>
  <c r="J12" i="4" l="1"/>
  <c r="D19" i="4"/>
  <c r="D31" i="3"/>
  <c r="F97" i="1" l="1"/>
  <c r="F95" i="1"/>
  <c r="F98" i="1"/>
  <c r="F96" i="1"/>
  <c r="E143" i="1"/>
  <c r="F193" i="1" l="1"/>
  <c r="F143" i="1"/>
  <c r="F145" i="1" s="1"/>
  <c r="F194" i="1"/>
  <c r="E145" i="1"/>
  <c r="E188" i="1" s="1"/>
  <c r="F188" i="1" l="1"/>
  <c r="D24" i="3"/>
  <c r="F195" i="1"/>
  <c r="I18" i="4" l="1"/>
  <c r="D29" i="3"/>
  <c r="J18" i="4" l="1"/>
  <c r="J19" i="4" s="1"/>
  <c r="I19" i="4"/>
  <c r="E20" i="3"/>
  <c r="E18" i="3"/>
  <c r="E22" i="3"/>
  <c r="E27" i="3"/>
  <c r="E16" i="3"/>
  <c r="D33" i="3"/>
  <c r="E14" i="3"/>
  <c r="E24" i="3"/>
  <c r="F14" i="3" l="1"/>
  <c r="F16" i="3"/>
  <c r="F18" i="3"/>
  <c r="F20" i="3"/>
  <c r="F24" i="3"/>
  <c r="F22" i="3"/>
  <c r="F27" i="3"/>
  <c r="E29" i="3"/>
  <c r="F29" i="3" l="1"/>
</calcChain>
</file>

<file path=xl/sharedStrings.xml><?xml version="1.0" encoding="utf-8"?>
<sst xmlns="http://schemas.openxmlformats.org/spreadsheetml/2006/main" count="480" uniqueCount="425">
  <si>
    <t>1</t>
  </si>
  <si>
    <t>2</t>
  </si>
  <si>
    <t xml:space="preserve">COST OF SERVICE STUDY </t>
  </si>
  <si>
    <t>3</t>
  </si>
  <si>
    <t>4</t>
  </si>
  <si>
    <t>5</t>
  </si>
  <si>
    <t>6</t>
  </si>
  <si>
    <t>7</t>
  </si>
  <si>
    <t>8</t>
  </si>
  <si>
    <t>ACCOUNT</t>
  </si>
  <si>
    <t>DESCRIPTION</t>
  </si>
  <si>
    <t>TEST YEAR</t>
  </si>
  <si>
    <t>9</t>
  </si>
  <si>
    <t>OPERATING REVENUES</t>
  </si>
  <si>
    <t>10</t>
  </si>
  <si>
    <t>11</t>
  </si>
  <si>
    <t>ELECTRIC SALES TO CUSTOMERS</t>
  </si>
  <si>
    <t>12</t>
  </si>
  <si>
    <t>RESIDENTIAL - ENERGY</t>
  </si>
  <si>
    <t>13</t>
  </si>
  <si>
    <t>NET METERING - BEHIND THE METER</t>
  </si>
  <si>
    <t>14</t>
  </si>
  <si>
    <t>REBATES - EFF VT &amp; CASH CREDITS</t>
  </si>
  <si>
    <t>15</t>
  </si>
  <si>
    <t>REBATES - ON-BILL CREDITS</t>
  </si>
  <si>
    <t>16</t>
  </si>
  <si>
    <t>COML - ENERGY</t>
  </si>
  <si>
    <t>17</t>
  </si>
  <si>
    <t>COML - DEMAND</t>
  </si>
  <si>
    <t>18</t>
  </si>
  <si>
    <t>COML - LARGE ACCOUNTS</t>
  </si>
  <si>
    <t>19</t>
  </si>
  <si>
    <t>NET METERING - DIRECT CONNECT</t>
  </si>
  <si>
    <t>20</t>
  </si>
  <si>
    <t>STREET LIGHTS</t>
  </si>
  <si>
    <t>21</t>
  </si>
  <si>
    <t>CHARGING STATION REVENUE</t>
  </si>
  <si>
    <t>22</t>
  </si>
  <si>
    <t>MISC CUSTOMER FEES</t>
  </si>
  <si>
    <t>23</t>
  </si>
  <si>
    <t>CUSTOMER FINANCE CHARGES</t>
  </si>
  <si>
    <t>25</t>
  </si>
  <si>
    <t>SUBTOTAL ELECTRIC SALES TO CUSTMRS</t>
  </si>
  <si>
    <t>26</t>
  </si>
  <si>
    <t>SALES OF LABOR &amp; SUPPLIES</t>
  </si>
  <si>
    <t>27</t>
  </si>
  <si>
    <t>CONTRACT WORK FEES</t>
  </si>
  <si>
    <t>28</t>
  </si>
  <si>
    <t>CONTRACT TREE TRIMMING FEES</t>
  </si>
  <si>
    <t>30</t>
  </si>
  <si>
    <t>SUBTOTAL SALES OF LABOR &amp; SUPPLIES</t>
  </si>
  <si>
    <t>31</t>
  </si>
  <si>
    <t>RENTAL INCOME</t>
  </si>
  <si>
    <t>32</t>
  </si>
  <si>
    <t>RENTAL INCOME - TOWN GARAGE</t>
  </si>
  <si>
    <t>33</t>
  </si>
  <si>
    <t>RENTAL INCOME - POLE ATTACHMNTS</t>
  </si>
  <si>
    <t>34</t>
  </si>
  <si>
    <t>RENTAL INCOME - FIBER LEASING</t>
  </si>
  <si>
    <t>36</t>
  </si>
  <si>
    <t>SUBTOTAL RENTAL INCOME</t>
  </si>
  <si>
    <t>37</t>
  </si>
  <si>
    <t xml:space="preserve"> </t>
  </si>
  <si>
    <t>38</t>
  </si>
  <si>
    <t>TOTAL OPERATING REVENUES</t>
  </si>
  <si>
    <t>39</t>
  </si>
  <si>
    <t>40</t>
  </si>
  <si>
    <t>OPERATING EXPENSES</t>
  </si>
  <si>
    <t>41</t>
  </si>
  <si>
    <t>42</t>
  </si>
  <si>
    <t>PURCHASED POWER</t>
  </si>
  <si>
    <t>44</t>
  </si>
  <si>
    <t>PURCHASED POWER - ENERGY</t>
  </si>
  <si>
    <t>45</t>
  </si>
  <si>
    <t>46</t>
  </si>
  <si>
    <t>PURCHASED POWER - CAPACITY&amp;FIXED</t>
  </si>
  <si>
    <t>47</t>
  </si>
  <si>
    <t>PURCHASED POWER - TRANSMISSION</t>
  </si>
  <si>
    <t>48</t>
  </si>
  <si>
    <t>RECS SOLD</t>
  </si>
  <si>
    <t>49</t>
  </si>
  <si>
    <t>PURCHASED POWER - RECS COMPLIANC</t>
  </si>
  <si>
    <t>50</t>
  </si>
  <si>
    <t>CONSULTING FEES - POWER MKTS</t>
  </si>
  <si>
    <t>52</t>
  </si>
  <si>
    <t>SUBTOTAL PURCHASED POWER</t>
  </si>
  <si>
    <t>53</t>
  </si>
  <si>
    <t>DISTRIBUTION &amp; TRANSMISSION</t>
  </si>
  <si>
    <t>54</t>
  </si>
  <si>
    <t>BILLABLE PROJECT - WAGES</t>
  </si>
  <si>
    <t>55</t>
  </si>
  <si>
    <t>BILLABLE PROJ - MAT'LS &amp; CONTCRS</t>
  </si>
  <si>
    <t>56</t>
  </si>
  <si>
    <t>RENT - NVSF</t>
  </si>
  <si>
    <t>57</t>
  </si>
  <si>
    <t>O&amp;M EXPENSE - SOLAR</t>
  </si>
  <si>
    <t>58</t>
  </si>
  <si>
    <t>WAGES - OPERATIONS</t>
  </si>
  <si>
    <t>59</t>
  </si>
  <si>
    <t>WAGES - LINE CREW</t>
  </si>
  <si>
    <t>60</t>
  </si>
  <si>
    <t>WAGES - TREE CREW</t>
  </si>
  <si>
    <t>61</t>
  </si>
  <si>
    <t>WAGES - LINE CREW OT</t>
  </si>
  <si>
    <t>62</t>
  </si>
  <si>
    <t>WAGES - TREE CREW OT</t>
  </si>
  <si>
    <t>63</t>
  </si>
  <si>
    <t>MUTUAL AID SED P/R</t>
  </si>
  <si>
    <t>64</t>
  </si>
  <si>
    <t>MUTUAL AID BILLINGS &amp; NON SED</t>
  </si>
  <si>
    <t>65</t>
  </si>
  <si>
    <t>SUPPLIES - DIST. LINES</t>
  </si>
  <si>
    <t>66</t>
  </si>
  <si>
    <t>PCB TESTING &amp; DISPOSAL</t>
  </si>
  <si>
    <t>CONTRACT SERVICES</t>
  </si>
  <si>
    <t>SMALL TOOLS &amp; SHOP SUPPLIES</t>
  </si>
  <si>
    <t>CLOTHING &amp; UNIFORMS</t>
  </si>
  <si>
    <t>TRAINING &amp; CONFERENCES</t>
  </si>
  <si>
    <t>OPERATIONS FORMS</t>
  </si>
  <si>
    <t>MEAL REIMB. - LINE STAFF</t>
  </si>
  <si>
    <t>LINE CREW - ER P/R TAXES</t>
  </si>
  <si>
    <t>LINE CREW - FRINGE BENEFITS</t>
  </si>
  <si>
    <t>LINE CREW - PENSION PLAN CSTS</t>
  </si>
  <si>
    <t>TREE CREW - ER P/R TAXES</t>
  </si>
  <si>
    <t>TREE CREW - FRINGE BENEFITS</t>
  </si>
  <si>
    <t>TREE CREW - PENSION PLAN CSTS</t>
  </si>
  <si>
    <t>VEHICLE MAINTENANCE</t>
  </si>
  <si>
    <t>VEHICLE FUEL</t>
  </si>
  <si>
    <t>PAGER/RADIO/PHONE COSTS</t>
  </si>
  <si>
    <t>COMMUN. EQUIP. MAINTENANCE</t>
  </si>
  <si>
    <t>MISC. EQUIP REPAIRS</t>
  </si>
  <si>
    <t>BUILDING MAINTENANCE</t>
  </si>
  <si>
    <t>UTILITIES - PROPANE</t>
  </si>
  <si>
    <t>SUBTOTAL DISTRIBUTION &amp; TRANSMISSION</t>
  </si>
  <si>
    <t>CUSTOMER ACCOUNTS</t>
  </si>
  <si>
    <t>DEPOSIT INTEREST EXPENSE</t>
  </si>
  <si>
    <t>CC PROCESSING FEES</t>
  </si>
  <si>
    <t>WAGES - BILLING</t>
  </si>
  <si>
    <t>WAGES - BILLING OT</t>
  </si>
  <si>
    <t>BILLING - ER P/R TAXES</t>
  </si>
  <si>
    <t>BILLING - FRINGE BENEFITS</t>
  </si>
  <si>
    <t>BILLING - PENSION PLAN CSTS</t>
  </si>
  <si>
    <t>POSTAGE - STATEMENTS</t>
  </si>
  <si>
    <t>STATEMENT PROCESSING FEES</t>
  </si>
  <si>
    <t>SUBTOTAL CUSTOMER ACCOUNTS</t>
  </si>
  <si>
    <t>ADMINISTRATIVE &amp; GENERAL</t>
  </si>
  <si>
    <t>TOWN OF STOWE PILOT FEES</t>
  </si>
  <si>
    <t>WAGES - ADMIN</t>
  </si>
  <si>
    <t>WAGES - ADMIN OT</t>
  </si>
  <si>
    <t>ADMIN - ER P/R TAXES</t>
  </si>
  <si>
    <t>ADMIN - FRINGE BENEFITS</t>
  </si>
  <si>
    <t>ADMIN - PENSION PLAN CSTS</t>
  </si>
  <si>
    <t>OFFICE SUPPLIES</t>
  </si>
  <si>
    <t>PC EQUIP SUPPLIES &amp; MAINT</t>
  </si>
  <si>
    <t>OFFICE EQUIP MAINT. CONTRACTS</t>
  </si>
  <si>
    <t>IT COSTS - CIS, AMI, MDM, WP SYS</t>
  </si>
  <si>
    <t>SUBSCRIPTIONS &amp; REFER. MTLS.</t>
  </si>
  <si>
    <t>OFFICE POSTAGE</t>
  </si>
  <si>
    <t>MEALS - EMPLOYEES</t>
  </si>
  <si>
    <t>TELEPHONE - OFFICE</t>
  </si>
  <si>
    <t>MOBILE PHONES - ADMIN STAFF</t>
  </si>
  <si>
    <t>BANK FEES</t>
  </si>
  <si>
    <t>P/R PROCESSING FEES</t>
  </si>
  <si>
    <t>MISCELLANEOUS EXPENSE</t>
  </si>
  <si>
    <t>PROF FEES - LEGAL</t>
  </si>
  <si>
    <t>PROF FEES - ENGINEERING</t>
  </si>
  <si>
    <t>PROF FEES - FINANCIAL</t>
  </si>
  <si>
    <t>PROF FEES - OTHER</t>
  </si>
  <si>
    <t>INSURANCE - PROP &amp; CASUALTY</t>
  </si>
  <si>
    <t>INSURANCE - LIABILITY</t>
  </si>
  <si>
    <t>PSB/DPS EXPENSES</t>
  </si>
  <si>
    <t>MARKETING EXPENSES</t>
  </si>
  <si>
    <t>SED COMMISSIONER COMP</t>
  </si>
  <si>
    <t>ASSOCIATION DUES &amp; FEES</t>
  </si>
  <si>
    <t>UTILITIES - OFFICE</t>
  </si>
  <si>
    <t>MAINTENANCE - OFFICE</t>
  </si>
  <si>
    <t>SUBTOTAL ADMINISTRATIVE &amp; GENERAL</t>
  </si>
  <si>
    <t>DEPRECIATION</t>
  </si>
  <si>
    <t>DEPRECIATION-SYSTEM PLANT</t>
  </si>
  <si>
    <t>SUBTOTAL DEPRECIATION</t>
  </si>
  <si>
    <t>TAXES</t>
  </si>
  <si>
    <t>VT GROSS RECEIPTS TAX</t>
  </si>
  <si>
    <t>VT FUELS TAX</t>
  </si>
  <si>
    <t>SUBTOTAL TAXES</t>
  </si>
  <si>
    <t>TOTAL OPERATING EXPENSES</t>
  </si>
  <si>
    <t>GAIN/(LOSS) FROM OPERATIONS</t>
  </si>
  <si>
    <t>OTHER INCOME/(EXPENSES)</t>
  </si>
  <si>
    <t>INTEREST &amp; DIVIDEND INCOME</t>
  </si>
  <si>
    <t>INTEREST INCOME - FIBER LEASING</t>
  </si>
  <si>
    <t>INTEREST INCOME - TOWN GARAGE</t>
  </si>
  <si>
    <t>INTEREST INCOME - BANK INTEREST</t>
  </si>
  <si>
    <t>DIVIDENDS - VELCO/VT TRANSCO</t>
  </si>
  <si>
    <t>SUBTOTAL INTEREST &amp; DIVIDEND INCOME</t>
  </si>
  <si>
    <t>INTEREST EXPENSE</t>
  </si>
  <si>
    <t>INT EXP - LT DEBT VMBB UB 0320</t>
  </si>
  <si>
    <t>INT EXP - LT DEBT VMBB US BANK</t>
  </si>
  <si>
    <t>INT EXP - LT DEBT VMBB 2025 SERIES 2</t>
  </si>
  <si>
    <t>INT EXP - UB LOAN 0240</t>
  </si>
  <si>
    <t>INT EXP - UB LOAN 0277</t>
  </si>
  <si>
    <t>INT EXP - UB LOAN 1349/5597</t>
  </si>
  <si>
    <t>INT EXP - UB LOAN 1821 CREB</t>
  </si>
  <si>
    <t>INT EXP - UB LOAN 2245</t>
  </si>
  <si>
    <t>INT EXP - UB LOAN 2541</t>
  </si>
  <si>
    <t>INT EXP - UB LOAN 2605</t>
  </si>
  <si>
    <t>INT EXP - UB LOAN 3029</t>
  </si>
  <si>
    <t>INT EXP - UB LOAN 4885</t>
  </si>
  <si>
    <t>INT EXP - NSB LOAN 8016</t>
  </si>
  <si>
    <t>AMORTIZATION - L.T. DEBT COSTS</t>
  </si>
  <si>
    <t>SUBTOTAL INTEREST EXPENSE</t>
  </si>
  <si>
    <t>GAIN/(LOSS) ON SALE OF ASSET</t>
  </si>
  <si>
    <t>SUBTOTAL GAIN/(LOSS) ON SALE OF ASSET</t>
  </si>
  <si>
    <t>OTHER NON-OPERATING INCOME</t>
  </si>
  <si>
    <t>MISC NON OPERATING INCOME</t>
  </si>
  <si>
    <t>NON-RECURRING INC. SIGNIFICANT</t>
  </si>
  <si>
    <t>SUBTOTAL OTHER NON-OPERATING INCOME</t>
  </si>
  <si>
    <t>TOTAL OTHER INCOME/(EXPENSES)</t>
  </si>
  <si>
    <t>NET POSITION</t>
  </si>
  <si>
    <t>Per ENE (SED-MC-2.pdf)</t>
  </si>
  <si>
    <t>Wage increase per IBEW + Full Staff Adjustment Exhibit</t>
  </si>
  <si>
    <t>Wage increase per IBEW</t>
  </si>
  <si>
    <t>Rcls'd Water (7/2024-3/2025) = $3,500</t>
  </si>
  <si>
    <t>Add New Equipment + Wilkins Substation Upgrade</t>
  </si>
  <si>
    <t>Includes full year of interest</t>
  </si>
  <si>
    <t>EQUIPMENT LOAN = $240,204.12</t>
  </si>
  <si>
    <t>NEW</t>
  </si>
  <si>
    <t>PACE LOAN = $2,089,000</t>
  </si>
  <si>
    <t>BOND BANK BORROWING = $2.4MM</t>
  </si>
  <si>
    <t>One Time cost from disposal of old enterprise system</t>
  </si>
  <si>
    <t>TIER</t>
  </si>
  <si>
    <t>ADJUSTED TEST YEAR REVENUES</t>
  </si>
  <si>
    <t>RATE YEAR TOTAL OPERATING COSTS</t>
  </si>
  <si>
    <t>RATE CASE MODEL INCREASE</t>
  </si>
  <si>
    <t>Add Cyber Security</t>
  </si>
  <si>
    <t>CREDITS TO INCREASE OPERATING COSTS</t>
  </si>
  <si>
    <t>SUBTOTAL CREDITS TO INCREASE OPERATING COSTS</t>
  </si>
  <si>
    <t>24</t>
  </si>
  <si>
    <t>29</t>
  </si>
  <si>
    <t>35</t>
  </si>
  <si>
    <t>43</t>
  </si>
  <si>
    <t>51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</si>
  <si>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</si>
  <si>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</si>
  <si>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</si>
  <si>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</si>
  <si>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</si>
  <si>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</si>
  <si>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</si>
  <si>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</si>
  <si>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</si>
  <si>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</si>
  <si>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</si>
  <si>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</si>
  <si>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</si>
  <si>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</si>
  <si>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</si>
  <si>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</si>
  <si>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</si>
  <si>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</si>
  <si>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</si>
  <si>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</si>
  <si>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</si>
  <si>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</si>
  <si>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</si>
  <si>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</si>
  <si>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</si>
  <si>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</si>
  <si>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</si>
  <si>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</si>
  <si>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</si>
  <si>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</si>
  <si>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</si>
  <si>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</si>
  <si>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</si>
  <si>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</si>
  <si>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</si>
  <si>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</si>
  <si>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</si>
  <si>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</si>
  <si>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</si>
  <si>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</si>
  <si>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</si>
  <si>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</si>
  <si>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</si>
  <si>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</si>
  <si>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</si>
  <si>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</si>
  <si>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</si>
  <si>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</si>
  <si>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</si>
  <si>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</si>
  <si>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</si>
  <si>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</si>
  <si>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</si>
  <si>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</si>
  <si>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</si>
  <si>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</si>
  <si>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</si>
  <si>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</si>
  <si>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</si>
  <si>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</si>
  <si>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</si>
  <si>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</si>
  <si>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</si>
  <si>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</si>
  <si>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</si>
  <si>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</si>
  <si>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</si>
  <si>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</si>
  <si>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</si>
  <si>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</si>
  <si>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</si>
  <si>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</si>
  <si>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</si>
  <si>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</si>
  <si>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</si>
  <si>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</si>
  <si>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</si>
  <si>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</si>
  <si>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</si>
  <si>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</si>
  <si>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</si>
  <si>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</si>
  <si>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</si>
  <si>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</si>
  <si>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</si>
  <si>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</si>
  <si>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</si>
  <si>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</si>
  <si>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</si>
  <si>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</si>
  <si>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</si>
  <si>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</si>
  <si>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</si>
  <si>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</si>
  <si>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</si>
  <si>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</si>
  <si>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</si>
  <si>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</si>
  <si>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</si>
  <si>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</si>
  <si>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</si>
  <si>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</si>
  <si>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</si>
  <si>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</si>
  <si>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</si>
  <si>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</si>
  <si>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</si>
  <si>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</si>
  <si>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</si>
  <si>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</si>
  <si>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</si>
  <si>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</si>
  <si>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</si>
  <si>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</si>
  <si>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</si>
  <si>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</si>
  <si>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</si>
  <si>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</si>
  <si>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</si>
  <si>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</si>
  <si>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</si>
  <si>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</si>
  <si>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</si>
  <si>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</si>
  <si>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</si>
  <si>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</si>
  <si>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</si>
  <si>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</si>
  <si>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</si>
  <si>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 xml:space="preserve">Revenue </t>
  </si>
  <si>
    <t>Percent</t>
  </si>
  <si>
    <t>Rate</t>
  </si>
  <si>
    <t>Requirement</t>
  </si>
  <si>
    <t xml:space="preserve">of  Cost </t>
  </si>
  <si>
    <t>Increase</t>
  </si>
  <si>
    <t>Req'd</t>
  </si>
  <si>
    <t>EXPENSE ITEMS</t>
  </si>
  <si>
    <t>Change in Net Power Costs</t>
  </si>
  <si>
    <t xml:space="preserve">Change in O&amp;M Costs </t>
  </si>
  <si>
    <t>Change in Depreciation/Amortization</t>
  </si>
  <si>
    <t>Change in Taxes</t>
  </si>
  <si>
    <t>Change in Interest Expense</t>
  </si>
  <si>
    <t>Change in Net Income</t>
  </si>
  <si>
    <t>REVENUE ITEMS</t>
  </si>
  <si>
    <t>Change in Other Income &amp; Revenue Credits</t>
  </si>
  <si>
    <t>-</t>
  </si>
  <si>
    <t>TOTAL ADDITIONAL REVENUE REQUIREMENT</t>
  </si>
  <si>
    <t>BASE REVENUE</t>
  </si>
  <si>
    <t>RATE YEAR</t>
  </si>
  <si>
    <r>
      <t>FILED:</t>
    </r>
    <r>
      <rPr>
        <b/>
        <sz val="12"/>
        <color rgb="FF0000FF"/>
        <rFont val="Calibri"/>
        <family val="2"/>
        <scheme val="minor"/>
      </rPr>
      <t xml:space="preserve"> </t>
    </r>
  </si>
  <si>
    <t>Notes</t>
  </si>
  <si>
    <t>PERCENT INCREASE</t>
  </si>
  <si>
    <t>TOWN OF STOWE ELECTRIC DEPARTMENT</t>
  </si>
  <si>
    <t>SED-Seavey-02</t>
  </si>
  <si>
    <t>Summary of Adjustments</t>
  </si>
  <si>
    <t>Line No.</t>
  </si>
  <si>
    <t>Adjustments</t>
  </si>
  <si>
    <t>Power Supply/Gen</t>
  </si>
  <si>
    <t>Cust/Sales</t>
  </si>
  <si>
    <t>Admin &amp; General</t>
  </si>
  <si>
    <t>Deprc/Amort</t>
  </si>
  <si>
    <t>Interest</t>
  </si>
  <si>
    <t>Total of Adjustments</t>
  </si>
  <si>
    <t>Purchased Power Adj</t>
  </si>
  <si>
    <t>Labor Expense Adj</t>
  </si>
  <si>
    <t>Depreciation Expense Adj</t>
  </si>
  <si>
    <t>Interest Expense Adj.</t>
  </si>
  <si>
    <t>Totals</t>
  </si>
  <si>
    <t>Transm. &amp; Dist.</t>
  </si>
  <si>
    <t>Professional Fees</t>
  </si>
  <si>
    <t>VELCO Dividends</t>
  </si>
  <si>
    <t>Loss on Sale of Asset</t>
  </si>
  <si>
    <t>Revenue Adjustment</t>
  </si>
  <si>
    <t>SED-Seavey-03</t>
  </si>
  <si>
    <r>
      <t xml:space="preserve">TEST YEAR: </t>
    </r>
    <r>
      <rPr>
        <sz val="12"/>
        <color rgb="FFFF0000"/>
        <rFont val="Calibri"/>
        <family val="2"/>
        <scheme val="minor"/>
      </rPr>
      <t>March 1, 2025 - February 28, 2026</t>
    </r>
  </si>
  <si>
    <r>
      <t>RATE YEAR:</t>
    </r>
    <r>
      <rPr>
        <sz val="12"/>
        <color indexed="12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March 1, 2026 - February 28, 2027</t>
    </r>
  </si>
  <si>
    <t>5 year avg - based on internal legal counsel turnover</t>
  </si>
  <si>
    <t>Include full year with new equity - per VELCO forecast</t>
  </si>
  <si>
    <t>New loan May 2026 = 4.5% for 5 years</t>
  </si>
  <si>
    <t>New loan June 2026 = 4.625% for 35 years (Mill, EOC, Moscow Solar)</t>
  </si>
  <si>
    <t>New loan September 2026 = 2.125% for 10 years</t>
  </si>
  <si>
    <t>Components of Increase</t>
  </si>
  <si>
    <t>Rate Case cost per PLM</t>
  </si>
  <si>
    <t>CHANGE</t>
  </si>
  <si>
    <t>SED-Seavey-07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</si>
</sst>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$-409]#,##0_);[Red]\([$$-409]#,##0\)"/>
    <numFmt numFmtId="165" formatCode="_(&quot;$&quot;* #,##0_);_(&quot;$&quot;* \(#,##0\);_(&quot;$&quot;* &quot;-&quot;??_);_(@_)"/>
    <numFmt numFmtId="166" formatCode="_(* #,##0_);_(* \(#,##0\);_(* &quot;-&quot;??_);_(@_)"/>
    <numFmt numFmtId="167" formatCode="_(* #,##0.0_);_(* \(#,##0.0\);_(* &quot;-&quot;??_);_(@_)"/>
    <numFmt numFmtId="168" formatCode="0.0%"/>
    <numFmt numFmtId="169" formatCode=";;;"/>
    <numFmt numFmtId="170" formatCode="&quot;$&quot;#,##0"/>
    <numFmt numFmtId="171" formatCode="&quot;$&quot;#,##0.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SWISS"/>
    </font>
    <font>
      <b/>
      <sz val="12"/>
      <name val="SWISS"/>
    </font>
    <font>
      <b/>
      <u/>
      <sz val="12"/>
      <name val="SWISS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165" fontId="0" fillId="0" borderId="0" xfId="2" applyNumberFormat="1" applyFont="1"/>
    <xf numFmtId="165" fontId="0" fillId="0" borderId="0" xfId="2" applyNumberFormat="1" applyFont="1" applyFill="1"/>
    <xf numFmtId="166" fontId="0" fillId="0" borderId="0" xfId="1" applyNumberFormat="1" applyFont="1"/>
    <xf numFmtId="166" fontId="0" fillId="0" borderId="0" xfId="1" applyNumberFormat="1" applyFont="1" applyFill="1"/>
    <xf numFmtId="166" fontId="0" fillId="0" borderId="3" xfId="1" applyNumberFormat="1" applyFont="1" applyBorder="1"/>
    <xf numFmtId="166" fontId="0" fillId="0" borderId="3" xfId="1" applyNumberFormat="1" applyFont="1" applyFill="1" applyBorder="1"/>
    <xf numFmtId="43" fontId="0" fillId="0" borderId="0" xfId="1" applyFont="1" applyFill="1"/>
    <xf numFmtId="165" fontId="0" fillId="0" borderId="3" xfId="2" applyNumberFormat="1" applyFont="1" applyBorder="1"/>
    <xf numFmtId="165" fontId="0" fillId="0" borderId="3" xfId="2" applyNumberFormat="1" applyFont="1" applyFill="1" applyBorder="1"/>
    <xf numFmtId="165" fontId="0" fillId="0" borderId="0" xfId="2" applyNumberFormat="1" applyFont="1" applyBorder="1"/>
    <xf numFmtId="167" fontId="0" fillId="0" borderId="0" xfId="1" applyNumberFormat="1" applyFont="1"/>
    <xf numFmtId="43" fontId="3" fillId="0" borderId="0" xfId="1" applyFont="1"/>
    <xf numFmtId="168" fontId="0" fillId="0" borderId="0" xfId="3" applyNumberFormat="1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9" fontId="5" fillId="0" borderId="0" xfId="0" applyNumberFormat="1" applyFont="1" applyProtection="1">
      <protection hidden="1"/>
    </xf>
    <xf numFmtId="0" fontId="7" fillId="0" borderId="0" xfId="0" applyFont="1"/>
    <xf numFmtId="0" fontId="6" fillId="0" borderId="0" xfId="0" applyFont="1"/>
    <xf numFmtId="170" fontId="5" fillId="0" borderId="0" xfId="0" applyNumberFormat="1" applyFont="1" applyAlignment="1">
      <alignment horizontal="fill"/>
    </xf>
    <xf numFmtId="165" fontId="5" fillId="0" borderId="0" xfId="2" applyNumberFormat="1" applyFont="1" applyFill="1" applyAlignment="1"/>
    <xf numFmtId="171" fontId="0" fillId="0" borderId="0" xfId="0" applyNumberFormat="1"/>
    <xf numFmtId="168" fontId="2" fillId="0" borderId="0" xfId="3" applyNumberFormat="1" applyFont="1"/>
    <xf numFmtId="168" fontId="5" fillId="0" borderId="0" xfId="0" applyNumberFormat="1" applyFont="1"/>
    <xf numFmtId="168" fontId="5" fillId="0" borderId="3" xfId="0" applyNumberFormat="1" applyFont="1" applyBorder="1"/>
    <xf numFmtId="168" fontId="5" fillId="0" borderId="0" xfId="0" applyNumberFormat="1" applyFont="1" applyAlignment="1">
      <alignment horizontal="fill"/>
    </xf>
    <xf numFmtId="0" fontId="8" fillId="2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/>
    <xf numFmtId="164" fontId="0" fillId="0" borderId="0" xfId="0" applyNumberFormat="1"/>
    <xf numFmtId="0" fontId="11" fillId="0" borderId="0" xfId="0" applyFont="1"/>
    <xf numFmtId="0" fontId="10" fillId="0" borderId="0" xfId="0" applyFont="1" applyAlignment="1">
      <alignment horizontal="center"/>
    </xf>
    <xf numFmtId="3" fontId="10" fillId="0" borderId="0" xfId="0" applyNumberFormat="1" applyFont="1"/>
    <xf numFmtId="0" fontId="16" fillId="0" borderId="0" xfId="0" applyFont="1"/>
    <xf numFmtId="3" fontId="0" fillId="0" borderId="0" xfId="0" applyNumberFormat="1"/>
    <xf numFmtId="164" fontId="10" fillId="0" borderId="0" xfId="0" applyNumberFormat="1" applyFont="1" applyAlignment="1">
      <alignment horizontal="fill"/>
    </xf>
    <xf numFmtId="164" fontId="9" fillId="0" borderId="0" xfId="0" applyNumberFormat="1" applyFont="1"/>
    <xf numFmtId="40" fontId="10" fillId="0" borderId="0" xfId="0" applyNumberFormat="1" applyFont="1"/>
    <xf numFmtId="165" fontId="0" fillId="0" borderId="0" xfId="0" applyNumberFormat="1"/>
    <xf numFmtId="0" fontId="0" fillId="0" borderId="4" xfId="0" applyBorder="1"/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8" fontId="5" fillId="0" borderId="0" xfId="0" applyNumberFormat="1" applyFont="1" applyProtection="1">
      <protection hidden="1"/>
    </xf>
    <xf numFmtId="168" fontId="5" fillId="0" borderId="3" xfId="0" applyNumberFormat="1" applyFont="1" applyBorder="1" applyProtection="1">
      <protection hidden="1"/>
    </xf>
    <xf numFmtId="168" fontId="5" fillId="0" borderId="0" xfId="0" applyNumberFormat="1" applyFont="1" applyAlignment="1" applyProtection="1">
      <alignment horizontal="fill"/>
      <protection hidden="1"/>
    </xf>
    <xf numFmtId="0" fontId="17" fillId="0" borderId="0" xfId="0" applyFont="1"/>
    <xf numFmtId="0" fontId="0" fillId="0" borderId="5" xfId="0" applyBorder="1"/>
    <xf numFmtId="165" fontId="0" fillId="0" borderId="5" xfId="2" applyNumberFormat="1" applyFont="1" applyBorder="1"/>
    <xf numFmtId="166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5" fillId="0" borderId="0" xfId="2" applyNumberFormat="1" applyFont="1"/>
    <xf numFmtId="165" fontId="5" fillId="0" borderId="3" xfId="2" applyNumberFormat="1" applyFont="1" applyBorder="1"/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75E0-CAFD-47AC-917C-BC2864F1E820}">
  <sheetPr>
    <pageSetUpPr fitToPage="1"/>
  </sheetPr>
  <dimension ref="A1:F39"/>
  <sheetViews>
    <sheetView workbookViewId="0">
      <selection activeCell="E34" sqref="E34"/>
    </sheetView>
  </sheetViews>
  <sheetFormatPr defaultRowHeight="15"/>
  <cols>
    <col min="1" max="1" width="8.5703125" customWidth="1"/>
    <col min="2" max="2" width="45.5703125" bestFit="1" customWidth="1"/>
    <col min="4" max="4" width="15.5703125" bestFit="1" customWidth="1"/>
    <col min="5" max="5" width="12" customWidth="1"/>
    <col min="6" max="6" width="14.140625" bestFit="1" customWidth="1"/>
  </cols>
  <sheetData>
    <row r="1" spans="1:6" ht="15.75">
      <c r="A1" s="29" t="s">
        <v>392</v>
      </c>
      <c r="F1" s="51" t="s">
        <v>424</v>
      </c>
    </row>
    <row r="2" spans="1:6" ht="15.75">
      <c r="A2" s="29" t="s">
        <v>2</v>
      </c>
    </row>
    <row r="3" spans="1:6" ht="15.75">
      <c r="A3" s="47" t="s">
        <v>421</v>
      </c>
    </row>
    <row r="4" spans="1:6" ht="15.75">
      <c r="A4" s="30"/>
    </row>
    <row r="5" spans="1:6" ht="15.75">
      <c r="A5" s="30" t="s">
        <v>414</v>
      </c>
    </row>
    <row r="6" spans="1:6" ht="15.75">
      <c r="A6" s="30" t="s">
        <v>415</v>
      </c>
    </row>
    <row r="7" spans="1:6" ht="15.75">
      <c r="A7" s="30" t="s">
        <v>389</v>
      </c>
    </row>
    <row r="9" spans="1:6" ht="15.75">
      <c r="A9" s="15"/>
      <c r="B9" s="15"/>
      <c r="C9" s="15"/>
      <c r="D9" s="16" t="s">
        <v>369</v>
      </c>
      <c r="E9" s="16" t="s">
        <v>370</v>
      </c>
      <c r="F9" s="16" t="s">
        <v>371</v>
      </c>
    </row>
    <row r="10" spans="1:6" ht="15.75">
      <c r="A10" s="15"/>
      <c r="B10" s="15"/>
      <c r="C10" s="15"/>
      <c r="D10" s="16" t="s">
        <v>372</v>
      </c>
      <c r="E10" s="16" t="s">
        <v>373</v>
      </c>
      <c r="F10" s="16" t="s">
        <v>374</v>
      </c>
    </row>
    <row r="11" spans="1:6" ht="15.75">
      <c r="A11" s="15"/>
      <c r="B11" s="15"/>
      <c r="C11" s="15"/>
      <c r="D11" s="17" t="s">
        <v>374</v>
      </c>
      <c r="E11" s="17" t="s">
        <v>374</v>
      </c>
      <c r="F11" s="17" t="s">
        <v>375</v>
      </c>
    </row>
    <row r="12" spans="1:6" ht="15.75">
      <c r="A12" s="15"/>
      <c r="B12" s="15"/>
      <c r="C12" s="15"/>
      <c r="D12" s="15"/>
      <c r="E12" s="18"/>
      <c r="F12" s="15"/>
    </row>
    <row r="13" spans="1:6" ht="15.75">
      <c r="A13" s="19" t="s">
        <v>376</v>
      </c>
      <c r="B13" s="15"/>
      <c r="C13" s="15"/>
      <c r="D13" s="15"/>
      <c r="E13" s="18"/>
      <c r="F13" s="15"/>
    </row>
    <row r="14" spans="1:6" ht="15.75">
      <c r="A14" s="15"/>
      <c r="B14" s="15" t="s">
        <v>377</v>
      </c>
      <c r="C14" s="15"/>
      <c r="D14" s="55">
        <f>+'Exh 2 - COS'!E45</f>
        <v>1819599</v>
      </c>
      <c r="E14" s="44">
        <f>+D14/$D$29</f>
        <v>0.8084941446174575</v>
      </c>
      <c r="F14" s="25">
        <f>$D$33*E14</f>
        <v>0.11809113076801814</v>
      </c>
    </row>
    <row r="15" spans="1:6" ht="15.75">
      <c r="A15" s="15"/>
      <c r="B15" s="15"/>
      <c r="C15" s="15"/>
      <c r="D15" s="55"/>
      <c r="E15" s="44"/>
      <c r="F15" s="25"/>
    </row>
    <row r="16" spans="1:6" ht="15.75">
      <c r="A16" s="15"/>
      <c r="B16" s="15" t="s">
        <v>378</v>
      </c>
      <c r="C16" s="15"/>
      <c r="D16" s="55">
        <f>+'Exh 2 - COS'!E80+'Exh 2 - COS'!E92+'Exh 2 - COS'!E132</f>
        <v>485504.40999999986</v>
      </c>
      <c r="E16" s="44">
        <f>+D16/$D$29</f>
        <v>0.21572196548302855</v>
      </c>
      <c r="F16" s="25">
        <f>$D$33*E16</f>
        <v>3.1509010924802378E-2</v>
      </c>
    </row>
    <row r="17" spans="1:6" ht="15.75">
      <c r="A17" s="15"/>
      <c r="B17" s="15"/>
      <c r="C17" s="15"/>
      <c r="D17" s="55"/>
      <c r="E17" s="44"/>
      <c r="F17" s="25"/>
    </row>
    <row r="18" spans="1:6" ht="15.75">
      <c r="A18" s="15"/>
      <c r="B18" s="15" t="s">
        <v>379</v>
      </c>
      <c r="C18" s="15"/>
      <c r="D18" s="55">
        <f>+'Exh 2 - COS'!E136</f>
        <v>124404.46036363638</v>
      </c>
      <c r="E18" s="44">
        <f>+D18/$D$29</f>
        <v>5.5276067841482979E-2</v>
      </c>
      <c r="F18" s="25">
        <f>$D$33*E18</f>
        <v>8.0737917513292283E-3</v>
      </c>
    </row>
    <row r="19" spans="1:6" ht="15.75">
      <c r="A19" s="15"/>
      <c r="B19" s="15"/>
      <c r="C19" s="15"/>
      <c r="D19" s="55"/>
      <c r="E19" s="44"/>
      <c r="F19" s="25"/>
    </row>
    <row r="20" spans="1:6" ht="15.75">
      <c r="A20" s="15"/>
      <c r="B20" s="15" t="s">
        <v>380</v>
      </c>
      <c r="C20" s="15"/>
      <c r="D20" s="55">
        <f>+'Exh 2 - COS'!E141</f>
        <v>0</v>
      </c>
      <c r="E20" s="44">
        <f>+D20/$D$29</f>
        <v>0</v>
      </c>
      <c r="F20" s="25">
        <f>$D$33*E20</f>
        <v>0</v>
      </c>
    </row>
    <row r="21" spans="1:6" ht="15.75">
      <c r="A21" s="15"/>
      <c r="B21" s="15"/>
      <c r="C21" s="15"/>
      <c r="D21" s="55"/>
      <c r="E21" s="44"/>
      <c r="F21" s="25"/>
    </row>
    <row r="22" spans="1:6" ht="15.75">
      <c r="A22" s="15"/>
      <c r="B22" s="15" t="s">
        <v>381</v>
      </c>
      <c r="C22" s="15"/>
      <c r="D22" s="55">
        <f>-'Exh 2 - COS'!E175</f>
        <v>207562.64</v>
      </c>
      <c r="E22" s="44">
        <f>+D22/$D$29</f>
        <v>9.2225363435208138E-2</v>
      </c>
      <c r="F22" s="25">
        <f>$D$33*E22</f>
        <v>1.347071902259513E-2</v>
      </c>
    </row>
    <row r="23" spans="1:6" ht="15.75">
      <c r="A23" s="15"/>
      <c r="B23" s="15"/>
      <c r="C23" s="15"/>
      <c r="D23" s="55"/>
      <c r="E23" s="44"/>
      <c r="F23" s="25"/>
    </row>
    <row r="24" spans="1:6" ht="15.75">
      <c r="A24" s="15"/>
      <c r="B24" s="15" t="s">
        <v>382</v>
      </c>
      <c r="C24" s="15"/>
      <c r="D24" s="55">
        <f>+'Exh 2 - COS'!F194-SUM('Components of Increase'!D14:D22,'Components of Increase'!D27)</f>
        <v>-70047.019999999087</v>
      </c>
      <c r="E24" s="44">
        <f>+D24/$D$29</f>
        <v>-3.1123673687390024E-2</v>
      </c>
      <c r="F24" s="25">
        <f>$D$33*E24</f>
        <v>-4.5460190947180529E-3</v>
      </c>
    </row>
    <row r="25" spans="1:6" ht="15.75">
      <c r="A25" s="20"/>
      <c r="B25" s="15"/>
      <c r="C25" s="15"/>
      <c r="D25" s="55"/>
      <c r="E25" s="44"/>
      <c r="F25" s="25"/>
    </row>
    <row r="26" spans="1:6" ht="15.75">
      <c r="A26" s="19" t="s">
        <v>383</v>
      </c>
      <c r="B26" s="15"/>
      <c r="C26" s="15"/>
      <c r="D26" s="55"/>
      <c r="E26" s="44"/>
      <c r="F26" s="25"/>
    </row>
    <row r="27" spans="1:6" ht="15.75">
      <c r="A27" s="15"/>
      <c r="B27" s="15" t="s">
        <v>384</v>
      </c>
      <c r="C27" s="15"/>
      <c r="D27" s="56">
        <f>-'Exh 2 - COS'!E154-'Exh 2 - COS'!E179</f>
        <v>-316420.91999999993</v>
      </c>
      <c r="E27" s="45">
        <f>+D27/$D$29</f>
        <v>-0.1405938676897871</v>
      </c>
      <c r="F27" s="26">
        <f>$D$33*E27</f>
        <v>-2.0535570882077095E-2</v>
      </c>
    </row>
    <row r="28" spans="1:6" ht="15.75">
      <c r="A28" s="15"/>
      <c r="B28" s="15"/>
      <c r="C28" s="15"/>
      <c r="D28" s="21"/>
      <c r="E28" s="46" t="s">
        <v>385</v>
      </c>
      <c r="F28" s="27"/>
    </row>
    <row r="29" spans="1:6" ht="15.75">
      <c r="A29" s="15" t="s">
        <v>386</v>
      </c>
      <c r="B29" s="15"/>
      <c r="C29" s="15"/>
      <c r="D29" s="55">
        <f>SUM(D14:D27)</f>
        <v>2250602.5703636371</v>
      </c>
      <c r="E29" s="25">
        <f>SUM(E14:E28)</f>
        <v>1</v>
      </c>
      <c r="F29" s="25">
        <f>SUM(F14:F28)</f>
        <v>0.14606306248994971</v>
      </c>
    </row>
    <row r="30" spans="1:6" ht="15.75">
      <c r="A30" s="15"/>
      <c r="B30" s="15"/>
      <c r="C30" s="15"/>
      <c r="D30" s="55"/>
      <c r="E30" s="18"/>
      <c r="F30" s="15"/>
    </row>
    <row r="31" spans="1:6" ht="15.75">
      <c r="A31" s="15" t="s">
        <v>387</v>
      </c>
      <c r="B31" s="15"/>
      <c r="C31" s="15"/>
      <c r="D31" s="22">
        <f>+'Exh 2 - COS'!F192</f>
        <v>15408430.66</v>
      </c>
      <c r="E31" s="15"/>
      <c r="F31" s="15"/>
    </row>
    <row r="33" spans="1:4" ht="15.75">
      <c r="A33" s="1" t="s">
        <v>391</v>
      </c>
      <c r="B33" s="1"/>
      <c r="C33" s="1"/>
      <c r="D33" s="24">
        <f>D29/D31</f>
        <v>0.14606306248994971</v>
      </c>
    </row>
    <row r="38" spans="1:4">
      <c r="D38" s="4"/>
    </row>
    <row r="39" spans="1:4">
      <c r="D39" s="23"/>
    </row>
  </sheetData>
  <pageMargins left="0.25" right="0.25" top="0.75" bottom="0.75" header="0.3" footer="0.3"/>
  <pageSetup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32FBF-7E26-4236-85D0-50296ED110AC}">
  <sheetPr>
    <pageSetUpPr fitToPage="1"/>
  </sheetPr>
  <dimension ref="A1:J21"/>
  <sheetViews>
    <sheetView workbookViewId="0">
      <selection activeCell="K20" sqref="K20"/>
    </sheetView>
  </sheetViews>
  <sheetFormatPr defaultRowHeight="15"/>
  <cols>
    <col min="1" max="1" width="8.28515625" bestFit="1" customWidth="1"/>
    <col min="2" max="2" width="24.140625" bestFit="1" customWidth="1"/>
    <col min="3" max="3" width="11.5703125" bestFit="1" customWidth="1"/>
    <col min="4" max="4" width="10" bestFit="1" customWidth="1"/>
    <col min="5" max="5" width="10.28515625" bestFit="1" customWidth="1"/>
    <col min="6" max="6" width="10" bestFit="1" customWidth="1"/>
    <col min="7" max="7" width="12.5703125" bestFit="1" customWidth="1"/>
    <col min="8" max="8" width="10" bestFit="1" customWidth="1"/>
    <col min="9" max="9" width="11.42578125" bestFit="1" customWidth="1"/>
    <col min="10" max="10" width="14.140625" bestFit="1" customWidth="1"/>
  </cols>
  <sheetData>
    <row r="1" spans="1:10" ht="15.75">
      <c r="A1" s="29" t="s">
        <v>392</v>
      </c>
      <c r="J1" s="51" t="s">
        <v>413</v>
      </c>
    </row>
    <row r="2" spans="1:10" ht="15.75">
      <c r="A2" s="29" t="s">
        <v>2</v>
      </c>
    </row>
    <row r="3" spans="1:10" ht="15.75">
      <c r="A3" s="47" t="s">
        <v>394</v>
      </c>
    </row>
    <row r="4" spans="1:10" ht="15.75">
      <c r="A4" s="30"/>
    </row>
    <row r="5" spans="1:10" ht="15.75">
      <c r="A5" s="30" t="s">
        <v>414</v>
      </c>
    </row>
    <row r="6" spans="1:10" ht="15.75">
      <c r="A6" s="30" t="s">
        <v>415</v>
      </c>
    </row>
    <row r="7" spans="1:10" ht="15.75">
      <c r="A7" s="30" t="s">
        <v>389</v>
      </c>
    </row>
    <row r="9" spans="1:10" s="53" customFormat="1" ht="30">
      <c r="A9" s="53" t="s">
        <v>395</v>
      </c>
      <c r="B9" s="53" t="s">
        <v>396</v>
      </c>
      <c r="C9" s="54" t="s">
        <v>397</v>
      </c>
      <c r="D9" s="54" t="s">
        <v>408</v>
      </c>
      <c r="E9" s="54" t="s">
        <v>398</v>
      </c>
      <c r="F9" s="54" t="s">
        <v>399</v>
      </c>
      <c r="G9" s="54" t="s">
        <v>400</v>
      </c>
      <c r="H9" s="54" t="s">
        <v>401</v>
      </c>
      <c r="I9" s="54" t="s">
        <v>412</v>
      </c>
      <c r="J9" s="54" t="s">
        <v>402</v>
      </c>
    </row>
    <row r="11" spans="1:10">
      <c r="A11">
        <v>1</v>
      </c>
      <c r="B11" t="s">
        <v>403</v>
      </c>
      <c r="C11" s="2">
        <f>+'Exh 2 - COS'!E45</f>
        <v>1819599</v>
      </c>
      <c r="D11" s="2"/>
      <c r="E11" s="2"/>
      <c r="F11" s="2"/>
      <c r="G11" s="2"/>
      <c r="H11" s="2"/>
      <c r="I11" s="2"/>
      <c r="J11" s="2">
        <f>SUM(C11:I11)</f>
        <v>1819599</v>
      </c>
    </row>
    <row r="12" spans="1:10">
      <c r="A12">
        <v>2</v>
      </c>
      <c r="B12" t="s">
        <v>404</v>
      </c>
      <c r="C12" s="2"/>
      <c r="D12" s="2">
        <f>+'Exh 2 - COS'!E80</f>
        <v>235908.59999999995</v>
      </c>
      <c r="E12" s="2">
        <f>+'Exh 2 - COS'!E92</f>
        <v>95551.69</v>
      </c>
      <c r="F12" s="2">
        <f>SUM('Exh 2 - COS'!E102:E106)</f>
        <v>66651.489999999947</v>
      </c>
      <c r="G12" s="2"/>
      <c r="H12" s="2"/>
      <c r="I12" s="2"/>
      <c r="J12" s="2">
        <f t="shared" ref="J12:J18" si="0">SUM(C12:I12)</f>
        <v>398111.77999999985</v>
      </c>
    </row>
    <row r="13" spans="1:10">
      <c r="A13">
        <v>3</v>
      </c>
      <c r="B13" t="s">
        <v>409</v>
      </c>
      <c r="C13" s="2"/>
      <c r="D13" s="2"/>
      <c r="E13" s="2"/>
      <c r="F13" s="3">
        <f>+'Exh 2 - COS'!E120+'Exh 2 - COS'!E123+'Exh 2 - COS'!E125</f>
        <v>87392.63</v>
      </c>
      <c r="G13" s="2"/>
      <c r="H13" s="2"/>
      <c r="I13" s="2"/>
      <c r="J13" s="2">
        <f t="shared" si="0"/>
        <v>87392.63</v>
      </c>
    </row>
    <row r="14" spans="1:10">
      <c r="A14">
        <v>4</v>
      </c>
      <c r="B14" t="s">
        <v>410</v>
      </c>
      <c r="C14" s="2"/>
      <c r="D14" s="2"/>
      <c r="E14" s="2"/>
      <c r="F14" s="2"/>
      <c r="G14" s="2"/>
      <c r="H14" s="2"/>
      <c r="I14" s="2">
        <f>-'Exh 2 - COS'!E154</f>
        <v>-256654.91999999993</v>
      </c>
      <c r="J14" s="2">
        <f t="shared" si="0"/>
        <v>-256654.91999999993</v>
      </c>
    </row>
    <row r="15" spans="1:10">
      <c r="A15">
        <v>5</v>
      </c>
      <c r="B15" t="s">
        <v>405</v>
      </c>
      <c r="C15" s="2"/>
      <c r="D15" s="2"/>
      <c r="E15" s="2"/>
      <c r="F15" s="2"/>
      <c r="G15" s="2">
        <f>+'Exh 2 - COS'!E136</f>
        <v>124404.46036363638</v>
      </c>
      <c r="H15" s="2"/>
      <c r="I15" s="2"/>
      <c r="J15" s="2">
        <f t="shared" si="0"/>
        <v>124404.46036363638</v>
      </c>
    </row>
    <row r="16" spans="1:10">
      <c r="A16">
        <v>6</v>
      </c>
      <c r="B16" t="s">
        <v>411</v>
      </c>
      <c r="C16" s="2"/>
      <c r="D16" s="2"/>
      <c r="E16" s="2"/>
      <c r="F16" s="2"/>
      <c r="G16" s="2"/>
      <c r="H16" s="2"/>
      <c r="I16" s="2">
        <f>-'Exh 2 - COS'!E179</f>
        <v>-59766</v>
      </c>
      <c r="J16" s="2">
        <f t="shared" si="0"/>
        <v>-59766</v>
      </c>
    </row>
    <row r="17" spans="1:10">
      <c r="A17">
        <v>7</v>
      </c>
      <c r="B17" t="s">
        <v>406</v>
      </c>
      <c r="C17" s="2"/>
      <c r="D17" s="2"/>
      <c r="E17" s="2"/>
      <c r="F17" s="2"/>
      <c r="G17" s="2"/>
      <c r="H17" s="2">
        <f>-+'Exh 2 - COS'!E175</f>
        <v>207562.64</v>
      </c>
      <c r="I17" s="2"/>
      <c r="J17" s="2">
        <f t="shared" si="0"/>
        <v>207562.64</v>
      </c>
    </row>
    <row r="18" spans="1:10">
      <c r="A18">
        <v>8</v>
      </c>
      <c r="B18" t="s">
        <v>228</v>
      </c>
      <c r="C18" s="2"/>
      <c r="D18" s="2"/>
      <c r="E18" s="2"/>
      <c r="F18" s="2"/>
      <c r="G18" s="2"/>
      <c r="H18" s="2"/>
      <c r="I18" s="3">
        <f>+'Components of Increase'!D24</f>
        <v>-70047.019999999087</v>
      </c>
      <c r="J18" s="2">
        <f t="shared" si="0"/>
        <v>-70047.019999999087</v>
      </c>
    </row>
    <row r="19" spans="1:10">
      <c r="B19" s="48" t="s">
        <v>407</v>
      </c>
      <c r="C19" s="49">
        <f t="shared" ref="C19:J19" si="1">SUM(C11:C18)</f>
        <v>1819599</v>
      </c>
      <c r="D19" s="49">
        <f t="shared" si="1"/>
        <v>235908.59999999995</v>
      </c>
      <c r="E19" s="49">
        <f t="shared" si="1"/>
        <v>95551.69</v>
      </c>
      <c r="F19" s="49">
        <f t="shared" si="1"/>
        <v>154044.11999999994</v>
      </c>
      <c r="G19" s="49">
        <f t="shared" si="1"/>
        <v>124404.46036363638</v>
      </c>
      <c r="H19" s="49">
        <f t="shared" si="1"/>
        <v>207562.64</v>
      </c>
      <c r="I19" s="49">
        <f t="shared" si="1"/>
        <v>-386467.93999999901</v>
      </c>
      <c r="J19" s="49">
        <f t="shared" si="1"/>
        <v>2250602.5703636371</v>
      </c>
    </row>
    <row r="21" spans="1:10">
      <c r="J21" s="40"/>
    </row>
  </sheetData>
  <pageMargins left="0.25" right="0.25" top="0.75" bottom="0.75" header="0.3" footer="0.3"/>
  <pageSetup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CCC0A-0BC4-4498-8C50-9786DEE65CF4}">
  <sheetPr>
    <pageSetUpPr fitToPage="1"/>
  </sheetPr>
  <dimension ref="A1:H197"/>
  <sheetViews>
    <sheetView tabSelected="1" zoomScaleNormal="100" workbookViewId="0">
      <pane ySplit="8" topLeftCell="A176" activePane="bottomLeft" state="frozen"/>
      <selection pane="bottomLeft" activeCell="G196" sqref="G196"/>
    </sheetView>
  </sheetViews>
  <sheetFormatPr defaultRowHeight="15"/>
  <cols>
    <col min="1" max="1" width="4" bestFit="1" customWidth="1"/>
    <col min="2" max="2" width="14" customWidth="1"/>
    <col min="3" max="3" width="36.42578125" bestFit="1" customWidth="1"/>
    <col min="4" max="4" width="12.5703125" bestFit="1" customWidth="1"/>
    <col min="5" max="5" width="12.28515625" bestFit="1" customWidth="1"/>
    <col min="6" max="6" width="12.5703125" bestFit="1" customWidth="1"/>
    <col min="7" max="7" width="61.7109375" bestFit="1" customWidth="1"/>
    <col min="9" max="9" width="11.5703125" bestFit="1" customWidth="1"/>
  </cols>
  <sheetData>
    <row r="1" spans="1:7" ht="15.75">
      <c r="A1" s="28" t="s">
        <v>0</v>
      </c>
      <c r="B1" s="29" t="s">
        <v>392</v>
      </c>
      <c r="C1" s="30"/>
      <c r="D1" s="30"/>
      <c r="F1" s="31"/>
      <c r="G1" s="51" t="s">
        <v>393</v>
      </c>
    </row>
    <row r="2" spans="1:7" ht="15.75">
      <c r="A2" s="28" t="s">
        <v>1</v>
      </c>
      <c r="B2" s="29" t="s">
        <v>2</v>
      </c>
      <c r="C2" s="30"/>
      <c r="D2" s="32"/>
      <c r="E2" s="32"/>
      <c r="F2" s="31"/>
    </row>
    <row r="3" spans="1:7" ht="15.75">
      <c r="A3" s="28" t="s">
        <v>3</v>
      </c>
      <c r="B3" s="30" t="s">
        <v>414</v>
      </c>
      <c r="C3" s="30"/>
      <c r="D3" s="30"/>
      <c r="F3" s="31"/>
    </row>
    <row r="4" spans="1:7" ht="15.75">
      <c r="A4" s="28" t="s">
        <v>4</v>
      </c>
      <c r="B4" s="30" t="s">
        <v>415</v>
      </c>
      <c r="C4" s="30"/>
      <c r="D4" s="30"/>
      <c r="F4" s="31"/>
    </row>
    <row r="5" spans="1:7" ht="15.75">
      <c r="A5" s="28" t="s">
        <v>5</v>
      </c>
      <c r="B5" s="30" t="s">
        <v>389</v>
      </c>
      <c r="C5" s="30"/>
      <c r="D5" s="30"/>
      <c r="F5" s="31"/>
    </row>
    <row r="6" spans="1:7" ht="15.75">
      <c r="A6" s="28" t="s">
        <v>6</v>
      </c>
      <c r="B6" s="30"/>
      <c r="C6" s="30"/>
      <c r="D6" s="30"/>
      <c r="F6" s="31"/>
    </row>
    <row r="7" spans="1:7" ht="15.75">
      <c r="A7" s="28" t="s">
        <v>7</v>
      </c>
      <c r="D7" s="33"/>
      <c r="E7" s="33"/>
      <c r="F7" s="33"/>
    </row>
    <row r="8" spans="1:7" ht="15.75">
      <c r="A8" s="28" t="s">
        <v>8</v>
      </c>
      <c r="B8" s="41" t="s">
        <v>9</v>
      </c>
      <c r="C8" s="41" t="s">
        <v>10</v>
      </c>
      <c r="D8" s="43" t="s">
        <v>11</v>
      </c>
      <c r="E8" s="43" t="s">
        <v>423</v>
      </c>
      <c r="F8" s="42" t="s">
        <v>388</v>
      </c>
      <c r="G8" s="42" t="s">
        <v>390</v>
      </c>
    </row>
    <row r="9" spans="1:7" ht="18.75">
      <c r="A9" s="28" t="s">
        <v>12</v>
      </c>
      <c r="B9" s="57" t="s">
        <v>13</v>
      </c>
      <c r="C9" s="58"/>
      <c r="D9" s="58"/>
      <c r="E9" s="58"/>
      <c r="F9" s="58"/>
    </row>
    <row r="10" spans="1:7">
      <c r="A10" s="28" t="s">
        <v>14</v>
      </c>
      <c r="F10" s="31"/>
    </row>
    <row r="11" spans="1:7" ht="15.75">
      <c r="A11" s="28" t="s">
        <v>15</v>
      </c>
      <c r="B11" s="35" t="s">
        <v>16</v>
      </c>
      <c r="F11" s="31"/>
    </row>
    <row r="12" spans="1:7">
      <c r="A12" s="28" t="s">
        <v>17</v>
      </c>
      <c r="B12">
        <v>440.1</v>
      </c>
      <c r="C12" t="s">
        <v>18</v>
      </c>
      <c r="D12" s="2">
        <v>6752289</v>
      </c>
      <c r="E12" s="3">
        <v>0</v>
      </c>
      <c r="F12" s="2">
        <f>+D12+E12</f>
        <v>6752289</v>
      </c>
    </row>
    <row r="13" spans="1:7">
      <c r="A13" s="28" t="s">
        <v>19</v>
      </c>
      <c r="B13">
        <v>440.11</v>
      </c>
      <c r="C13" t="s">
        <v>20</v>
      </c>
      <c r="D13" s="4">
        <v>348477</v>
      </c>
      <c r="E13" s="5">
        <v>0</v>
      </c>
      <c r="F13" s="4">
        <f t="shared" ref="F13:F20" si="0">+D13+E13</f>
        <v>348477</v>
      </c>
    </row>
    <row r="14" spans="1:7">
      <c r="A14" s="28" t="s">
        <v>21</v>
      </c>
      <c r="B14">
        <v>442.1</v>
      </c>
      <c r="C14" t="s">
        <v>26</v>
      </c>
      <c r="D14" s="4">
        <v>5832133</v>
      </c>
      <c r="E14" s="5">
        <v>0</v>
      </c>
      <c r="F14" s="4">
        <f t="shared" si="0"/>
        <v>5832133</v>
      </c>
    </row>
    <row r="15" spans="1:7">
      <c r="A15" s="28" t="s">
        <v>23</v>
      </c>
      <c r="B15">
        <v>442.11</v>
      </c>
      <c r="C15" t="s">
        <v>28</v>
      </c>
      <c r="D15" s="4">
        <v>2130163</v>
      </c>
      <c r="E15" s="5">
        <v>0</v>
      </c>
      <c r="F15" s="4">
        <f t="shared" si="0"/>
        <v>2130163</v>
      </c>
    </row>
    <row r="16" spans="1:7">
      <c r="A16" s="28" t="s">
        <v>25</v>
      </c>
      <c r="B16">
        <v>442.15</v>
      </c>
      <c r="C16" t="s">
        <v>30</v>
      </c>
      <c r="D16" s="4">
        <f>(10996.92*12)+(13988.69+6768.72+11913.83+12630.52+15426.49+16426.31+15240.68+6994.34+6768.72+13988.69+13988.69+12634.94)</f>
        <v>278733.66000000003</v>
      </c>
      <c r="E16" s="5">
        <v>0</v>
      </c>
      <c r="F16" s="4">
        <f t="shared" si="0"/>
        <v>278733.66000000003</v>
      </c>
    </row>
    <row r="17" spans="1:6">
      <c r="A17" s="28" t="s">
        <v>27</v>
      </c>
      <c r="B17">
        <v>444.1</v>
      </c>
      <c r="C17" t="s">
        <v>34</v>
      </c>
      <c r="D17" s="4">
        <v>10637</v>
      </c>
      <c r="E17" s="5">
        <v>0</v>
      </c>
      <c r="F17" s="4">
        <f t="shared" si="0"/>
        <v>10637</v>
      </c>
    </row>
    <row r="18" spans="1:6">
      <c r="A18" s="28" t="s">
        <v>29</v>
      </c>
      <c r="B18">
        <v>444.2</v>
      </c>
      <c r="C18" t="s">
        <v>36</v>
      </c>
      <c r="D18" s="4">
        <v>35495</v>
      </c>
      <c r="E18" s="5">
        <v>0</v>
      </c>
      <c r="F18" s="4">
        <f t="shared" si="0"/>
        <v>35495</v>
      </c>
    </row>
    <row r="19" spans="1:6">
      <c r="A19" s="28" t="s">
        <v>31</v>
      </c>
      <c r="B19">
        <v>451.1</v>
      </c>
      <c r="C19" t="s">
        <v>38</v>
      </c>
      <c r="D19" s="4">
        <v>8268</v>
      </c>
      <c r="E19" s="5">
        <v>0</v>
      </c>
      <c r="F19" s="4">
        <f t="shared" si="0"/>
        <v>8268</v>
      </c>
    </row>
    <row r="20" spans="1:6">
      <c r="A20" s="28" t="s">
        <v>33</v>
      </c>
      <c r="B20">
        <v>451.15</v>
      </c>
      <c r="C20" t="s">
        <v>40</v>
      </c>
      <c r="D20" s="6">
        <v>12235</v>
      </c>
      <c r="E20" s="7">
        <v>0</v>
      </c>
      <c r="F20" s="6">
        <f t="shared" si="0"/>
        <v>12235</v>
      </c>
    </row>
    <row r="21" spans="1:6">
      <c r="A21" s="28" t="s">
        <v>35</v>
      </c>
      <c r="B21" t="s">
        <v>42</v>
      </c>
      <c r="D21" s="2">
        <f>SUM(D12:D20)</f>
        <v>15408430.66</v>
      </c>
      <c r="E21" s="3">
        <f>SUM(E12:E20)</f>
        <v>0</v>
      </c>
      <c r="F21" s="2">
        <f>SUM(F12:F20)</f>
        <v>15408430.66</v>
      </c>
    </row>
    <row r="22" spans="1:6">
      <c r="A22" s="28" t="s">
        <v>37</v>
      </c>
      <c r="D22" s="2"/>
      <c r="E22" s="3"/>
      <c r="F22" s="2"/>
    </row>
    <row r="23" spans="1:6" ht="15.75">
      <c r="A23" s="28" t="s">
        <v>39</v>
      </c>
      <c r="B23" s="35" t="s">
        <v>44</v>
      </c>
      <c r="F23" s="31"/>
    </row>
    <row r="24" spans="1:6">
      <c r="A24" s="28" t="s">
        <v>235</v>
      </c>
      <c r="B24">
        <v>415.1</v>
      </c>
      <c r="C24" t="s">
        <v>46</v>
      </c>
      <c r="D24" s="2">
        <v>771960</v>
      </c>
      <c r="E24" s="3">
        <v>0</v>
      </c>
      <c r="F24" s="2">
        <f t="shared" ref="F24:F25" si="1">+D24+E24</f>
        <v>771960</v>
      </c>
    </row>
    <row r="25" spans="1:6">
      <c r="A25" s="28" t="s">
        <v>41</v>
      </c>
      <c r="B25">
        <v>415.11</v>
      </c>
      <c r="C25" t="s">
        <v>48</v>
      </c>
      <c r="D25" s="6">
        <v>23016</v>
      </c>
      <c r="E25" s="7">
        <v>0</v>
      </c>
      <c r="F25" s="6">
        <f t="shared" si="1"/>
        <v>23016</v>
      </c>
    </row>
    <row r="26" spans="1:6">
      <c r="A26" s="28" t="s">
        <v>43</v>
      </c>
      <c r="B26" t="s">
        <v>50</v>
      </c>
      <c r="D26" s="2">
        <f>+D24+D25</f>
        <v>794976</v>
      </c>
      <c r="E26" s="3">
        <f t="shared" ref="E26:F26" si="2">+E24+E25</f>
        <v>0</v>
      </c>
      <c r="F26" s="2">
        <f t="shared" si="2"/>
        <v>794976</v>
      </c>
    </row>
    <row r="27" spans="1:6" ht="15.75">
      <c r="A27" s="28" t="s">
        <v>45</v>
      </c>
      <c r="D27" s="36"/>
      <c r="F27" s="37"/>
    </row>
    <row r="28" spans="1:6" ht="15.75">
      <c r="A28" s="28" t="s">
        <v>47</v>
      </c>
      <c r="B28" s="35" t="s">
        <v>52</v>
      </c>
      <c r="F28" s="38"/>
    </row>
    <row r="29" spans="1:6">
      <c r="A29" s="28" t="s">
        <v>236</v>
      </c>
      <c r="B29">
        <v>418.15</v>
      </c>
      <c r="C29" t="s">
        <v>54</v>
      </c>
      <c r="D29" s="2">
        <v>29174</v>
      </c>
      <c r="E29" s="3">
        <v>0</v>
      </c>
      <c r="F29" s="2">
        <f t="shared" ref="F29:F32" si="3">+D29+E29</f>
        <v>29174</v>
      </c>
    </row>
    <row r="30" spans="1:6">
      <c r="A30" s="28" t="s">
        <v>49</v>
      </c>
      <c r="B30">
        <v>454.1</v>
      </c>
      <c r="C30" t="s">
        <v>56</v>
      </c>
      <c r="D30" s="4">
        <v>23704</v>
      </c>
      <c r="E30" s="5">
        <v>0</v>
      </c>
      <c r="F30" s="4">
        <f t="shared" si="3"/>
        <v>23704</v>
      </c>
    </row>
    <row r="31" spans="1:6">
      <c r="A31" s="28" t="s">
        <v>51</v>
      </c>
      <c r="B31">
        <v>454.11</v>
      </c>
      <c r="C31" t="s">
        <v>58</v>
      </c>
      <c r="D31" s="6">
        <v>4982</v>
      </c>
      <c r="E31" s="7">
        <v>0</v>
      </c>
      <c r="F31" s="6">
        <f t="shared" si="3"/>
        <v>4982</v>
      </c>
    </row>
    <row r="32" spans="1:6">
      <c r="A32" s="28" t="s">
        <v>53</v>
      </c>
      <c r="B32" t="s">
        <v>60</v>
      </c>
      <c r="D32" s="2">
        <f>SUM(D29:D31)</f>
        <v>57860</v>
      </c>
      <c r="E32" s="3">
        <f>SUM(E29:E31)</f>
        <v>0</v>
      </c>
      <c r="F32" s="2">
        <f t="shared" si="3"/>
        <v>57860</v>
      </c>
    </row>
    <row r="33" spans="1:7" ht="15.75">
      <c r="A33" s="28" t="s">
        <v>55</v>
      </c>
      <c r="B33" t="s">
        <v>62</v>
      </c>
      <c r="C33" t="s">
        <v>62</v>
      </c>
      <c r="E33" s="30"/>
      <c r="F33" s="31"/>
    </row>
    <row r="34" spans="1:7" ht="15.75">
      <c r="A34" s="28" t="s">
        <v>57</v>
      </c>
      <c r="B34" s="29" t="s">
        <v>64</v>
      </c>
      <c r="D34" s="2">
        <f>+D21+D26+D32</f>
        <v>16261266.66</v>
      </c>
      <c r="E34" s="3">
        <f t="shared" ref="E34:F34" si="4">+E21+E26+E32</f>
        <v>0</v>
      </c>
      <c r="F34" s="2">
        <f t="shared" si="4"/>
        <v>16261266.66</v>
      </c>
    </row>
    <row r="35" spans="1:7">
      <c r="A35" s="28" t="s">
        <v>237</v>
      </c>
      <c r="B35" t="s">
        <v>62</v>
      </c>
      <c r="C35" t="s">
        <v>62</v>
      </c>
      <c r="F35" s="31"/>
    </row>
    <row r="36" spans="1:7" ht="18.75">
      <c r="A36" s="28" t="s">
        <v>59</v>
      </c>
      <c r="B36" s="57" t="s">
        <v>67</v>
      </c>
      <c r="C36" s="58"/>
      <c r="D36" s="58"/>
      <c r="E36" s="58"/>
      <c r="F36" s="58"/>
    </row>
    <row r="37" spans="1:7" ht="15.75">
      <c r="A37" s="28" t="s">
        <v>61</v>
      </c>
      <c r="F37" s="38"/>
    </row>
    <row r="38" spans="1:7" ht="15.75">
      <c r="A38" s="28" t="s">
        <v>63</v>
      </c>
      <c r="B38" s="29" t="s">
        <v>70</v>
      </c>
      <c r="E38" s="40"/>
      <c r="F38" s="31"/>
    </row>
    <row r="39" spans="1:7">
      <c r="A39" s="28" t="s">
        <v>65</v>
      </c>
      <c r="B39">
        <v>555.1</v>
      </c>
      <c r="C39" t="s">
        <v>72</v>
      </c>
      <c r="D39" s="3">
        <v>6720405</v>
      </c>
      <c r="E39" s="3">
        <f>+F39-D39</f>
        <v>-1441459</v>
      </c>
      <c r="F39" s="3">
        <f>7049409-1770463</f>
        <v>5278946</v>
      </c>
      <c r="G39" t="s">
        <v>217</v>
      </c>
    </row>
    <row r="40" spans="1:7">
      <c r="A40" s="28" t="s">
        <v>66</v>
      </c>
      <c r="B40">
        <v>555.20000000000005</v>
      </c>
      <c r="C40" t="s">
        <v>75</v>
      </c>
      <c r="D40" s="5">
        <f>1147579-63840</f>
        <v>1083739</v>
      </c>
      <c r="E40" s="5">
        <f t="shared" ref="E40:E44" si="5">+F40-D40</f>
        <v>1455655</v>
      </c>
      <c r="F40" s="5">
        <f>2369818-F42-F43-F44</f>
        <v>2539394</v>
      </c>
      <c r="G40" t="s">
        <v>217</v>
      </c>
    </row>
    <row r="41" spans="1:7">
      <c r="A41" s="28" t="s">
        <v>68</v>
      </c>
      <c r="B41">
        <v>555.29999999999995</v>
      </c>
      <c r="C41" t="s">
        <v>77</v>
      </c>
      <c r="D41" s="5">
        <f>3379193-(132506+305550)</f>
        <v>2941137</v>
      </c>
      <c r="E41" s="5">
        <f t="shared" si="5"/>
        <v>1492507</v>
      </c>
      <c r="F41" s="5">
        <v>4433644</v>
      </c>
      <c r="G41" t="s">
        <v>217</v>
      </c>
    </row>
    <row r="42" spans="1:7">
      <c r="A42" s="28" t="s">
        <v>69</v>
      </c>
      <c r="B42">
        <v>555.4</v>
      </c>
      <c r="C42" t="s">
        <v>79</v>
      </c>
      <c r="D42" s="5">
        <v>-602566</v>
      </c>
      <c r="E42" s="5">
        <f t="shared" si="5"/>
        <v>68300</v>
      </c>
      <c r="F42" s="5">
        <v>-534266</v>
      </c>
      <c r="G42" t="s">
        <v>217</v>
      </c>
    </row>
    <row r="43" spans="1:7">
      <c r="A43" s="28" t="s">
        <v>238</v>
      </c>
      <c r="B43">
        <v>555.5</v>
      </c>
      <c r="C43" t="s">
        <v>81</v>
      </c>
      <c r="D43" s="5">
        <f>57281-51122</f>
        <v>6159</v>
      </c>
      <c r="E43" s="5">
        <f t="shared" si="5"/>
        <v>253757</v>
      </c>
      <c r="F43" s="5">
        <v>259916</v>
      </c>
      <c r="G43" t="s">
        <v>217</v>
      </c>
    </row>
    <row r="44" spans="1:7">
      <c r="A44" s="28" t="s">
        <v>71</v>
      </c>
      <c r="B44">
        <v>575.20000000000005</v>
      </c>
      <c r="C44" t="s">
        <v>83</v>
      </c>
      <c r="D44" s="7">
        <v>113935</v>
      </c>
      <c r="E44" s="7">
        <f t="shared" si="5"/>
        <v>-9161</v>
      </c>
      <c r="F44" s="7">
        <v>104774</v>
      </c>
      <c r="G44" t="s">
        <v>217</v>
      </c>
    </row>
    <row r="45" spans="1:7">
      <c r="A45" s="28" t="s">
        <v>73</v>
      </c>
      <c r="B45" t="s">
        <v>85</v>
      </c>
      <c r="D45" s="2">
        <f>SUM(D39:D44)</f>
        <v>10262809</v>
      </c>
      <c r="E45" s="3">
        <f>+F45-D45</f>
        <v>1819599</v>
      </c>
      <c r="F45" s="2">
        <f>SUM(F39:F44)</f>
        <v>12082408</v>
      </c>
    </row>
    <row r="46" spans="1:7">
      <c r="A46" s="28" t="s">
        <v>74</v>
      </c>
      <c r="D46" s="36"/>
      <c r="F46" s="31"/>
    </row>
    <row r="47" spans="1:7" ht="15.75">
      <c r="A47" s="28" t="s">
        <v>76</v>
      </c>
      <c r="B47" s="29" t="s">
        <v>87</v>
      </c>
      <c r="F47" s="31"/>
    </row>
    <row r="48" spans="1:7">
      <c r="A48" s="28" t="s">
        <v>78</v>
      </c>
      <c r="B48">
        <v>416.1</v>
      </c>
      <c r="C48" t="s">
        <v>89</v>
      </c>
      <c r="D48" s="2">
        <v>72649</v>
      </c>
      <c r="E48" s="3">
        <v>0</v>
      </c>
      <c r="F48" s="2">
        <f t="shared" ref="F48:F79" si="6">+D48+E48</f>
        <v>72649</v>
      </c>
    </row>
    <row r="49" spans="1:8">
      <c r="A49" s="28" t="s">
        <v>80</v>
      </c>
      <c r="B49">
        <v>416.2</v>
      </c>
      <c r="C49" t="s">
        <v>91</v>
      </c>
      <c r="D49" s="4">
        <v>81763</v>
      </c>
      <c r="E49" s="5">
        <v>0</v>
      </c>
      <c r="F49" s="4">
        <f t="shared" si="6"/>
        <v>81763</v>
      </c>
    </row>
    <row r="50" spans="1:8">
      <c r="A50" s="28" t="s">
        <v>82</v>
      </c>
      <c r="B50">
        <v>550.01</v>
      </c>
      <c r="C50" t="s">
        <v>93</v>
      </c>
      <c r="D50" s="4">
        <v>23775</v>
      </c>
      <c r="E50" s="5">
        <v>0</v>
      </c>
      <c r="F50" s="4">
        <f t="shared" si="6"/>
        <v>23775</v>
      </c>
    </row>
    <row r="51" spans="1:8">
      <c r="A51" s="28" t="s">
        <v>239</v>
      </c>
      <c r="B51">
        <v>550.20000000000005</v>
      </c>
      <c r="C51" t="s">
        <v>95</v>
      </c>
      <c r="D51" s="4">
        <v>14749</v>
      </c>
      <c r="E51" s="5">
        <v>0</v>
      </c>
      <c r="F51" s="4">
        <f t="shared" si="6"/>
        <v>14749</v>
      </c>
    </row>
    <row r="52" spans="1:8">
      <c r="A52" s="28" t="s">
        <v>84</v>
      </c>
      <c r="B52">
        <v>581.1</v>
      </c>
      <c r="C52" t="s">
        <v>97</v>
      </c>
      <c r="D52" s="4">
        <v>184582</v>
      </c>
      <c r="E52" s="5">
        <v>12366.920000000013</v>
      </c>
      <c r="F52" s="4">
        <f t="shared" si="6"/>
        <v>196948.92</v>
      </c>
      <c r="G52" t="s">
        <v>219</v>
      </c>
      <c r="H52" s="50"/>
    </row>
    <row r="53" spans="1:8">
      <c r="A53" s="28" t="s">
        <v>86</v>
      </c>
      <c r="B53">
        <v>581.11</v>
      </c>
      <c r="C53" t="s">
        <v>99</v>
      </c>
      <c r="D53" s="4">
        <v>520297</v>
      </c>
      <c r="E53" s="5">
        <v>137321.62</v>
      </c>
      <c r="F53" s="4">
        <f t="shared" si="6"/>
        <v>657618.62</v>
      </c>
      <c r="G53" t="s">
        <v>219</v>
      </c>
    </row>
    <row r="54" spans="1:8">
      <c r="A54" s="28" t="s">
        <v>88</v>
      </c>
      <c r="B54">
        <v>581.23</v>
      </c>
      <c r="C54" t="s">
        <v>101</v>
      </c>
      <c r="D54" s="4">
        <v>209493</v>
      </c>
      <c r="E54" s="5">
        <v>24935.239999999991</v>
      </c>
      <c r="F54" s="4">
        <f t="shared" si="6"/>
        <v>234428.24</v>
      </c>
      <c r="G54" t="s">
        <v>218</v>
      </c>
    </row>
    <row r="55" spans="1:8">
      <c r="A55" s="28" t="s">
        <v>90</v>
      </c>
      <c r="B55">
        <v>581.24</v>
      </c>
      <c r="C55" t="s">
        <v>103</v>
      </c>
      <c r="D55" s="4">
        <v>42547</v>
      </c>
      <c r="E55" s="5">
        <v>1701.5999999999985</v>
      </c>
      <c r="F55" s="4">
        <f t="shared" si="6"/>
        <v>44248.6</v>
      </c>
      <c r="G55" t="s">
        <v>218</v>
      </c>
    </row>
    <row r="56" spans="1:8">
      <c r="A56" s="28" t="s">
        <v>92</v>
      </c>
      <c r="B56">
        <v>581.25</v>
      </c>
      <c r="C56" t="s">
        <v>105</v>
      </c>
      <c r="D56" s="4">
        <v>636</v>
      </c>
      <c r="E56" s="5">
        <v>25.279999999999973</v>
      </c>
      <c r="F56" s="4">
        <f t="shared" si="6"/>
        <v>661.28</v>
      </c>
      <c r="G56" t="s">
        <v>219</v>
      </c>
    </row>
    <row r="57" spans="1:8">
      <c r="A57" s="28" t="s">
        <v>94</v>
      </c>
      <c r="B57">
        <v>581.4</v>
      </c>
      <c r="C57" t="s">
        <v>107</v>
      </c>
      <c r="D57" s="4">
        <v>14978</v>
      </c>
      <c r="E57" s="5">
        <v>0</v>
      </c>
      <c r="F57" s="4">
        <f t="shared" si="6"/>
        <v>14978</v>
      </c>
    </row>
    <row r="58" spans="1:8">
      <c r="A58" s="28" t="s">
        <v>96</v>
      </c>
      <c r="B58">
        <v>581.41</v>
      </c>
      <c r="C58" t="s">
        <v>109</v>
      </c>
      <c r="D58" s="4">
        <v>-22442</v>
      </c>
      <c r="E58" s="5">
        <v>0</v>
      </c>
      <c r="F58" s="4">
        <f t="shared" si="6"/>
        <v>-22442</v>
      </c>
    </row>
    <row r="59" spans="1:8">
      <c r="A59" s="28" t="s">
        <v>98</v>
      </c>
      <c r="B59">
        <v>581.5</v>
      </c>
      <c r="C59" t="s">
        <v>111</v>
      </c>
      <c r="D59" s="4">
        <v>27535</v>
      </c>
      <c r="E59" s="5">
        <v>0</v>
      </c>
      <c r="F59" s="4">
        <f t="shared" si="6"/>
        <v>27535</v>
      </c>
    </row>
    <row r="60" spans="1:8">
      <c r="A60" s="28" t="s">
        <v>100</v>
      </c>
      <c r="B60">
        <v>581.54</v>
      </c>
      <c r="C60" t="s">
        <v>113</v>
      </c>
      <c r="D60" s="4">
        <v>387</v>
      </c>
      <c r="E60" s="5">
        <v>0</v>
      </c>
      <c r="F60" s="4">
        <f t="shared" si="6"/>
        <v>387</v>
      </c>
    </row>
    <row r="61" spans="1:8">
      <c r="A61" s="28" t="s">
        <v>102</v>
      </c>
      <c r="B61">
        <v>581.57000000000005</v>
      </c>
      <c r="C61" t="s">
        <v>114</v>
      </c>
      <c r="D61" s="4">
        <v>91405</v>
      </c>
      <c r="E61" s="5">
        <v>0</v>
      </c>
      <c r="F61" s="4">
        <f t="shared" si="6"/>
        <v>91405</v>
      </c>
    </row>
    <row r="62" spans="1:8">
      <c r="A62" s="28" t="s">
        <v>104</v>
      </c>
      <c r="B62">
        <v>581.6</v>
      </c>
      <c r="C62" t="s">
        <v>115</v>
      </c>
      <c r="D62" s="4">
        <v>45326</v>
      </c>
      <c r="E62" s="5">
        <v>0</v>
      </c>
      <c r="F62" s="4">
        <f t="shared" si="6"/>
        <v>45326</v>
      </c>
    </row>
    <row r="63" spans="1:8">
      <c r="A63" s="28" t="s">
        <v>106</v>
      </c>
      <c r="B63">
        <v>581.61</v>
      </c>
      <c r="C63" t="s">
        <v>116</v>
      </c>
      <c r="D63" s="4">
        <v>15981</v>
      </c>
      <c r="E63" s="5">
        <v>0</v>
      </c>
      <c r="F63" s="4">
        <f t="shared" si="6"/>
        <v>15981</v>
      </c>
    </row>
    <row r="64" spans="1:8">
      <c r="A64" s="28" t="s">
        <v>108</v>
      </c>
      <c r="B64">
        <v>581.62</v>
      </c>
      <c r="C64" t="s">
        <v>117</v>
      </c>
      <c r="D64" s="4">
        <v>13288</v>
      </c>
      <c r="E64" s="5">
        <v>0</v>
      </c>
      <c r="F64" s="4">
        <f t="shared" si="6"/>
        <v>13288</v>
      </c>
    </row>
    <row r="65" spans="1:7">
      <c r="A65" s="28" t="s">
        <v>110</v>
      </c>
      <c r="B65">
        <v>581.63</v>
      </c>
      <c r="C65" t="s">
        <v>118</v>
      </c>
      <c r="D65" s="4">
        <v>864</v>
      </c>
      <c r="E65" s="5">
        <v>0</v>
      </c>
      <c r="F65" s="4">
        <f t="shared" si="6"/>
        <v>864</v>
      </c>
    </row>
    <row r="66" spans="1:7">
      <c r="A66" s="28" t="s">
        <v>112</v>
      </c>
      <c r="B66">
        <v>581.70000000000005</v>
      </c>
      <c r="C66" t="s">
        <v>119</v>
      </c>
      <c r="D66" s="4">
        <v>1883</v>
      </c>
      <c r="E66" s="5">
        <v>0</v>
      </c>
      <c r="F66" s="4">
        <f t="shared" si="6"/>
        <v>1883</v>
      </c>
    </row>
    <row r="67" spans="1:7">
      <c r="A67" s="28" t="s">
        <v>240</v>
      </c>
      <c r="B67">
        <v>581.72</v>
      </c>
      <c r="C67" t="s">
        <v>120</v>
      </c>
      <c r="D67" s="4">
        <v>67841</v>
      </c>
      <c r="E67" s="5">
        <v>8386.64</v>
      </c>
      <c r="F67" s="4">
        <f t="shared" si="6"/>
        <v>76227.64</v>
      </c>
      <c r="G67" t="s">
        <v>218</v>
      </c>
    </row>
    <row r="68" spans="1:7">
      <c r="A68" s="28" t="s">
        <v>241</v>
      </c>
      <c r="B68">
        <v>581.73</v>
      </c>
      <c r="C68" t="s">
        <v>121</v>
      </c>
      <c r="D68" s="4">
        <v>288019</v>
      </c>
      <c r="E68" s="5">
        <v>28407.909999999974</v>
      </c>
      <c r="F68" s="4">
        <f t="shared" si="6"/>
        <v>316426.90999999997</v>
      </c>
      <c r="G68" t="s">
        <v>219</v>
      </c>
    </row>
    <row r="69" spans="1:7">
      <c r="A69" s="28" t="s">
        <v>242</v>
      </c>
      <c r="B69">
        <v>581.74</v>
      </c>
      <c r="C69" t="s">
        <v>122</v>
      </c>
      <c r="D69" s="4">
        <v>103597</v>
      </c>
      <c r="E69" s="5">
        <v>6231.0899999999965</v>
      </c>
      <c r="F69" s="4">
        <f t="shared" si="6"/>
        <v>109828.09</v>
      </c>
      <c r="G69" t="s">
        <v>219</v>
      </c>
    </row>
    <row r="70" spans="1:7">
      <c r="A70" s="28" t="s">
        <v>243</v>
      </c>
      <c r="B70">
        <v>581.75</v>
      </c>
      <c r="C70" t="s">
        <v>123</v>
      </c>
      <c r="D70" s="4">
        <v>18854</v>
      </c>
      <c r="E70" s="5">
        <v>193.31000000000131</v>
      </c>
      <c r="F70" s="4">
        <f t="shared" si="6"/>
        <v>19047.310000000001</v>
      </c>
      <c r="G70" t="s">
        <v>219</v>
      </c>
    </row>
    <row r="71" spans="1:7">
      <c r="A71" s="28" t="s">
        <v>244</v>
      </c>
      <c r="B71">
        <v>581.76</v>
      </c>
      <c r="C71" t="s">
        <v>124</v>
      </c>
      <c r="D71" s="4">
        <v>122106</v>
      </c>
      <c r="E71" s="5">
        <v>9768.0499999999884</v>
      </c>
      <c r="F71" s="4">
        <f t="shared" si="6"/>
        <v>131874.04999999999</v>
      </c>
      <c r="G71" t="s">
        <v>219</v>
      </c>
    </row>
    <row r="72" spans="1:7">
      <c r="A72" s="28" t="s">
        <v>245</v>
      </c>
      <c r="B72">
        <v>581.77</v>
      </c>
      <c r="C72" t="s">
        <v>125</v>
      </c>
      <c r="D72" s="4">
        <v>18990</v>
      </c>
      <c r="E72" s="5">
        <v>6570.9399999999987</v>
      </c>
      <c r="F72" s="4">
        <f t="shared" si="6"/>
        <v>25560.94</v>
      </c>
      <c r="G72" t="s">
        <v>219</v>
      </c>
    </row>
    <row r="73" spans="1:7">
      <c r="A73" s="28" t="s">
        <v>246</v>
      </c>
      <c r="B73">
        <v>581.79999999999995</v>
      </c>
      <c r="C73" t="s">
        <v>126</v>
      </c>
      <c r="D73" s="4">
        <v>19913</v>
      </c>
      <c r="E73" s="5">
        <v>0</v>
      </c>
      <c r="F73" s="4">
        <f t="shared" si="6"/>
        <v>19913</v>
      </c>
    </row>
    <row r="74" spans="1:7">
      <c r="A74" s="28" t="s">
        <v>247</v>
      </c>
      <c r="B74">
        <v>581.80999999999995</v>
      </c>
      <c r="C74" t="s">
        <v>127</v>
      </c>
      <c r="D74" s="4">
        <v>39102</v>
      </c>
      <c r="E74" s="5">
        <v>0</v>
      </c>
      <c r="F74" s="4">
        <f t="shared" si="6"/>
        <v>39102</v>
      </c>
    </row>
    <row r="75" spans="1:7">
      <c r="A75" s="28" t="s">
        <v>248</v>
      </c>
      <c r="B75">
        <v>581.83000000000004</v>
      </c>
      <c r="C75" t="s">
        <v>128</v>
      </c>
      <c r="D75" s="4">
        <v>17706</v>
      </c>
      <c r="E75" s="5">
        <v>0</v>
      </c>
      <c r="F75" s="4">
        <f t="shared" si="6"/>
        <v>17706</v>
      </c>
    </row>
    <row r="76" spans="1:7">
      <c r="A76" s="28" t="s">
        <v>249</v>
      </c>
      <c r="B76">
        <v>581.84</v>
      </c>
      <c r="C76" t="s">
        <v>129</v>
      </c>
      <c r="D76" s="4">
        <v>1000</v>
      </c>
      <c r="E76" s="5">
        <v>0</v>
      </c>
      <c r="F76" s="4">
        <f t="shared" si="6"/>
        <v>1000</v>
      </c>
    </row>
    <row r="77" spans="1:7">
      <c r="A77" s="28" t="s">
        <v>250</v>
      </c>
      <c r="B77">
        <v>581.85</v>
      </c>
      <c r="C77" t="s">
        <v>130</v>
      </c>
      <c r="D77" s="4">
        <v>4186</v>
      </c>
      <c r="E77" s="5">
        <v>0</v>
      </c>
      <c r="F77" s="4">
        <f t="shared" si="6"/>
        <v>4186</v>
      </c>
    </row>
    <row r="78" spans="1:7">
      <c r="A78" s="28" t="s">
        <v>251</v>
      </c>
      <c r="B78">
        <v>581.87</v>
      </c>
      <c r="C78" t="s">
        <v>131</v>
      </c>
      <c r="D78" s="4">
        <v>20526</v>
      </c>
      <c r="E78" s="5">
        <v>0</v>
      </c>
      <c r="F78" s="4">
        <f t="shared" si="6"/>
        <v>20526</v>
      </c>
    </row>
    <row r="79" spans="1:7">
      <c r="A79" s="28" t="s">
        <v>252</v>
      </c>
      <c r="B79">
        <v>581.88</v>
      </c>
      <c r="C79" t="s">
        <v>132</v>
      </c>
      <c r="D79" s="6">
        <v>9936</v>
      </c>
      <c r="E79" s="7">
        <v>0</v>
      </c>
      <c r="F79" s="6">
        <f t="shared" si="6"/>
        <v>9936</v>
      </c>
    </row>
    <row r="80" spans="1:7">
      <c r="A80" s="28" t="s">
        <v>253</v>
      </c>
      <c r="B80" t="s">
        <v>133</v>
      </c>
      <c r="D80" s="2">
        <f>SUM(D48:D79)</f>
        <v>2071472</v>
      </c>
      <c r="E80" s="2">
        <f t="shared" ref="E80:F80" si="7">SUM(E48:E79)</f>
        <v>235908.59999999995</v>
      </c>
      <c r="F80" s="2">
        <f t="shared" si="7"/>
        <v>2307380.6</v>
      </c>
    </row>
    <row r="81" spans="1:7" ht="15.75">
      <c r="A81" s="28" t="s">
        <v>254</v>
      </c>
      <c r="D81" s="36"/>
      <c r="E81" s="50"/>
      <c r="F81" s="39"/>
    </row>
    <row r="82" spans="1:7" ht="15.75">
      <c r="A82" s="28" t="s">
        <v>255</v>
      </c>
      <c r="B82" s="29" t="s">
        <v>134</v>
      </c>
      <c r="F82" s="39"/>
    </row>
    <row r="83" spans="1:7">
      <c r="A83" s="28" t="s">
        <v>256</v>
      </c>
      <c r="B83">
        <v>431.1</v>
      </c>
      <c r="C83" t="s">
        <v>135</v>
      </c>
      <c r="D83" s="2">
        <v>0</v>
      </c>
      <c r="E83" s="3">
        <v>0</v>
      </c>
      <c r="F83" s="2">
        <f t="shared" ref="F83:F91" si="8">+D83+E83</f>
        <v>0</v>
      </c>
    </row>
    <row r="84" spans="1:7">
      <c r="A84" s="28" t="s">
        <v>257</v>
      </c>
      <c r="B84">
        <v>431.15</v>
      </c>
      <c r="C84" t="s">
        <v>136</v>
      </c>
      <c r="D84" s="4">
        <v>41116</v>
      </c>
      <c r="E84" s="5">
        <v>0</v>
      </c>
      <c r="F84" s="4">
        <f t="shared" si="8"/>
        <v>41116</v>
      </c>
    </row>
    <row r="85" spans="1:7">
      <c r="A85" s="28" t="s">
        <v>258</v>
      </c>
      <c r="B85">
        <v>903.1</v>
      </c>
      <c r="C85" t="s">
        <v>137</v>
      </c>
      <c r="D85" s="4">
        <v>262851</v>
      </c>
      <c r="E85" s="5">
        <v>74459.429999999993</v>
      </c>
      <c r="F85" s="4">
        <f t="shared" si="8"/>
        <v>337310.43</v>
      </c>
      <c r="G85" t="s">
        <v>218</v>
      </c>
    </row>
    <row r="86" spans="1:7">
      <c r="A86" s="28" t="s">
        <v>259</v>
      </c>
      <c r="B86">
        <v>903.13</v>
      </c>
      <c r="C86" t="s">
        <v>138</v>
      </c>
      <c r="D86" s="4">
        <v>366</v>
      </c>
      <c r="E86" s="5">
        <v>14.20999999999998</v>
      </c>
      <c r="F86" s="4">
        <f t="shared" si="8"/>
        <v>380.21</v>
      </c>
      <c r="G86" t="s">
        <v>219</v>
      </c>
    </row>
    <row r="87" spans="1:7">
      <c r="A87" s="28" t="s">
        <v>260</v>
      </c>
      <c r="B87">
        <v>903.2</v>
      </c>
      <c r="C87" t="s">
        <v>139</v>
      </c>
      <c r="D87" s="4">
        <v>20178</v>
      </c>
      <c r="E87" s="5">
        <v>5995.6899999999987</v>
      </c>
      <c r="F87" s="4">
        <f t="shared" si="8"/>
        <v>26173.69</v>
      </c>
      <c r="G87" t="s">
        <v>219</v>
      </c>
    </row>
    <row r="88" spans="1:7">
      <c r="A88" s="28" t="s">
        <v>261</v>
      </c>
      <c r="B88">
        <v>903.21</v>
      </c>
      <c r="C88" t="s">
        <v>140</v>
      </c>
      <c r="D88" s="4">
        <v>109263</v>
      </c>
      <c r="E88" s="5">
        <v>8828.9100000000035</v>
      </c>
      <c r="F88" s="4">
        <f t="shared" si="8"/>
        <v>118091.91</v>
      </c>
      <c r="G88" t="s">
        <v>219</v>
      </c>
    </row>
    <row r="89" spans="1:7">
      <c r="A89" s="28" t="s">
        <v>262</v>
      </c>
      <c r="B89">
        <v>903.22</v>
      </c>
      <c r="C89" t="s">
        <v>141</v>
      </c>
      <c r="D89" s="4">
        <v>30912</v>
      </c>
      <c r="E89" s="5">
        <v>6253.4499999999971</v>
      </c>
      <c r="F89" s="4">
        <f t="shared" si="8"/>
        <v>37165.449999999997</v>
      </c>
      <c r="G89" t="s">
        <v>219</v>
      </c>
    </row>
    <row r="90" spans="1:7">
      <c r="A90" s="28" t="s">
        <v>263</v>
      </c>
      <c r="B90">
        <v>903.3</v>
      </c>
      <c r="C90" t="s">
        <v>142</v>
      </c>
      <c r="D90" s="4">
        <v>17789</v>
      </c>
      <c r="E90" s="5">
        <v>0</v>
      </c>
      <c r="F90" s="4">
        <f t="shared" si="8"/>
        <v>17789</v>
      </c>
    </row>
    <row r="91" spans="1:7">
      <c r="A91" s="28" t="s">
        <v>264</v>
      </c>
      <c r="B91">
        <v>903.31</v>
      </c>
      <c r="C91" t="s">
        <v>143</v>
      </c>
      <c r="D91" s="6">
        <v>11509</v>
      </c>
      <c r="E91" s="7">
        <v>0</v>
      </c>
      <c r="F91" s="6">
        <f t="shared" si="8"/>
        <v>11509</v>
      </c>
    </row>
    <row r="92" spans="1:7">
      <c r="A92" s="28" t="s">
        <v>265</v>
      </c>
      <c r="B92" t="s">
        <v>144</v>
      </c>
      <c r="D92" s="2">
        <f>SUM(D83:D91)</f>
        <v>493984</v>
      </c>
      <c r="E92" s="2">
        <f>SUM(E83:E91)</f>
        <v>95551.69</v>
      </c>
      <c r="F92" s="2">
        <f>SUM(F83:F91)</f>
        <v>589535.68999999994</v>
      </c>
    </row>
    <row r="93" spans="1:7" ht="15.75">
      <c r="A93" s="28" t="s">
        <v>266</v>
      </c>
      <c r="D93" s="36"/>
      <c r="F93" s="39"/>
    </row>
    <row r="94" spans="1:7" ht="15.75">
      <c r="A94" s="28" t="s">
        <v>267</v>
      </c>
      <c r="B94" s="29" t="s">
        <v>233</v>
      </c>
      <c r="D94" s="36"/>
      <c r="F94" s="39"/>
    </row>
    <row r="95" spans="1:7">
      <c r="A95" s="28" t="s">
        <v>268</v>
      </c>
      <c r="B95" s="8">
        <v>440.5</v>
      </c>
      <c r="C95" t="s">
        <v>22</v>
      </c>
      <c r="D95" s="2">
        <v>-127707</v>
      </c>
      <c r="E95" s="3">
        <v>0</v>
      </c>
      <c r="F95" s="2">
        <f t="shared" ref="F95:F98" si="9">+D95+E95</f>
        <v>-127707</v>
      </c>
    </row>
    <row r="96" spans="1:7">
      <c r="A96" s="28" t="s">
        <v>269</v>
      </c>
      <c r="B96" s="8">
        <v>440.55</v>
      </c>
      <c r="C96" t="s">
        <v>24</v>
      </c>
      <c r="D96" s="4">
        <v>-560</v>
      </c>
      <c r="E96" s="5">
        <v>0</v>
      </c>
      <c r="F96" s="4">
        <f t="shared" si="9"/>
        <v>-560</v>
      </c>
    </row>
    <row r="97" spans="1:7">
      <c r="A97" s="28" t="s">
        <v>270</v>
      </c>
      <c r="B97" s="8">
        <v>442.16</v>
      </c>
      <c r="C97" t="s">
        <v>32</v>
      </c>
      <c r="D97" s="6">
        <v>-240314</v>
      </c>
      <c r="E97" s="7">
        <v>0</v>
      </c>
      <c r="F97" s="6">
        <f t="shared" si="9"/>
        <v>-240314</v>
      </c>
    </row>
    <row r="98" spans="1:7">
      <c r="A98" s="28" t="s">
        <v>271</v>
      </c>
      <c r="B98" t="s">
        <v>234</v>
      </c>
      <c r="D98" s="2">
        <f>SUM(D95:D97)</f>
        <v>-368581</v>
      </c>
      <c r="E98" s="3">
        <v>0</v>
      </c>
      <c r="F98" s="2">
        <f t="shared" si="9"/>
        <v>-368581</v>
      </c>
    </row>
    <row r="99" spans="1:7" ht="15.75">
      <c r="A99" s="28" t="s">
        <v>272</v>
      </c>
      <c r="D99" s="36"/>
      <c r="F99" s="39"/>
    </row>
    <row r="100" spans="1:7" ht="15.75">
      <c r="A100" s="28" t="s">
        <v>273</v>
      </c>
      <c r="B100" s="29" t="s">
        <v>145</v>
      </c>
      <c r="F100" s="30"/>
    </row>
    <row r="101" spans="1:7">
      <c r="A101" s="28" t="s">
        <v>274</v>
      </c>
      <c r="B101">
        <v>581.9</v>
      </c>
      <c r="C101" t="s">
        <v>146</v>
      </c>
      <c r="D101" s="2">
        <v>42000</v>
      </c>
      <c r="E101" s="3">
        <v>0</v>
      </c>
      <c r="F101" s="2">
        <f t="shared" ref="F101:F132" si="10">+D101+E101</f>
        <v>42000</v>
      </c>
    </row>
    <row r="102" spans="1:7">
      <c r="A102" s="28" t="s">
        <v>275</v>
      </c>
      <c r="B102">
        <v>920.01</v>
      </c>
      <c r="C102" t="s">
        <v>147</v>
      </c>
      <c r="D102" s="4">
        <v>1019622</v>
      </c>
      <c r="E102" s="5">
        <v>34221.209999999963</v>
      </c>
      <c r="F102" s="4">
        <f t="shared" si="10"/>
        <v>1053843.21</v>
      </c>
      <c r="G102" t="s">
        <v>218</v>
      </c>
    </row>
    <row r="103" spans="1:7">
      <c r="A103" s="28" t="s">
        <v>276</v>
      </c>
      <c r="B103">
        <v>920.13</v>
      </c>
      <c r="C103" t="s">
        <v>148</v>
      </c>
      <c r="D103" s="4">
        <v>508</v>
      </c>
      <c r="E103" s="5">
        <v>27.830000000000041</v>
      </c>
      <c r="F103" s="4">
        <f t="shared" si="10"/>
        <v>535.83000000000004</v>
      </c>
      <c r="G103" t="s">
        <v>219</v>
      </c>
    </row>
    <row r="104" spans="1:7">
      <c r="A104" s="28" t="s">
        <v>277</v>
      </c>
      <c r="B104">
        <v>920.2</v>
      </c>
      <c r="C104" t="s">
        <v>149</v>
      </c>
      <c r="D104" s="4">
        <v>77508</v>
      </c>
      <c r="E104" s="5">
        <v>3753.7899999999936</v>
      </c>
      <c r="F104" s="4">
        <f t="shared" si="10"/>
        <v>81261.789999999994</v>
      </c>
      <c r="G104" t="s">
        <v>219</v>
      </c>
    </row>
    <row r="105" spans="1:7">
      <c r="A105" s="28" t="s">
        <v>278</v>
      </c>
      <c r="B105">
        <v>920.21</v>
      </c>
      <c r="C105" t="s">
        <v>150</v>
      </c>
      <c r="D105" s="4">
        <v>285617</v>
      </c>
      <c r="E105" s="5">
        <v>13159.619999999995</v>
      </c>
      <c r="F105" s="4">
        <f t="shared" si="10"/>
        <v>298776.62</v>
      </c>
      <c r="G105" t="s">
        <v>219</v>
      </c>
    </row>
    <row r="106" spans="1:7">
      <c r="A106" s="28" t="s">
        <v>279</v>
      </c>
      <c r="B106">
        <v>920.22</v>
      </c>
      <c r="C106" t="s">
        <v>151</v>
      </c>
      <c r="D106" s="4">
        <v>105998</v>
      </c>
      <c r="E106" s="5">
        <v>15489.039999999994</v>
      </c>
      <c r="F106" s="4">
        <f t="shared" si="10"/>
        <v>121487.03999999999</v>
      </c>
      <c r="G106" t="s">
        <v>219</v>
      </c>
    </row>
    <row r="107" spans="1:7">
      <c r="A107" s="28" t="s">
        <v>280</v>
      </c>
      <c r="B107">
        <v>921.1</v>
      </c>
      <c r="C107" t="s">
        <v>152</v>
      </c>
      <c r="D107" s="4">
        <v>18285</v>
      </c>
      <c r="E107" s="5">
        <v>0</v>
      </c>
      <c r="F107" s="4">
        <f t="shared" si="10"/>
        <v>18285</v>
      </c>
      <c r="G107" t="s">
        <v>220</v>
      </c>
    </row>
    <row r="108" spans="1:7">
      <c r="A108" s="28" t="s">
        <v>281</v>
      </c>
      <c r="B108">
        <v>921.11</v>
      </c>
      <c r="C108" t="s">
        <v>153</v>
      </c>
      <c r="D108" s="4">
        <v>9330</v>
      </c>
      <c r="E108" s="5">
        <v>0</v>
      </c>
      <c r="F108" s="4">
        <f t="shared" si="10"/>
        <v>9330</v>
      </c>
    </row>
    <row r="109" spans="1:7">
      <c r="A109" s="28" t="s">
        <v>282</v>
      </c>
      <c r="B109">
        <v>921.2</v>
      </c>
      <c r="C109" t="s">
        <v>154</v>
      </c>
      <c r="D109" s="4">
        <v>7225</v>
      </c>
      <c r="E109" s="5">
        <v>0</v>
      </c>
      <c r="F109" s="4">
        <f t="shared" si="10"/>
        <v>7225</v>
      </c>
    </row>
    <row r="110" spans="1:7">
      <c r="A110" s="28" t="s">
        <v>283</v>
      </c>
      <c r="B110">
        <v>921.21</v>
      </c>
      <c r="C110" t="s">
        <v>155</v>
      </c>
      <c r="D110" s="4">
        <v>209982</v>
      </c>
      <c r="E110" s="5">
        <v>0</v>
      </c>
      <c r="F110" s="4">
        <f t="shared" si="10"/>
        <v>209982</v>
      </c>
    </row>
    <row r="111" spans="1:7">
      <c r="A111" s="28" t="s">
        <v>284</v>
      </c>
      <c r="B111">
        <v>921.25</v>
      </c>
      <c r="C111" t="s">
        <v>156</v>
      </c>
      <c r="D111" s="4">
        <v>13198</v>
      </c>
      <c r="E111" s="5">
        <v>0</v>
      </c>
      <c r="F111" s="4">
        <f t="shared" si="10"/>
        <v>13198</v>
      </c>
    </row>
    <row r="112" spans="1:7">
      <c r="A112" s="28" t="s">
        <v>285</v>
      </c>
      <c r="B112">
        <v>921.3</v>
      </c>
      <c r="C112" t="s">
        <v>157</v>
      </c>
      <c r="D112" s="4">
        <v>3379</v>
      </c>
      <c r="E112" s="5">
        <v>0</v>
      </c>
      <c r="F112" s="4">
        <f t="shared" si="10"/>
        <v>3379</v>
      </c>
    </row>
    <row r="113" spans="1:7">
      <c r="A113" s="28" t="s">
        <v>286</v>
      </c>
      <c r="B113">
        <v>921.5</v>
      </c>
      <c r="C113" t="s">
        <v>117</v>
      </c>
      <c r="D113" s="4">
        <v>23874</v>
      </c>
      <c r="E113" s="5">
        <v>0</v>
      </c>
      <c r="F113" s="4">
        <f t="shared" si="10"/>
        <v>23874</v>
      </c>
    </row>
    <row r="114" spans="1:7">
      <c r="A114" s="28" t="s">
        <v>287</v>
      </c>
      <c r="B114">
        <v>921.55</v>
      </c>
      <c r="C114" t="s">
        <v>158</v>
      </c>
      <c r="D114" s="4">
        <v>-1552</v>
      </c>
      <c r="E114" s="5">
        <v>0</v>
      </c>
      <c r="F114" s="4">
        <f t="shared" si="10"/>
        <v>-1552</v>
      </c>
      <c r="G114" t="s">
        <v>220</v>
      </c>
    </row>
    <row r="115" spans="1:7">
      <c r="A115" s="28" t="s">
        <v>288</v>
      </c>
      <c r="B115">
        <v>921.6</v>
      </c>
      <c r="C115" t="s">
        <v>159</v>
      </c>
      <c r="D115" s="4">
        <v>11677</v>
      </c>
      <c r="E115" s="5">
        <v>0</v>
      </c>
      <c r="F115" s="4">
        <f t="shared" si="10"/>
        <v>11677</v>
      </c>
    </row>
    <row r="116" spans="1:7">
      <c r="A116" s="28" t="s">
        <v>289</v>
      </c>
      <c r="B116">
        <v>921.65</v>
      </c>
      <c r="C116" t="s">
        <v>160</v>
      </c>
      <c r="D116" s="4">
        <v>3223</v>
      </c>
      <c r="E116" s="5">
        <v>0</v>
      </c>
      <c r="F116" s="4">
        <f t="shared" si="10"/>
        <v>3223</v>
      </c>
    </row>
    <row r="117" spans="1:7">
      <c r="A117" s="28" t="s">
        <v>290</v>
      </c>
      <c r="B117">
        <v>921.7</v>
      </c>
      <c r="C117" t="s">
        <v>161</v>
      </c>
      <c r="D117" s="4">
        <v>150</v>
      </c>
      <c r="E117" s="5">
        <v>0</v>
      </c>
      <c r="F117" s="4">
        <f t="shared" si="10"/>
        <v>150</v>
      </c>
    </row>
    <row r="118" spans="1:7">
      <c r="A118" s="28" t="s">
        <v>291</v>
      </c>
      <c r="B118">
        <v>921.75</v>
      </c>
      <c r="C118" t="s">
        <v>162</v>
      </c>
      <c r="D118" s="4">
        <v>7208</v>
      </c>
      <c r="E118" s="5">
        <v>0</v>
      </c>
      <c r="F118" s="4">
        <f t="shared" si="10"/>
        <v>7208</v>
      </c>
    </row>
    <row r="119" spans="1:7">
      <c r="A119" s="28" t="s">
        <v>292</v>
      </c>
      <c r="B119">
        <v>921.9</v>
      </c>
      <c r="C119" t="s">
        <v>163</v>
      </c>
      <c r="D119" s="4">
        <v>330</v>
      </c>
      <c r="E119" s="5">
        <v>0</v>
      </c>
      <c r="F119" s="4">
        <f t="shared" si="10"/>
        <v>330</v>
      </c>
    </row>
    <row r="120" spans="1:7">
      <c r="A120" s="28" t="s">
        <v>293</v>
      </c>
      <c r="B120">
        <v>923</v>
      </c>
      <c r="C120" t="s">
        <v>164</v>
      </c>
      <c r="D120" s="4">
        <v>18330</v>
      </c>
      <c r="E120" s="5">
        <v>66892.63</v>
      </c>
      <c r="F120" s="4">
        <f t="shared" si="10"/>
        <v>85222.63</v>
      </c>
      <c r="G120" t="s">
        <v>416</v>
      </c>
    </row>
    <row r="121" spans="1:7">
      <c r="A121" s="28" t="s">
        <v>294</v>
      </c>
      <c r="B121">
        <v>923.05</v>
      </c>
      <c r="C121" t="s">
        <v>165</v>
      </c>
      <c r="D121" s="4">
        <v>7770</v>
      </c>
      <c r="E121" s="5">
        <v>0</v>
      </c>
      <c r="F121" s="4">
        <f t="shared" si="10"/>
        <v>7770</v>
      </c>
    </row>
    <row r="122" spans="1:7">
      <c r="A122" s="28" t="s">
        <v>295</v>
      </c>
      <c r="B122">
        <v>923.1</v>
      </c>
      <c r="C122" t="s">
        <v>166</v>
      </c>
      <c r="D122" s="4">
        <v>34500</v>
      </c>
      <c r="E122" s="5">
        <v>0</v>
      </c>
      <c r="F122" s="4">
        <f t="shared" si="10"/>
        <v>34500</v>
      </c>
    </row>
    <row r="123" spans="1:7">
      <c r="A123" s="28" t="s">
        <v>296</v>
      </c>
      <c r="B123">
        <v>923.15</v>
      </c>
      <c r="C123" t="s">
        <v>167</v>
      </c>
      <c r="D123" s="4">
        <v>56767</v>
      </c>
      <c r="E123" s="5">
        <v>15000</v>
      </c>
      <c r="F123" s="4">
        <f t="shared" si="10"/>
        <v>71767</v>
      </c>
      <c r="G123" t="s">
        <v>422</v>
      </c>
    </row>
    <row r="124" spans="1:7">
      <c r="A124" s="28" t="s">
        <v>297</v>
      </c>
      <c r="B124">
        <v>924.1</v>
      </c>
      <c r="C124" t="s">
        <v>168</v>
      </c>
      <c r="D124" s="4">
        <v>83447</v>
      </c>
      <c r="E124" s="5">
        <v>0</v>
      </c>
      <c r="F124" s="4">
        <f t="shared" si="10"/>
        <v>83447</v>
      </c>
    </row>
    <row r="125" spans="1:7">
      <c r="A125" s="28" t="s">
        <v>298</v>
      </c>
      <c r="B125">
        <v>925.1</v>
      </c>
      <c r="C125" t="s">
        <v>169</v>
      </c>
      <c r="D125" s="4">
        <v>15063</v>
      </c>
      <c r="E125" s="5">
        <v>5500</v>
      </c>
      <c r="F125" s="4">
        <f t="shared" si="10"/>
        <v>20563</v>
      </c>
      <c r="G125" t="s">
        <v>232</v>
      </c>
    </row>
    <row r="126" spans="1:7">
      <c r="A126" s="28" t="s">
        <v>299</v>
      </c>
      <c r="B126">
        <v>928.1</v>
      </c>
      <c r="C126" t="s">
        <v>170</v>
      </c>
      <c r="D126" s="4">
        <v>16963</v>
      </c>
      <c r="E126" s="5">
        <v>0</v>
      </c>
      <c r="F126" s="4">
        <f t="shared" si="10"/>
        <v>16963</v>
      </c>
    </row>
    <row r="127" spans="1:7">
      <c r="A127" s="28" t="s">
        <v>300</v>
      </c>
      <c r="B127">
        <v>930.1</v>
      </c>
      <c r="C127" t="s">
        <v>171</v>
      </c>
      <c r="D127" s="4">
        <v>5610</v>
      </c>
      <c r="E127" s="5">
        <v>0</v>
      </c>
      <c r="F127" s="4">
        <f t="shared" si="10"/>
        <v>5610</v>
      </c>
    </row>
    <row r="128" spans="1:7">
      <c r="A128" s="28" t="s">
        <v>301</v>
      </c>
      <c r="B128">
        <v>930.2</v>
      </c>
      <c r="C128" t="s">
        <v>172</v>
      </c>
      <c r="D128" s="4">
        <v>6000</v>
      </c>
      <c r="E128" s="5">
        <v>0</v>
      </c>
      <c r="F128" s="4">
        <f t="shared" si="10"/>
        <v>6000</v>
      </c>
    </row>
    <row r="129" spans="1:7">
      <c r="A129" s="28" t="s">
        <v>302</v>
      </c>
      <c r="B129">
        <v>930.25</v>
      </c>
      <c r="C129" t="s">
        <v>173</v>
      </c>
      <c r="D129" s="4">
        <v>22131</v>
      </c>
      <c r="E129" s="5">
        <v>0</v>
      </c>
      <c r="F129" s="4">
        <f t="shared" si="10"/>
        <v>22131</v>
      </c>
    </row>
    <row r="130" spans="1:7">
      <c r="A130" s="28" t="s">
        <v>303</v>
      </c>
      <c r="B130">
        <v>931.05</v>
      </c>
      <c r="C130" t="s">
        <v>174</v>
      </c>
      <c r="D130" s="4">
        <v>1924</v>
      </c>
      <c r="E130" s="5">
        <v>0</v>
      </c>
      <c r="F130" s="4">
        <f t="shared" si="10"/>
        <v>1924</v>
      </c>
    </row>
    <row r="131" spans="1:7">
      <c r="A131" s="28" t="s">
        <v>304</v>
      </c>
      <c r="B131">
        <v>931.11</v>
      </c>
      <c r="C131" t="s">
        <v>175</v>
      </c>
      <c r="D131" s="6">
        <v>13764</v>
      </c>
      <c r="E131" s="7">
        <v>0</v>
      </c>
      <c r="F131" s="6">
        <f t="shared" si="10"/>
        <v>13764</v>
      </c>
    </row>
    <row r="132" spans="1:7">
      <c r="A132" s="28" t="s">
        <v>305</v>
      </c>
      <c r="B132" t="s">
        <v>176</v>
      </c>
      <c r="D132" s="2">
        <v>2119832</v>
      </c>
      <c r="E132" s="3">
        <f>SUM(E101:E131)</f>
        <v>154044.11999999994</v>
      </c>
      <c r="F132" s="2">
        <f t="shared" si="10"/>
        <v>2273876.12</v>
      </c>
    </row>
    <row r="133" spans="1:7" ht="15.75">
      <c r="A133" s="28" t="s">
        <v>306</v>
      </c>
      <c r="D133" s="36"/>
      <c r="E133" s="34"/>
      <c r="F133" s="34"/>
    </row>
    <row r="134" spans="1:7" ht="15.75">
      <c r="A134" s="28" t="s">
        <v>307</v>
      </c>
      <c r="B134" s="29" t="s">
        <v>177</v>
      </c>
      <c r="E134" s="34"/>
      <c r="F134" s="34"/>
    </row>
    <row r="135" spans="1:7">
      <c r="A135" s="28" t="s">
        <v>308</v>
      </c>
      <c r="B135">
        <v>403.1</v>
      </c>
      <c r="C135" t="s">
        <v>178</v>
      </c>
      <c r="D135" s="9">
        <v>786628</v>
      </c>
      <c r="E135" s="10">
        <v>124404.46036363638</v>
      </c>
      <c r="F135" s="9">
        <f t="shared" ref="F135" si="11">+D135+E135</f>
        <v>911032.46036363638</v>
      </c>
      <c r="G135" t="s">
        <v>221</v>
      </c>
    </row>
    <row r="136" spans="1:7">
      <c r="A136" s="28" t="s">
        <v>309</v>
      </c>
      <c r="B136" t="s">
        <v>179</v>
      </c>
      <c r="D136" s="11">
        <f>+D135</f>
        <v>786628</v>
      </c>
      <c r="E136" s="11">
        <f t="shared" ref="E136:F136" si="12">+E135</f>
        <v>124404.46036363638</v>
      </c>
      <c r="F136" s="11">
        <f t="shared" si="12"/>
        <v>911032.46036363638</v>
      </c>
    </row>
    <row r="137" spans="1:7" ht="15.75">
      <c r="A137" s="28" t="s">
        <v>310</v>
      </c>
      <c r="D137" s="36"/>
      <c r="E137" s="34"/>
      <c r="F137" s="34"/>
    </row>
    <row r="138" spans="1:7" ht="15.75">
      <c r="A138" s="28" t="s">
        <v>311</v>
      </c>
      <c r="B138" s="29" t="s">
        <v>180</v>
      </c>
      <c r="E138" s="34"/>
      <c r="F138" s="34"/>
    </row>
    <row r="139" spans="1:7">
      <c r="A139" s="28" t="s">
        <v>312</v>
      </c>
      <c r="B139">
        <v>408.3</v>
      </c>
      <c r="C139" t="s">
        <v>181</v>
      </c>
      <c r="D139" s="2">
        <v>85909</v>
      </c>
      <c r="E139" s="2">
        <v>0</v>
      </c>
      <c r="F139" s="2">
        <f t="shared" ref="F139:F140" si="13">+D139+E139</f>
        <v>85909</v>
      </c>
    </row>
    <row r="140" spans="1:7">
      <c r="A140" s="28" t="s">
        <v>313</v>
      </c>
      <c r="B140">
        <v>408.4</v>
      </c>
      <c r="C140" t="s">
        <v>182</v>
      </c>
      <c r="D140" s="6">
        <v>79886</v>
      </c>
      <c r="E140" s="6">
        <v>0</v>
      </c>
      <c r="F140" s="6">
        <f t="shared" si="13"/>
        <v>79886</v>
      </c>
    </row>
    <row r="141" spans="1:7">
      <c r="A141" s="28" t="s">
        <v>314</v>
      </c>
      <c r="B141" t="s">
        <v>183</v>
      </c>
      <c r="D141" s="11">
        <f>SUM(D139:D140)</f>
        <v>165795</v>
      </c>
      <c r="E141" s="11">
        <f t="shared" ref="E141:F141" si="14">SUM(E139:E140)</f>
        <v>0</v>
      </c>
      <c r="F141" s="11">
        <f t="shared" si="14"/>
        <v>165795</v>
      </c>
    </row>
    <row r="142" spans="1:7" ht="15.75">
      <c r="A142" s="28" t="s">
        <v>315</v>
      </c>
      <c r="B142" t="s">
        <v>62</v>
      </c>
      <c r="C142" t="s">
        <v>62</v>
      </c>
      <c r="E142" s="34"/>
      <c r="F142" s="34"/>
    </row>
    <row r="143" spans="1:7" ht="15.75">
      <c r="A143" s="28" t="s">
        <v>316</v>
      </c>
      <c r="B143" s="35" t="s">
        <v>184</v>
      </c>
      <c r="D143" s="2">
        <f>+D45+D80-D98+D92+D132+D136+D141</f>
        <v>16269101</v>
      </c>
      <c r="E143" s="2">
        <f>+E45+E80+E92-E98+E132+E136+E141</f>
        <v>2429507.8703636364</v>
      </c>
      <c r="F143" s="2">
        <f>+F45+F80+F92-F98+F132+F136+F141</f>
        <v>18698608.870363638</v>
      </c>
    </row>
    <row r="144" spans="1:7" ht="15.75">
      <c r="A144" s="28" t="s">
        <v>317</v>
      </c>
      <c r="B144" t="s">
        <v>62</v>
      </c>
      <c r="C144" t="s">
        <v>62</v>
      </c>
      <c r="E144" s="34"/>
      <c r="F144" s="34"/>
    </row>
    <row r="145" spans="1:7">
      <c r="A145" s="28" t="s">
        <v>318</v>
      </c>
      <c r="B145" t="s">
        <v>185</v>
      </c>
      <c r="D145" s="2">
        <f>+D34-D143</f>
        <v>-7834.339999999851</v>
      </c>
      <c r="E145" s="2">
        <f>+E34-E143</f>
        <v>-2429507.8703636364</v>
      </c>
      <c r="F145" s="2">
        <f>+F34-F143</f>
        <v>-2437342.2103636377</v>
      </c>
    </row>
    <row r="146" spans="1:7" ht="15.75">
      <c r="A146" s="28" t="s">
        <v>319</v>
      </c>
      <c r="B146" t="s">
        <v>62</v>
      </c>
      <c r="C146" t="s">
        <v>62</v>
      </c>
      <c r="E146" s="34"/>
      <c r="F146" s="34"/>
    </row>
    <row r="147" spans="1:7" ht="18.75">
      <c r="A147" s="28" t="s">
        <v>320</v>
      </c>
      <c r="B147" s="57" t="s">
        <v>186</v>
      </c>
      <c r="C147" s="58"/>
      <c r="D147" s="58"/>
      <c r="E147" s="58"/>
      <c r="F147" s="58"/>
    </row>
    <row r="148" spans="1:7" ht="15.75">
      <c r="A148" s="28" t="s">
        <v>321</v>
      </c>
      <c r="E148" s="34"/>
      <c r="F148" s="34"/>
    </row>
    <row r="149" spans="1:7" ht="15.75">
      <c r="A149" s="28" t="s">
        <v>322</v>
      </c>
      <c r="B149" s="29" t="s">
        <v>187</v>
      </c>
      <c r="E149" s="34"/>
      <c r="F149" s="34"/>
    </row>
    <row r="150" spans="1:7">
      <c r="A150" s="28" t="s">
        <v>323</v>
      </c>
      <c r="B150">
        <v>419.01</v>
      </c>
      <c r="C150" t="s">
        <v>188</v>
      </c>
      <c r="D150" s="2">
        <v>2245</v>
      </c>
      <c r="E150" s="2">
        <v>0</v>
      </c>
      <c r="F150" s="2">
        <f t="shared" ref="F150:F153" si="15">+D150+E150</f>
        <v>2245</v>
      </c>
    </row>
    <row r="151" spans="1:7">
      <c r="A151" s="28" t="s">
        <v>324</v>
      </c>
      <c r="B151">
        <v>419.02</v>
      </c>
      <c r="C151" t="s">
        <v>189</v>
      </c>
      <c r="D151" s="4">
        <v>2260</v>
      </c>
      <c r="E151" s="4">
        <v>0</v>
      </c>
      <c r="F151" s="4">
        <f t="shared" si="15"/>
        <v>2260</v>
      </c>
    </row>
    <row r="152" spans="1:7">
      <c r="A152" s="28" t="s">
        <v>325</v>
      </c>
      <c r="B152">
        <v>419.1</v>
      </c>
      <c r="C152" t="s">
        <v>190</v>
      </c>
      <c r="D152" s="4">
        <v>299219</v>
      </c>
      <c r="E152" s="4">
        <v>0</v>
      </c>
      <c r="F152" s="4">
        <f t="shared" si="15"/>
        <v>299219</v>
      </c>
    </row>
    <row r="153" spans="1:7">
      <c r="A153" s="28" t="s">
        <v>326</v>
      </c>
      <c r="B153">
        <v>419.11</v>
      </c>
      <c r="C153" t="s">
        <v>191</v>
      </c>
      <c r="D153" s="6">
        <v>843378</v>
      </c>
      <c r="E153" s="6">
        <v>256654.91999999993</v>
      </c>
      <c r="F153" s="6">
        <f t="shared" si="15"/>
        <v>1100032.92</v>
      </c>
      <c r="G153" t="s">
        <v>417</v>
      </c>
    </row>
    <row r="154" spans="1:7">
      <c r="A154" s="28" t="s">
        <v>327</v>
      </c>
      <c r="B154" t="s">
        <v>192</v>
      </c>
      <c r="D154" s="2">
        <f>SUM(D150:D153)</f>
        <v>1147102</v>
      </c>
      <c r="E154" s="2">
        <f t="shared" ref="E154:F154" si="16">SUM(E150:E153)</f>
        <v>256654.91999999993</v>
      </c>
      <c r="F154" s="2">
        <f t="shared" si="16"/>
        <v>1403756.92</v>
      </c>
    </row>
    <row r="155" spans="1:7" ht="15.75">
      <c r="A155" s="28" t="s">
        <v>328</v>
      </c>
      <c r="D155" s="36"/>
      <c r="E155" s="34"/>
      <c r="F155" s="34"/>
    </row>
    <row r="156" spans="1:7" ht="15.75">
      <c r="A156" s="28" t="s">
        <v>329</v>
      </c>
      <c r="B156" s="29" t="s">
        <v>193</v>
      </c>
      <c r="E156" s="34"/>
      <c r="F156" s="34"/>
    </row>
    <row r="157" spans="1:7">
      <c r="A157" s="28" t="s">
        <v>330</v>
      </c>
      <c r="B157">
        <v>427.05</v>
      </c>
      <c r="C157" t="s">
        <v>194</v>
      </c>
      <c r="D157" s="2">
        <v>-82276</v>
      </c>
      <c r="E157" s="2">
        <v>0</v>
      </c>
      <c r="F157" s="2">
        <f t="shared" ref="F157:F174" si="17">+D157+E157</f>
        <v>-82276</v>
      </c>
    </row>
    <row r="158" spans="1:7">
      <c r="A158" s="28" t="s">
        <v>331</v>
      </c>
      <c r="B158">
        <v>427.06</v>
      </c>
      <c r="C158" t="s">
        <v>195</v>
      </c>
      <c r="D158" s="4">
        <v>-115749</v>
      </c>
      <c r="E158" s="4">
        <v>0</v>
      </c>
      <c r="F158" s="4">
        <f t="shared" si="17"/>
        <v>-115749</v>
      </c>
    </row>
    <row r="159" spans="1:7">
      <c r="A159" s="28" t="s">
        <v>332</v>
      </c>
      <c r="B159">
        <v>427.07</v>
      </c>
      <c r="C159" t="s">
        <v>196</v>
      </c>
      <c r="D159" s="4">
        <v>-84255</v>
      </c>
      <c r="E159" s="4">
        <v>-43671.850000000006</v>
      </c>
      <c r="F159" s="4">
        <f t="shared" si="17"/>
        <v>-127926.85</v>
      </c>
      <c r="G159" t="s">
        <v>222</v>
      </c>
    </row>
    <row r="160" spans="1:7">
      <c r="A160" s="28" t="s">
        <v>333</v>
      </c>
      <c r="B160">
        <v>427.1</v>
      </c>
      <c r="C160" t="s">
        <v>197</v>
      </c>
      <c r="D160" s="4">
        <v>-13485</v>
      </c>
      <c r="E160" s="4">
        <v>0</v>
      </c>
      <c r="F160" s="4">
        <f t="shared" si="17"/>
        <v>-13485</v>
      </c>
    </row>
    <row r="161" spans="1:7">
      <c r="A161" s="28" t="s">
        <v>334</v>
      </c>
      <c r="B161">
        <v>427.15</v>
      </c>
      <c r="C161" t="s">
        <v>198</v>
      </c>
      <c r="D161" s="4">
        <v>-14387</v>
      </c>
      <c r="E161" s="4">
        <v>0</v>
      </c>
      <c r="F161" s="4">
        <f t="shared" si="17"/>
        <v>-14387</v>
      </c>
    </row>
    <row r="162" spans="1:7">
      <c r="A162" s="28" t="s">
        <v>335</v>
      </c>
      <c r="B162">
        <v>427.2</v>
      </c>
      <c r="C162" t="s">
        <v>199</v>
      </c>
      <c r="D162" s="4">
        <v>-14190</v>
      </c>
      <c r="E162" s="4">
        <v>0</v>
      </c>
      <c r="F162" s="4">
        <f t="shared" si="17"/>
        <v>-14190</v>
      </c>
    </row>
    <row r="163" spans="1:7">
      <c r="A163" s="28" t="s">
        <v>336</v>
      </c>
      <c r="B163">
        <v>427.25</v>
      </c>
      <c r="C163" t="s">
        <v>200</v>
      </c>
      <c r="D163" s="4">
        <v>-23403</v>
      </c>
      <c r="E163" s="4">
        <v>0</v>
      </c>
      <c r="F163" s="4">
        <f t="shared" si="17"/>
        <v>-23403</v>
      </c>
    </row>
    <row r="164" spans="1:7">
      <c r="A164" s="28" t="s">
        <v>337</v>
      </c>
      <c r="B164">
        <v>427.3</v>
      </c>
      <c r="C164" t="s">
        <v>201</v>
      </c>
      <c r="D164" s="4">
        <v>-4736</v>
      </c>
      <c r="E164" s="4">
        <v>0</v>
      </c>
      <c r="F164" s="4">
        <f t="shared" si="17"/>
        <v>-4736</v>
      </c>
    </row>
    <row r="165" spans="1:7">
      <c r="A165" s="28" t="s">
        <v>338</v>
      </c>
      <c r="B165">
        <v>427.35</v>
      </c>
      <c r="C165" t="s">
        <v>202</v>
      </c>
      <c r="D165" s="4">
        <v>-23244</v>
      </c>
      <c r="E165" s="4">
        <v>0</v>
      </c>
      <c r="F165" s="4">
        <f t="shared" si="17"/>
        <v>-23244</v>
      </c>
    </row>
    <row r="166" spans="1:7">
      <c r="A166" s="28" t="s">
        <v>339</v>
      </c>
      <c r="B166">
        <v>427.4</v>
      </c>
      <c r="C166" t="s">
        <v>203</v>
      </c>
      <c r="D166" s="4">
        <v>-4763</v>
      </c>
      <c r="E166" s="4">
        <v>0</v>
      </c>
      <c r="F166" s="4">
        <f t="shared" si="17"/>
        <v>-4763</v>
      </c>
    </row>
    <row r="167" spans="1:7">
      <c r="A167" s="28" t="s">
        <v>340</v>
      </c>
      <c r="B167">
        <v>427.45</v>
      </c>
      <c r="C167" t="s">
        <v>204</v>
      </c>
      <c r="D167" s="4">
        <v>-15042</v>
      </c>
      <c r="E167" s="4">
        <v>0</v>
      </c>
      <c r="F167" s="4">
        <f t="shared" si="17"/>
        <v>-15042</v>
      </c>
    </row>
    <row r="168" spans="1:7">
      <c r="A168" s="28" t="s">
        <v>341</v>
      </c>
      <c r="B168">
        <v>427.46</v>
      </c>
      <c r="C168" t="s">
        <v>205</v>
      </c>
      <c r="D168" s="4">
        <v>-7362</v>
      </c>
      <c r="E168" s="4">
        <v>0</v>
      </c>
      <c r="F168" s="4">
        <f t="shared" si="17"/>
        <v>-7362</v>
      </c>
    </row>
    <row r="169" spans="1:7">
      <c r="A169" s="28" t="s">
        <v>342</v>
      </c>
      <c r="B169">
        <v>427.47</v>
      </c>
      <c r="C169" t="s">
        <v>206</v>
      </c>
      <c r="D169" s="4">
        <v>-7074</v>
      </c>
      <c r="E169" s="4">
        <v>-8989</v>
      </c>
      <c r="F169" s="4">
        <f t="shared" si="17"/>
        <v>-16063</v>
      </c>
      <c r="G169" t="s">
        <v>222</v>
      </c>
    </row>
    <row r="170" spans="1:7">
      <c r="A170" s="28" t="s">
        <v>343</v>
      </c>
      <c r="B170">
        <v>427.48</v>
      </c>
      <c r="C170" t="s">
        <v>223</v>
      </c>
      <c r="D170" s="4">
        <v>0</v>
      </c>
      <c r="E170" s="4">
        <v>-9912.6299999999992</v>
      </c>
      <c r="F170" s="4">
        <f t="shared" si="17"/>
        <v>-9912.6299999999992</v>
      </c>
      <c r="G170" t="s">
        <v>418</v>
      </c>
    </row>
    <row r="171" spans="1:7">
      <c r="A171" s="28" t="s">
        <v>344</v>
      </c>
      <c r="B171" t="s">
        <v>224</v>
      </c>
      <c r="C171" t="s">
        <v>225</v>
      </c>
      <c r="D171" s="4">
        <v>0</v>
      </c>
      <c r="E171" s="4">
        <v>-96101.6</v>
      </c>
      <c r="F171" s="4">
        <f t="shared" si="17"/>
        <v>-96101.6</v>
      </c>
      <c r="G171" t="s">
        <v>419</v>
      </c>
    </row>
    <row r="172" spans="1:7">
      <c r="A172" s="28" t="s">
        <v>345</v>
      </c>
      <c r="B172" t="s">
        <v>224</v>
      </c>
      <c r="C172" t="s">
        <v>226</v>
      </c>
      <c r="D172" s="4">
        <v>0</v>
      </c>
      <c r="E172" s="4">
        <v>-48887.56</v>
      </c>
      <c r="F172" s="4">
        <f t="shared" si="17"/>
        <v>-48887.56</v>
      </c>
      <c r="G172" t="s">
        <v>420</v>
      </c>
    </row>
    <row r="173" spans="1:7">
      <c r="A173" s="28" t="s">
        <v>346</v>
      </c>
      <c r="B173">
        <v>428.1</v>
      </c>
      <c r="C173" t="s">
        <v>207</v>
      </c>
      <c r="D173" s="4">
        <v>-1334</v>
      </c>
      <c r="E173" s="4">
        <v>0</v>
      </c>
      <c r="F173" s="4">
        <f t="shared" si="17"/>
        <v>-1334</v>
      </c>
    </row>
    <row r="174" spans="1:7">
      <c r="A174" s="28" t="s">
        <v>347</v>
      </c>
      <c r="B174">
        <v>431.1</v>
      </c>
      <c r="C174" t="s">
        <v>135</v>
      </c>
      <c r="D174" s="6">
        <v>0</v>
      </c>
      <c r="E174" s="6">
        <v>0</v>
      </c>
      <c r="F174" s="6">
        <f t="shared" si="17"/>
        <v>0</v>
      </c>
    </row>
    <row r="175" spans="1:7">
      <c r="A175" s="28" t="s">
        <v>348</v>
      </c>
      <c r="B175" t="s">
        <v>208</v>
      </c>
      <c r="D175" s="2">
        <f>SUM(D157:D174)</f>
        <v>-411300</v>
      </c>
      <c r="E175" s="2">
        <f>SUM(E157:E174)</f>
        <v>-207562.64</v>
      </c>
      <c r="F175" s="2">
        <f>SUM(F157:F174)</f>
        <v>-618862.6399999999</v>
      </c>
    </row>
    <row r="176" spans="1:7" ht="15.75">
      <c r="A176" s="28" t="s">
        <v>349</v>
      </c>
      <c r="D176" s="36"/>
      <c r="E176" s="34"/>
      <c r="F176" s="34"/>
    </row>
    <row r="177" spans="1:7" ht="15.75">
      <c r="A177" s="28" t="s">
        <v>350</v>
      </c>
      <c r="B177" s="29" t="s">
        <v>209</v>
      </c>
      <c r="E177" s="34"/>
      <c r="F177" s="34"/>
    </row>
    <row r="178" spans="1:7">
      <c r="A178" s="28" t="s">
        <v>351</v>
      </c>
      <c r="B178">
        <v>421.1</v>
      </c>
      <c r="C178" t="s">
        <v>209</v>
      </c>
      <c r="D178" s="9">
        <v>-59766</v>
      </c>
      <c r="E178" s="10">
        <v>59766</v>
      </c>
      <c r="F178" s="9">
        <f>+D178+E178</f>
        <v>0</v>
      </c>
      <c r="G178" t="s">
        <v>227</v>
      </c>
    </row>
    <row r="179" spans="1:7">
      <c r="A179" s="28" t="s">
        <v>352</v>
      </c>
      <c r="B179" t="s">
        <v>210</v>
      </c>
      <c r="D179" s="11">
        <f>+D178</f>
        <v>-59766</v>
      </c>
      <c r="E179" s="11">
        <f t="shared" ref="E179:F179" si="18">+E178</f>
        <v>59766</v>
      </c>
      <c r="F179" s="11">
        <f t="shared" si="18"/>
        <v>0</v>
      </c>
    </row>
    <row r="180" spans="1:7" ht="15.75">
      <c r="A180" s="28" t="s">
        <v>353</v>
      </c>
      <c r="D180" s="36"/>
      <c r="E180" s="34"/>
      <c r="F180" s="34"/>
    </row>
    <row r="181" spans="1:7" ht="15.75">
      <c r="A181" s="28" t="s">
        <v>354</v>
      </c>
      <c r="B181" s="29" t="s">
        <v>211</v>
      </c>
      <c r="E181" s="34"/>
      <c r="F181" s="34"/>
    </row>
    <row r="182" spans="1:7">
      <c r="A182" s="28" t="s">
        <v>355</v>
      </c>
      <c r="B182">
        <v>421.4</v>
      </c>
      <c r="C182" t="s">
        <v>212</v>
      </c>
      <c r="D182" s="11">
        <v>20708</v>
      </c>
      <c r="E182" s="11">
        <v>0</v>
      </c>
      <c r="F182" s="11">
        <f t="shared" ref="F182:F183" si="19">+D182+E182</f>
        <v>20708</v>
      </c>
    </row>
    <row r="183" spans="1:7">
      <c r="A183" s="28" t="s">
        <v>356</v>
      </c>
      <c r="B183">
        <v>434.1</v>
      </c>
      <c r="C183" t="s">
        <v>213</v>
      </c>
      <c r="D183" s="6">
        <v>0</v>
      </c>
      <c r="E183" s="6">
        <v>0</v>
      </c>
      <c r="F183" s="6">
        <f t="shared" si="19"/>
        <v>0</v>
      </c>
    </row>
    <row r="184" spans="1:7">
      <c r="A184" s="28" t="s">
        <v>357</v>
      </c>
      <c r="B184" t="s">
        <v>214</v>
      </c>
      <c r="D184" s="11">
        <f>SUM(D182:D183)</f>
        <v>20708</v>
      </c>
      <c r="E184" s="11">
        <f t="shared" ref="E184:F184" si="20">SUM(E182:E183)</f>
        <v>0</v>
      </c>
      <c r="F184" s="11">
        <f t="shared" si="20"/>
        <v>20708</v>
      </c>
    </row>
    <row r="185" spans="1:7" ht="15.75">
      <c r="A185" s="28" t="s">
        <v>358</v>
      </c>
      <c r="E185" s="34"/>
      <c r="F185" s="34"/>
    </row>
    <row r="186" spans="1:7" ht="15.75">
      <c r="A186" s="28" t="s">
        <v>359</v>
      </c>
      <c r="B186" s="29" t="s">
        <v>215</v>
      </c>
      <c r="D186" s="2">
        <f>+D154+D175+D179+D184</f>
        <v>696744</v>
      </c>
      <c r="E186" s="2">
        <f>+E154+E175+E179+E184</f>
        <v>108858.27999999991</v>
      </c>
      <c r="F186" s="2">
        <f>+F154+F175+F179+F184</f>
        <v>805602.28</v>
      </c>
    </row>
    <row r="187" spans="1:7">
      <c r="A187" s="28" t="s">
        <v>360</v>
      </c>
      <c r="B187" t="s">
        <v>62</v>
      </c>
      <c r="C187" t="s">
        <v>62</v>
      </c>
    </row>
    <row r="188" spans="1:7" ht="15.75">
      <c r="A188" s="28" t="s">
        <v>361</v>
      </c>
      <c r="B188" s="29" t="s">
        <v>216</v>
      </c>
      <c r="D188" s="2">
        <f>+D186+D145</f>
        <v>688909.66000000015</v>
      </c>
      <c r="E188" s="2">
        <f>+E186+E145</f>
        <v>-2320649.5903636366</v>
      </c>
      <c r="F188" s="2">
        <f>+F186+F145</f>
        <v>-1631739.9303636376</v>
      </c>
    </row>
    <row r="189" spans="1:7">
      <c r="A189" s="28" t="s">
        <v>362</v>
      </c>
    </row>
    <row r="190" spans="1:7" ht="15.75">
      <c r="A190" s="28" t="s">
        <v>363</v>
      </c>
      <c r="B190" s="29" t="s">
        <v>228</v>
      </c>
      <c r="C190" s="12">
        <v>2</v>
      </c>
      <c r="F190" s="2">
        <f>-F175*(C190-1)</f>
        <v>618862.6399999999</v>
      </c>
    </row>
    <row r="191" spans="1:7">
      <c r="A191" s="28" t="s">
        <v>364</v>
      </c>
    </row>
    <row r="192" spans="1:7">
      <c r="A192" s="28" t="s">
        <v>365</v>
      </c>
      <c r="B192" s="13" t="s">
        <v>229</v>
      </c>
      <c r="F192" s="40">
        <f>+D21</f>
        <v>15408430.66</v>
      </c>
    </row>
    <row r="193" spans="1:7">
      <c r="A193" s="28" t="s">
        <v>366</v>
      </c>
      <c r="B193" s="13" t="s">
        <v>230</v>
      </c>
      <c r="F193" s="40">
        <f>+F45+F80+F92-F98+F132+F136+F141+F190-F175-F154-F26-F32-F179-F184</f>
        <v>17659033.230363637</v>
      </c>
      <c r="G193" s="52"/>
    </row>
    <row r="194" spans="1:7">
      <c r="A194" s="28" t="s">
        <v>367</v>
      </c>
      <c r="B194" s="13" t="s">
        <v>231</v>
      </c>
      <c r="F194" s="40">
        <f>+F193-F192</f>
        <v>2250602.5703636371</v>
      </c>
    </row>
    <row r="195" spans="1:7">
      <c r="A195" s="28" t="s">
        <v>368</v>
      </c>
      <c r="B195" s="13" t="s">
        <v>231</v>
      </c>
      <c r="F195" s="14">
        <f>+F194/F192</f>
        <v>0.14606306248994971</v>
      </c>
    </row>
    <row r="197" spans="1:7">
      <c r="F197" s="40"/>
    </row>
  </sheetData>
  <mergeCells count="3">
    <mergeCell ref="B9:F9"/>
    <mergeCell ref="B36:F36"/>
    <mergeCell ref="B147:F147"/>
  </mergeCells>
  <phoneticPr fontId="4" type="noConversion"/>
  <printOptions horizontalCentered="1"/>
  <pageMargins left="0.25" right="0.25" top="0.75" bottom="0.75" header="0.3" footer="0.3"/>
  <pageSetup scale="66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Components of Increase</vt:lpstr>
      <vt:lpstr>Exh 3 - Summary of Adjustments</vt:lpstr>
      <vt:lpstr>Exh 2 - COS</vt:lpstr>
      <vt:lpstr>'Exh 2 - COS'!Print_Area</vt:lpstr>
      <vt:lpstr>'Exh 2 - COS'!Print_Titles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Mayhew Seavey</dc:creator>
  <cp:lastModifiedBy>Sarah Juzek</cp:lastModifiedBy>
  <cp:lastPrinted>2026-06-05T17:45:35Z</cp:lastPrinted>
  <dcterms:created xsi:type="dcterms:W3CDTF">2026-05-06T18:58:31Z</dcterms:created>
  <dcterms:modified xsi:type="dcterms:W3CDTF">2026-06-05T18:03:04Z</dcterms:modified>
</cp:coreProperties>
</file>