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UFS Dropbox\UFS Team Folder\CLIENT Project Files\Jacksonville VT\2026\07. PUC\Rate Case Financials\"/>
    </mc:Choice>
  </mc:AlternateContent>
  <xr:revisionPtr revIDLastSave="0" documentId="13_ncr:1_{3841EA9D-6900-4EB2-988E-F10A1E479E4B}" xr6:coauthVersionLast="47" xr6:coauthVersionMax="47" xr10:uidLastSave="{00000000-0000-0000-0000-000000000000}"/>
  <bookViews>
    <workbookView xWindow="-108" yWindow="-108" windowWidth="41496" windowHeight="16776" tabRatio="889" activeTab="4" xr2:uid="{408446E6-9F46-4332-B276-E8A3A8DA562C}"/>
  </bookViews>
  <sheets>
    <sheet name="JEC-Jurczyk-2" sheetId="1" r:id="rId1"/>
    <sheet name="JEC-Jurczyk-3" sheetId="2" r:id="rId2"/>
    <sheet name="JEC-Jurczyk-4" sheetId="3" r:id="rId3"/>
    <sheet name="JEC-Jurczyk-5" sheetId="4" r:id="rId4"/>
    <sheet name="JEC-Jurczyk-6" sheetId="5" r:id="rId5"/>
    <sheet name="JEC-Jurczyk-7" sheetId="6" r:id="rId6"/>
    <sheet name="JEC-Jurczyk-8" sheetId="7" r:id="rId7"/>
    <sheet name="JEC-Jurczyk-9" sheetId="8" r:id="rId8"/>
    <sheet name="JEC-Jurczyk-10A" sheetId="9" r:id="rId9"/>
    <sheet name="10B" sheetId="10" r:id="rId10"/>
    <sheet name="10C" sheetId="11" r:id="rId11"/>
    <sheet name="JEC-Jurczyk-11A" sheetId="12" r:id="rId12"/>
    <sheet name="11B" sheetId="13" r:id="rId13"/>
    <sheet name="11C" sheetId="14" r:id="rId14"/>
    <sheet name="11D" sheetId="15" r:id="rId15"/>
    <sheet name="11E" sheetId="30" r:id="rId16"/>
    <sheet name="11F" sheetId="31" r:id="rId17"/>
    <sheet name="JEC-Jurczyk-12A" sheetId="16" r:id="rId18"/>
    <sheet name="12B" sheetId="17" r:id="rId19"/>
    <sheet name="12C" sheetId="18" r:id="rId20"/>
    <sheet name="12D" sheetId="19" r:id="rId21"/>
    <sheet name="12E" sheetId="20" r:id="rId22"/>
    <sheet name="JEC-Jurczyk-13A" sheetId="21" r:id="rId23"/>
    <sheet name="13B" sheetId="22" r:id="rId24"/>
    <sheet name="JEC-Jurczyk-14" sheetId="24" r:id="rId25"/>
    <sheet name="JEC-Jurczyk-15" sheetId="25" r:id="rId26"/>
    <sheet name="JEC-Jurczyk-16" sheetId="26" state="hidden" r:id="rId27"/>
    <sheet name="END" sheetId="29" r:id="rId28"/>
    <sheet name="Historic" sheetId="28" r:id="rId29"/>
  </sheets>
  <definedNames>
    <definedName name="\P" localSheetId="4">#REF!</definedName>
    <definedName name="\P">#REF!</definedName>
    <definedName name="__123Graph_A" localSheetId="4" hidden="1">#REF!</definedName>
    <definedName name="__123Graph_A" hidden="1">#REF!</definedName>
    <definedName name="__123Graph_B" localSheetId="4" hidden="1">#REF!</definedName>
    <definedName name="__123Graph_B" hidden="1">#REF!</definedName>
    <definedName name="__123Graph_C" localSheetId="4" hidden="1">#REF!</definedName>
    <definedName name="__123Graph_C" hidden="1">#REF!</definedName>
    <definedName name="__123Graph_D" localSheetId="4" hidden="1">#REF!</definedName>
    <definedName name="__123Graph_D" hidden="1">#REF!</definedName>
    <definedName name="__123Graph_E" localSheetId="4" hidden="1">#REF!</definedName>
    <definedName name="__123Graph_E" hidden="1">#REF!</definedName>
    <definedName name="__123Graph_LBL_ACF" hidden="1">#REF!</definedName>
    <definedName name="__123Graph_X" hidden="1">#REF!</definedName>
    <definedName name="__IntlFixup" hidden="1">TRUE</definedName>
    <definedName name="_AtRisk_SimSetting_AutomaticallyGenerateReports" hidden="1">TRUE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128</definedName>
    <definedName name="_AtRisk_SimSetting_SimNameCount" hidden="1">0</definedName>
    <definedName name="_AtRisk_SimSetting_SmartSensitivityAnalysisEnabled" hidden="1">FALSE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bdm.FastTrackBookmark.12_14_2005_3_58_56_PM.edm" hidden="1">#REF!</definedName>
    <definedName name="_EXE2">#REF!</definedName>
    <definedName name="_EXE3">#REF!</definedName>
    <definedName name="_Fill" localSheetId="4" hidden="1">#REF!</definedName>
    <definedName name="_Fill" hidden="1">#REF!</definedName>
    <definedName name="_Key1" localSheetId="4" hidden="1">#REF!</definedName>
    <definedName name="_Key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1_In1" localSheetId="4" hidden="1">#REF!</definedName>
    <definedName name="_Table1_In1" hidden="1">#REF!</definedName>
    <definedName name="_Table1_Out" localSheetId="4" hidden="1">#REF!</definedName>
    <definedName name="_Table1_Out" hidden="1">#REF!</definedName>
    <definedName name="_Table2_In1" localSheetId="4" hidden="1">#REF!</definedName>
    <definedName name="_Table2_In1" hidden="1">#REF!</definedName>
    <definedName name="_Table2_In2" localSheetId="4" hidden="1">#REF!</definedName>
    <definedName name="_Table2_In2" hidden="1">#REF!</definedName>
    <definedName name="_Table2_Out" localSheetId="4" hidden="1">#REF!</definedName>
    <definedName name="_Table2_Out" hidden="1">#REF!</definedName>
    <definedName name="_Table3_In2" localSheetId="4" hidden="1">#REF!</definedName>
    <definedName name="_Table3_In2" hidden="1">#REF!</definedName>
    <definedName name="ADFA" localSheetId="4" hidden="1">#REF!</definedName>
    <definedName name="ADFA" hidden="1">#REF!</definedName>
    <definedName name="anscount" hidden="1">1</definedName>
    <definedName name="as" localSheetId="4" hidden="1">#REF!</definedName>
    <definedName name="as" hidden="1">#REF!</definedName>
    <definedName name="AS2DocOpenMode" hidden="1">"AS2DocumentEdit"</definedName>
    <definedName name="AssumSEComb" localSheetId="4" hidden="1">{"clp_bs_doc",#N/A,FALSE,"CLP";"clp_is_doc",#N/A,FALSE,"CLP";"clp_cf_doc",#N/A,FALSE,"CLP";"clp_fr_doc",#N/A,FALSE,"CLP"}</definedName>
    <definedName name="AssumSEComb" hidden="1">{"clp_bs_doc",#N/A,FALSE,"CLP";"clp_is_doc",#N/A,FALSE,"CLP";"clp_cf_doc",#N/A,FALSE,"CLP";"clp_fr_doc",#N/A,FALSE,"CLP"}</definedName>
    <definedName name="ATTC">#REF!</definedName>
    <definedName name="ATTD">#REF!</definedName>
    <definedName name="ATTE3">#REF!</definedName>
    <definedName name="BCHART" hidden="1">#REF!</definedName>
    <definedName name="Cwvu.GREY_ALL." localSheetId="4" hidden="1">#REF!</definedName>
    <definedName name="Cwvu.GREY_ALL." hidden="1">#REF!</definedName>
    <definedName name="EXC" localSheetId="4">#REF!</definedName>
    <definedName name="EXC">#REF!</definedName>
    <definedName name="EXD" localSheetId="4">#REF!</definedName>
    <definedName name="EXD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FPS_ACT_OR_EST" hidden="1">"c2217"</definedName>
    <definedName name="IQ_CFPS_EST" hidden="1">"c1667"</definedName>
    <definedName name="IQ_CFPS_HIGH_EST" hidden="1">"c1669"</definedName>
    <definedName name="IQ_CFPS_LOW_EST" hidden="1">"c1670"</definedName>
    <definedName name="IQ_CFPS_MEDIAN_EST" hidden="1">"c1668"</definedName>
    <definedName name="IQ_CFPS_NUM_EST" hidden="1">"c1671"</definedName>
    <definedName name="IQ_CFPS_STDDEV_EST" hidden="1">"c1672"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PS_ACT_OR_EST" hidden="1">"c2218"</definedName>
    <definedName name="IQ_DPS_EST" hidden="1">"c1674"</definedName>
    <definedName name="IQ_DPS_HIGH_EST" hidden="1">"c1676"</definedName>
    <definedName name="IQ_DPS_LOW_EST" hidden="1">"c1677"</definedName>
    <definedName name="IQ_DPS_MEDIAN_EST" hidden="1">"c1675"</definedName>
    <definedName name="IQ_DPS_NUM_EST" hidden="1">"c1678"</definedName>
    <definedName name="IQ_DPS_STDDEV_EST" hidden="1">"c1679"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ACT_OR_EST" hidden="1">"c2219"</definedName>
    <definedName name="IQ_EBIT_EST" hidden="1">"c1681"</definedName>
    <definedName name="IQ_EBIT_HIGH_EST" hidden="1">"c1683"</definedName>
    <definedName name="IQ_EBIT_INT" hidden="1">"c360"</definedName>
    <definedName name="IQ_EBIT_LOW_EST" hidden="1">"c1684"</definedName>
    <definedName name="IQ_EBIT_MARGIN" hidden="1">"c359"</definedName>
    <definedName name="IQ_EBIT_MEDIAN_EST" hidden="1">"c1682"</definedName>
    <definedName name="IQ_EBIT_NUM_EST" hidden="1">"c1685"</definedName>
    <definedName name="IQ_EBIT_OVER_IE" hidden="1">"c1369"</definedName>
    <definedName name="IQ_EBIT_STDDEV_EST" hidden="1">"c1686"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ST" hidden="1">"c369"</definedName>
    <definedName name="IQ_EBITDA_HIGH_EST" hidden="1">"c370"</definedName>
    <definedName name="IQ_EBITDA_INT" hidden="1">"c373"</definedName>
    <definedName name="IQ_EBITDA_LOW_EST" hidden="1">"c371"</definedName>
    <definedName name="IQ_EBITDA_MARGIN" hidden="1">"c372"</definedName>
    <definedName name="IQ_EBITDA_MEDIAN_EST" hidden="1">"c1663"</definedName>
    <definedName name="IQ_EBITDA_NUM_EST" hidden="1">"c374"</definedName>
    <definedName name="IQ_EBITDA_OVER_TOTAL_IE" hidden="1">"c1371"</definedName>
    <definedName name="IQ_EBITDA_STDDEV_EST" hidden="1">"c375"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GW_ACT_OR_EST" hidden="1">"c2223"</definedName>
    <definedName name="IQ_EPS_GW_EST" hidden="1">"c1737"</definedName>
    <definedName name="IQ_EPS_GW_HIGH_EST" hidden="1">"c1739"</definedName>
    <definedName name="IQ_EPS_GW_LOW_EST" hidden="1">"c1740"</definedName>
    <definedName name="IQ_EPS_GW_MEDIAN_EST" hidden="1">"c1738"</definedName>
    <definedName name="IQ_EPS_GW_NUM_EST" hidden="1">"c1741"</definedName>
    <definedName name="IQ_EPS_GW_STDDEV_EST" hidden="1">"c1742"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ORM_EST" hidden="1">"c2226"</definedName>
    <definedName name="IQ_EPS_NORM_HIGH_EST" hidden="1">"c2228"</definedName>
    <definedName name="IQ_EPS_NORM_LOW_EST" hidden="1">"c2229"</definedName>
    <definedName name="IQ_EPS_NORM_MEDIAN_EST" hidden="1">"c2227"</definedName>
    <definedName name="IQ_EPS_NORM_NUM_EST" hidden="1">"c2230"</definedName>
    <definedName name="IQ_EPS_NORM_STDDEV_EST" hidden="1">"c2231"</definedName>
    <definedName name="IQ_EPS_NUM_EST" hidden="1">"c402"</definedName>
    <definedName name="IQ_EPS_REPORT_ACT_OR_EST" hidden="1">"c2224"</definedName>
    <definedName name="IQ_EPS_REPORTED_EST" hidden="1">"c1744"</definedName>
    <definedName name="IQ_EPS_REPORTED_HIGH_EST" hidden="1">"c1746"</definedName>
    <definedName name="IQ_EPS_REPORTED_LOW_EST" hidden="1">"c1747"</definedName>
    <definedName name="IQ_EPS_REPORTED_MEDIAN_EST" hidden="1">"c1745"</definedName>
    <definedName name="IQ_EPS_REPORTED_NUM_EST" hidden="1">"c1748"</definedName>
    <definedName name="IQ_EPS_REPORTED_STDDEV_EST" hidden="1">"c1749"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CFPS" hidden="1">"c1673"</definedName>
    <definedName name="IQ_EST_ACT_DPS" hidden="1">"c1680"</definedName>
    <definedName name="IQ_EST_ACT_EBIT" hidden="1">"c1687"</definedName>
    <definedName name="IQ_EST_ACT_EBITDA" hidden="1">"c1664"</definedName>
    <definedName name="IQ_EST_ACT_EPS" hidden="1">"c1648"</definedName>
    <definedName name="IQ_EST_ACT_EPS_GW" hidden="1">"c1743"</definedName>
    <definedName name="IQ_EST_ACT_EPS_NORM" hidden="1">"c2232"</definedName>
    <definedName name="IQ_EST_ACT_EPS_REPORTED" hidden="1">"c1750"</definedName>
    <definedName name="IQ_EST_ACT_FFO" hidden="1">"c1666"</definedName>
    <definedName name="IQ_EST_ACT_NAV" hidden="1">"c1757"</definedName>
    <definedName name="IQ_EST_ACT_NI" hidden="1">"c1722"</definedName>
    <definedName name="IQ_EST_ACT_NI_GW" hidden="1">"c1729"</definedName>
    <definedName name="IQ_EST_ACT_NI_REPORTED" hidden="1">"c1736"</definedName>
    <definedName name="IQ_EST_ACT_OPER_INC" hidden="1">"c1694"</definedName>
    <definedName name="IQ_EST_ACT_PRETAX_GW_INC" hidden="1">"c1708"</definedName>
    <definedName name="IQ_EST_ACT_PRETAX_INC" hidden="1">"c1701"</definedName>
    <definedName name="IQ_EST_ACT_PRETAX_REPORT_INC" hidden="1">"c1715"</definedName>
    <definedName name="IQ_EST_ACT_REV" hidden="1">"c2113"</definedName>
    <definedName name="IQ_EST_CFPS_DIFF" hidden="1">"c1871"</definedName>
    <definedName name="IQ_EST_CFPS_GROWTH_1YR" hidden="1">"c1774"</definedName>
    <definedName name="IQ_EST_CFPS_GROWTH_2YR" hidden="1">"c1775"</definedName>
    <definedName name="IQ_EST_CFPS_GROWTH_Q_1YR" hidden="1">"c1776"</definedName>
    <definedName name="IQ_EST_CFPS_SEQ_GROWTH_Q" hidden="1">"c1777"</definedName>
    <definedName name="IQ_EST_CFPS_SURPRISE_PERCENT" hidden="1">"c1872"</definedName>
    <definedName name="IQ_EST_CURRENCY" hidden="1">"c2140"</definedName>
    <definedName name="IQ_EST_DATE" hidden="1">"c1634"</definedName>
    <definedName name="IQ_EST_DPS_DIFF" hidden="1">"c1873"</definedName>
    <definedName name="IQ_EST_DPS_GROWTH_1YR" hidden="1">"c1778"</definedName>
    <definedName name="IQ_EST_DPS_GROWTH_2YR" hidden="1">"c1779"</definedName>
    <definedName name="IQ_EST_DPS_GROWTH_Q_1YR" hidden="1">"c1780"</definedName>
    <definedName name="IQ_EST_DPS_SEQ_GROWTH_Q" hidden="1">"c1781"</definedName>
    <definedName name="IQ_EST_DPS_SURPRISE_PERCENT" hidden="1">"c1874"</definedName>
    <definedName name="IQ_EST_EBIT_DIFF" hidden="1">"c1875"</definedName>
    <definedName name="IQ_EST_EBIT_SURPRISE_PERCENT" hidden="1">"c1876"</definedName>
    <definedName name="IQ_EST_EBITDA_DIFF" hidden="1">"c1867"</definedName>
    <definedName name="IQ_EST_EBITDA_GROWTH_1YR" hidden="1">"c1766"</definedName>
    <definedName name="IQ_EST_EBITDA_GROWTH_2YR" hidden="1">"c1767"</definedName>
    <definedName name="IQ_EST_EBITDA_GROWTH_Q_1YR" hidden="1">"c1768"</definedName>
    <definedName name="IQ_EST_EBITDA_SEQ_GROWTH_Q" hidden="1">"c1769"</definedName>
    <definedName name="IQ_EST_EBITDA_SURPRISE_PERCENT" hidden="1">"c1868"</definedName>
    <definedName name="IQ_EST_EPS_DIFF" hidden="1">"c1864"</definedName>
    <definedName name="IQ_EST_EPS_GROWTH_1YR" hidden="1">"c1636"</definedName>
    <definedName name="IQ_EST_EPS_GROWTH_2YR" hidden="1">"c1637"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STDDEV" hidden="1">"c1660"</definedName>
    <definedName name="IQ_EST_EPS_GROWTH_Q_1YR" hidden="1">"c1641"</definedName>
    <definedName name="IQ_EST_EPS_GW_DIFF" hidden="1">"c1891"</definedName>
    <definedName name="IQ_EST_EPS_GW_SURPRISE_PERCENT" hidden="1">"c1892"</definedName>
    <definedName name="IQ_EST_EPS_NORM_DIFF" hidden="1">"c2247"</definedName>
    <definedName name="IQ_EST_EPS_NORM_SURPRISE_PERCENT" hidden="1">"c2248"</definedName>
    <definedName name="IQ_EST_EPS_REPORT_DIFF" hidden="1">"c1893"</definedName>
    <definedName name="IQ_EST_EPS_REPORT_SURPRISE_PERCENT" hidden="1">"c1894"</definedName>
    <definedName name="IQ_EST_EPS_SEQ_GROWTH_Q" hidden="1">"c1764"</definedName>
    <definedName name="IQ_EST_EPS_SURPRISE_PERCENT" hidden="1">"c1635"</definedName>
    <definedName name="IQ_EST_FFO_DIFF" hidden="1">"c1869"</definedName>
    <definedName name="IQ_EST_FFO_GROWTH_1YR" hidden="1">"c1770"</definedName>
    <definedName name="IQ_EST_FFO_GROWTH_2YR" hidden="1">"c1771"</definedName>
    <definedName name="IQ_EST_FFO_GROWTH_Q_1YR" hidden="1">"c1772"</definedName>
    <definedName name="IQ_EST_FFO_SEQ_GROWTH_Q" hidden="1">"c1773"</definedName>
    <definedName name="IQ_EST_FFO_SURPRISE_PERCENT" hidden="1">"c1870"</definedName>
    <definedName name="IQ_EST_NAV_DIFF" hidden="1">"c1895"</definedName>
    <definedName name="IQ_EST_NAV_SURPRISE_PERCENT" hidden="1">"c1896"</definedName>
    <definedName name="IQ_EST_NI_DIFF" hidden="1">"c1885"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URPRISE_PERCENT" hidden="1">"c1886"</definedName>
    <definedName name="IQ_EST_NUM_BUY" hidden="1">"c1759"</definedName>
    <definedName name="IQ_EST_NUM_HOLD" hidden="1">"c1761"</definedName>
    <definedName name="IQ_EST_NUM_NO_OPINION" hidden="1">"c1758"</definedName>
    <definedName name="IQ_EST_NUM_OUTPERFORM" hidden="1">"c1760"</definedName>
    <definedName name="IQ_EST_NUM_SELL" hidden="1">"c1763"</definedName>
    <definedName name="IQ_EST_NUM_UNDERPERFORM" hidden="1">"c1762"</definedName>
    <definedName name="IQ_EST_OPER_INC_DIFF" hidden="1">"c1877"</definedName>
    <definedName name="IQ_EST_OPER_INC_SURPRISE_PERCENT" hidden="1">"c1878"</definedName>
    <definedName name="IQ_EST_PRE_TAX_DIFF" hidden="1">"c1879"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REV_DIFF" hidden="1">"c1865"</definedName>
    <definedName name="IQ_EST_REV_GROWTH_1YR" hidden="1">"c1638"</definedName>
    <definedName name="IQ_EST_REV_GROWTH_2YR" hidden="1">"c1639"</definedName>
    <definedName name="IQ_EST_REV_GROWTH_Q_1YR" hidden="1">"c1640"</definedName>
    <definedName name="IQ_EST_REV_SEQ_GROWTH_Q" hidden="1">"c1765"</definedName>
    <definedName name="IQ_EST_REV_SURPRISE_PERCENT" hidden="1">"c1866"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FO_ACT_OR_EST" hidden="1">"c2216"</definedName>
    <definedName name="IQ_FFO_EST" hidden="1">"c418"</definedName>
    <definedName name="IQ_FFO_HIGH_EST" hidden="1">"c419"</definedName>
    <definedName name="IQ_FFO_LOW_EST" hidden="1">"c420"</definedName>
    <definedName name="IQ_FFO_MEDIAN_EST" hidden="1">"c1665"</definedName>
    <definedName name="IQ_FFO_NUM_EST" hidden="1">"c421"</definedName>
    <definedName name="IQ_FFO_STDDEV_EST" hidden="1">"c422"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_TARGET_PRICE" hidden="1">"c1652"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DIAN_TARGET_PRICE" hidden="1">"c1650"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CT_OR_EST" hidden="1">"c2222"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LOW_EST" hidden="1">"c1719"</definedName>
    <definedName name="IQ_NI_MARGIN" hidden="1">"c794"</definedName>
    <definedName name="IQ_NI_MEDIAN_EST" hidden="1">"c1717"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NUM_EST" hidden="1">"c1720"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FAS" hidden="1">"c795"</definedName>
    <definedName name="IQ_NI_STDDEV_EST" hidden="1">"c1721"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_EPS_ACT_OR_EST" hidden="1">"c2249"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ACT_OR_EST" hidden="1">"c2220"</definedName>
    <definedName name="IQ_OPER_INC_BR" hidden="1">"c850"</definedName>
    <definedName name="IQ_OPER_INC_EST" hidden="1">"c1688"</definedName>
    <definedName name="IQ_OPER_INC_FIN" hidden="1">"c851"</definedName>
    <definedName name="IQ_OPER_INC_HIGH_EST" hidden="1">"c1690"</definedName>
    <definedName name="IQ_OPER_INC_INS" hidden="1">"c852"</definedName>
    <definedName name="IQ_OPER_INC_LOW_EST" hidden="1">"c1691"</definedName>
    <definedName name="IQ_OPER_INC_MARGIN" hidden="1">"c1448"</definedName>
    <definedName name="IQ_OPER_INC_MEDIAN_EST" hidden="1">"c1689"</definedName>
    <definedName name="IQ_OPER_INC_NUM_EST" hidden="1">"c1692"</definedName>
    <definedName name="IQ_OPER_INC_REIT" hidden="1">"c853"</definedName>
    <definedName name="IQ_OPER_INC_STDDEV_EST" hidden="1">"c1693"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G_FWD" hidden="1">"c1863"</definedName>
    <definedName name="IQ_PENSION" hidden="1">"c1031"</definedName>
    <definedName name="IQ_PERCENT_CHANGE_EST_5YR_GROWTH_RATE_12MONTHS" hidden="1">"c1852"</definedName>
    <definedName name="IQ_PERCENT_CHANGE_EST_5YR_GROWTH_RATE_18MONTHS" hidden="1">"c1853"</definedName>
    <definedName name="IQ_PERCENT_CHANGE_EST_5YR_GROWTH_RATE_3MONTHS" hidden="1">"c1849"</definedName>
    <definedName name="IQ_PERCENT_CHANGE_EST_5YR_GROWTH_RATE_6MONTHS" hidden="1">"c1850"</definedName>
    <definedName name="IQ_PERCENT_CHANGE_EST_5YR_GROWTH_RATE_9MONTHS" hidden="1">"c1851"</definedName>
    <definedName name="IQ_PERCENT_CHANGE_EST_5YR_GROWTH_RATE_DAY" hidden="1">"c1846"</definedName>
    <definedName name="IQ_PERCENT_CHANGE_EST_5YR_GROWTH_RATE_MONTH" hidden="1">"c1848"</definedName>
    <definedName name="IQ_PERCENT_CHANGE_EST_5YR_GROWTH_RATE_WEEK" hidden="1">"c1847"</definedName>
    <definedName name="IQ_PERCENT_CHANGE_EST_CFPS_12MONTHS" hidden="1">"c1812"</definedName>
    <definedName name="IQ_PERCENT_CHANGE_EST_CFPS_18MONTHS" hidden="1">"c1813"</definedName>
    <definedName name="IQ_PERCENT_CHANGE_EST_CFPS_3MONTHS" hidden="1">"c1809"</definedName>
    <definedName name="IQ_PERCENT_CHANGE_EST_CFPS_6MONTHS" hidden="1">"c1810"</definedName>
    <definedName name="IQ_PERCENT_CHANGE_EST_CFPS_9MONTHS" hidden="1">"c1811"</definedName>
    <definedName name="IQ_PERCENT_CHANGE_EST_CFPS_DAY" hidden="1">"c1806"</definedName>
    <definedName name="IQ_PERCENT_CHANGE_EST_CFPS_MONTH" hidden="1">"c1808"</definedName>
    <definedName name="IQ_PERCENT_CHANGE_EST_CFPS_WEEK" hidden="1">"c1807"</definedName>
    <definedName name="IQ_PERCENT_CHANGE_EST_DPS_12MONTHS" hidden="1">"c1820"</definedName>
    <definedName name="IQ_PERCENT_CHANGE_EST_DPS_18MONTHS" hidden="1">"c1821"</definedName>
    <definedName name="IQ_PERCENT_CHANGE_EST_DPS_3MONTHS" hidden="1">"c1817"</definedName>
    <definedName name="IQ_PERCENT_CHANGE_EST_DPS_6MONTHS" hidden="1">"c1818"</definedName>
    <definedName name="IQ_PERCENT_CHANGE_EST_DPS_9MONTHS" hidden="1">"c1819"</definedName>
    <definedName name="IQ_PERCENT_CHANGE_EST_DPS_DAY" hidden="1">"c1814"</definedName>
    <definedName name="IQ_PERCENT_CHANGE_EST_DPS_MONTH" hidden="1">"c1816"</definedName>
    <definedName name="IQ_PERCENT_CHANGE_EST_DPS_WEEK" hidden="1">"c1815"</definedName>
    <definedName name="IQ_PERCENT_CHANGE_EST_EBITDA_12MONTHS" hidden="1">"c1804"</definedName>
    <definedName name="IQ_PERCENT_CHANGE_EST_EBITDA_18MONTHS" hidden="1">"c1805"</definedName>
    <definedName name="IQ_PERCENT_CHANGE_EST_EBITDA_3MONTHS" hidden="1">"c1801"</definedName>
    <definedName name="IQ_PERCENT_CHANGE_EST_EBITDA_6MONTHS" hidden="1">"c1802"</definedName>
    <definedName name="IQ_PERCENT_CHANGE_EST_EBITDA_9MONTHS" hidden="1">"c1803"</definedName>
    <definedName name="IQ_PERCENT_CHANGE_EST_EBITDA_DAY" hidden="1">"c1798"</definedName>
    <definedName name="IQ_PERCENT_CHANGE_EST_EBITDA_MONTH" hidden="1">"c1800"</definedName>
    <definedName name="IQ_PERCENT_CHANGE_EST_EBITDA_WEEK" hidden="1">"c1799"</definedName>
    <definedName name="IQ_PERCENT_CHANGE_EST_EPS_12MONTHS" hidden="1">"c1788"</definedName>
    <definedName name="IQ_PERCENT_CHANGE_EST_EPS_18MONTHS" hidden="1">"c1789"</definedName>
    <definedName name="IQ_PERCENT_CHANGE_EST_EPS_3MONTHS" hidden="1">"c1785"</definedName>
    <definedName name="IQ_PERCENT_CHANGE_EST_EPS_6MONTHS" hidden="1">"c1786"</definedName>
    <definedName name="IQ_PERCENT_CHANGE_EST_EPS_9MONTHS" hidden="1">"c1787"</definedName>
    <definedName name="IQ_PERCENT_CHANGE_EST_EPS_DAY" hidden="1">"c1782"</definedName>
    <definedName name="IQ_PERCENT_CHANGE_EST_EPS_MONTH" hidden="1">"c1784"</definedName>
    <definedName name="IQ_PERCENT_CHANGE_EST_EPS_WEEK" hidden="1">"c1783"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CHANGE_EST_PRICE_TARGET_12MONTHS" hidden="1">"c1844"</definedName>
    <definedName name="IQ_PERCENT_CHANGE_EST_PRICE_TARGET_18MONTHS" hidden="1">"c1845"</definedName>
    <definedName name="IQ_PERCENT_CHANGE_EST_PRICE_TARGET_3MONTHS" hidden="1">"c1841"</definedName>
    <definedName name="IQ_PERCENT_CHANGE_EST_PRICE_TARGET_6MONTHS" hidden="1">"c1842"</definedName>
    <definedName name="IQ_PERCENT_CHANGE_EST_PRICE_TARGET_9MONTHS" hidden="1">"c1843"</definedName>
    <definedName name="IQ_PERCENT_CHANGE_EST_PRICE_TARGET_DAY" hidden="1">"c1838"</definedName>
    <definedName name="IQ_PERCENT_CHANGE_EST_PRICE_TARGET_MONTH" hidden="1">"c1840"</definedName>
    <definedName name="IQ_PERCENT_CHANGE_EST_PRICE_TARGET_WEEK" hidden="1">"c1839"</definedName>
    <definedName name="IQ_PERCENT_CHANGE_EST_RECO_12MONTHS" hidden="1">"c1836"</definedName>
    <definedName name="IQ_PERCENT_CHANGE_EST_RECO_18MONTHS" hidden="1">"c1837"</definedName>
    <definedName name="IQ_PERCENT_CHANGE_EST_RECO_3MONTHS" hidden="1">"c1833"</definedName>
    <definedName name="IQ_PERCENT_CHANGE_EST_RECO_6MONTHS" hidden="1">"c1834"</definedName>
    <definedName name="IQ_PERCENT_CHANGE_EST_RECO_9MONTHS" hidden="1">"c1835"</definedName>
    <definedName name="IQ_PERCENT_CHANGE_EST_RECO_DAY" hidden="1">"c1830"</definedName>
    <definedName name="IQ_PERCENT_CHANGE_EST_RECO_MONTH" hidden="1">"c1832"</definedName>
    <definedName name="IQ_PERCENT_CHANGE_EST_RECO_WEEK" hidden="1">"c1831"</definedName>
    <definedName name="IQ_PERCENT_CHANGE_EST_REV_12MONTHS" hidden="1">"c1796"</definedName>
    <definedName name="IQ_PERCENT_CHANGE_EST_REV_18MONTHS" hidden="1">"c1797"</definedName>
    <definedName name="IQ_PERCENT_CHANGE_EST_REV_3MONTHS" hidden="1">"c1793"</definedName>
    <definedName name="IQ_PERCENT_CHANGE_EST_REV_6MONTHS" hidden="1">"c1794"</definedName>
    <definedName name="IQ_PERCENT_CHANGE_EST_REV_9MONTHS" hidden="1">"c1795"</definedName>
    <definedName name="IQ_PERCENT_CHANGE_EST_REV_DAY" hidden="1">"c1790"</definedName>
    <definedName name="IQ_PERCENT_CHANGE_EST_REV_MONTH" hidden="1">"c1792"</definedName>
    <definedName name="IQ_PERCENT_CHANGE_EST_REV_WEEK" hidden="1">"c1791"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RE_OPEN_COST" hidden="1">"c1040"</definedName>
    <definedName name="IQ_PRE_TAX_ACT_OR_EST" hidden="1">"c2221"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EST" hidden="1">"c1695"</definedName>
    <definedName name="IQ_PRETAX_INC_HIGH_EST" hidden="1">"c1697"</definedName>
    <definedName name="IQ_PRETAX_INC_LOW_EST" hidden="1">"c1698"</definedName>
    <definedName name="IQ_PRETAX_INC_MEDIAN_EST" hidden="1">"c1696"</definedName>
    <definedName name="IQ_PRETAX_INC_NUM_EST" hidden="1">"c1699"</definedName>
    <definedName name="IQ_PRETAX_INC_STDDEV_EST" hidden="1">"c1700"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ICE_CFPS_FWD" hidden="1">"c2237"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HIGH_EST" hidden="1">"c1127"</definedName>
    <definedName name="IQ_REVENUE_LOW_EST" hidden="1">"c1128"</definedName>
    <definedName name="IQ_REVENUE_MEDIAN_EST" hidden="1">"c1662"</definedName>
    <definedName name="IQ_REVENUE_NUM_EST" hidden="1">"c1129"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STDDEV" hidden="1">"c1654"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"c2104"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limcount" hidden="1">1</definedName>
    <definedName name="lklk" hidden="1">#REF!</definedName>
    <definedName name="NEWPLANT">#REF!</definedName>
    <definedName name="NYPA">#REF!</definedName>
    <definedName name="NYPA2">#REF!</definedName>
    <definedName name="NYPA3">#REF!</definedName>
    <definedName name="NYPA3P">#REF!</definedName>
    <definedName name="PAGE1">#REF!</definedName>
    <definedName name="_xlnm.Print_Area" localSheetId="9">'10B'!$A$1:$J$37</definedName>
    <definedName name="_xlnm.Print_Area" localSheetId="10">'10C'!$A$1:$G$44</definedName>
    <definedName name="_xlnm.Print_Area" localSheetId="13">'11C'!$A$1:$E$103</definedName>
    <definedName name="_xlnm.Print_Area" localSheetId="14">'11D'!$A$1:$D$89</definedName>
    <definedName name="_xlnm.Print_Area" localSheetId="15">'11E'!$A$1:$E$26</definedName>
    <definedName name="_xlnm.Print_Area" localSheetId="16">'11F'!$A$1:$E$44</definedName>
    <definedName name="_xlnm.Print_Area" localSheetId="18">'12B'!$A$1:$F$15</definedName>
    <definedName name="_xlnm.Print_Area" localSheetId="23">'13B'!$A$1:$E$47</definedName>
    <definedName name="_xlnm.Print_Area" localSheetId="8">'JEC-Jurczyk-10A'!$A$1:$H$16</definedName>
    <definedName name="_xlnm.Print_Area" localSheetId="17">'JEC-Jurczyk-12A'!$A$1:$F$16</definedName>
    <definedName name="_xlnm.Print_Area" localSheetId="22">'JEC-Jurczyk-13A'!$A$1:$F$12</definedName>
    <definedName name="_xlnm.Print_Area" localSheetId="24">'JEC-Jurczyk-14'!$A$1:$Q$85</definedName>
    <definedName name="_xlnm.Print_Area" localSheetId="0">'JEC-Jurczyk-2'!$A$1:$H$54</definedName>
    <definedName name="_xlnm.Print_Area" localSheetId="1">'JEC-Jurczyk-3'!$A$1:$J$22</definedName>
    <definedName name="_xlnm.Print_Area" localSheetId="2">'JEC-Jurczyk-4'!$A$1:$I$19</definedName>
    <definedName name="_xlnm.Print_Area" localSheetId="3">'JEC-Jurczyk-5'!$A$1:$G$39</definedName>
    <definedName name="_xlnm.Print_Area" localSheetId="4">'JEC-Jurczyk-6'!$A$1:$J$42</definedName>
    <definedName name="_xlnm.Print_Area">#REF!</definedName>
    <definedName name="_xlnm.Print_Titles" localSheetId="13">'11C'!$1:$7</definedName>
    <definedName name="_xlnm.Print_Titles" localSheetId="14">'11D'!$1:$6</definedName>
    <definedName name="_xlnm.Print_Titles" localSheetId="15">'11E'!$1:$6</definedName>
    <definedName name="_xlnm.Print_Titles" localSheetId="16">'11F'!$1:$6</definedName>
    <definedName name="_xlnm.Print_Titles" localSheetId="19">'12C'!$1:$6</definedName>
    <definedName name="_xlnm.Print_Titles" localSheetId="20">'12D'!$1:$6</definedName>
    <definedName name="_xlnm.Print_Titles" localSheetId="21">'12E'!$1:$6</definedName>
    <definedName name="_xlnm.Print_Titles" localSheetId="24">'JEC-Jurczyk-14'!$1:$24</definedName>
    <definedName name="_xlnm.Print_Titles" localSheetId="25">'JEC-Jurczyk-15'!$1:$6</definedName>
    <definedName name="_xlnm.Print_Titles" localSheetId="4">'JEC-Jurczyk-6'!$1:$9</definedName>
    <definedName name="REV" localSheetId="4">#REF!</definedName>
    <definedName name="REV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"ChangeSimTableValues"</definedName>
    <definedName name="RiskCollectDistributionSamples" hidden="1">0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NumIterations" hidden="1">250</definedName>
    <definedName name="RiskNumSimulations" hidden="1">3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TRUE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sencount" hidden="1">2</definedName>
    <definedName name="SGS" hidden="1">#REF!</definedName>
    <definedName name="TIER">#REF!</definedName>
    <definedName name="TWO" hidden="1">255</definedName>
    <definedName name="what" localSheetId="4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hat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rn.3cases." localSheetId="4" hidden="1">{#N/A,"Base",FALSE,"Dividend";#N/A,"Conservative",FALSE,"Dividend";#N/A,"Downside",FALSE,"Dividend"}</definedName>
    <definedName name="wrn.3cases." hidden="1">{#N/A,"Base",FALSE,"Dividend";#N/A,"Conservative",FALSE,"Dividend";#N/A,"Downside",FALSE,"Dividend"}</definedName>
    <definedName name="wrn.Accretion." localSheetId="4" hidden="1">{"Accretion",#N/A,FALSE,"Assum"}</definedName>
    <definedName name="wrn.Accretion." hidden="1">{"Accretion",#N/A,FALSE,"Assum"}</definedName>
    <definedName name="wrn.all." localSheetId="4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rn.all." hidden="1">{#N/A,#N/A,FALSE,"Rollup";#N/A,#N/A,FALSE,"ContCost";#N/A,#N/A,FALSE,"M&amp;S";#N/A,#N/A,FALSE,"MNR";#N/A,#N/A,FALSE,"LabSum";#N/A,#N/A,FALSE,"Benes";#N/A,#N/A,FALSE,"Apr";#N/A,#N/A,FALSE,"May";#N/A,#N/A,FALSE,"Jun";#N/A,#N/A,FALSE,"Jul";#N/A,#N/A,FALSE,"Aug";#N/A,#N/A,FALSE,"Sep";#N/A,#N/A,FALSE,"Oct";#N/A,#N/A,FALSE,"Nov";#N/A,#N/A,FALSE,"Dec";#N/A,#N/A,FALSE,"Jan";#N/A,#N/A,FALSE,"Feb";#N/A,#N/A,FALSE,"Mar"}</definedName>
    <definedName name="wrn.Assumptions." localSheetId="4" hidden="1">{"Assumptions",#N/A,FALSE,"Assum"}</definedName>
    <definedName name="wrn.Assumptions." hidden="1">{"Assumptions",#N/A,FALSE,"Assum"}</definedName>
    <definedName name="wrn.clp_detail_doc." localSheetId="4" hidden="1">{"clp_ltd_doc",#N/A,FALSE,"CLP";"clp_om_doc",#N/A,FALSE,"CLP";"clp_ra_doc",#N/A,FALSE,"CLP";"clp_rb_doc",#N/A,FALSE,"CLP";"clp_rev_doc",#N/A,FALSE,"CLP";"clp_tax_doc",#N/A,FALSE,"CLP";"clp_wc_doc",#N/A,FALSE,"CLP";"clp_power_doc",#N/A,FALSE,"CLP"}</definedName>
    <definedName name="wrn.clp_detail_doc." hidden="1">{"clp_ltd_doc",#N/A,FALSE,"CLP";"clp_om_doc",#N/A,FALSE,"CLP";"clp_ra_doc",#N/A,FALSE,"CLP";"clp_rb_doc",#N/A,FALSE,"CLP";"clp_rev_doc",#N/A,FALSE,"CLP";"clp_tax_doc",#N/A,FALSE,"CLP";"clp_wc_doc",#N/A,FALSE,"CLP";"clp_power_doc",#N/A,FALSE,"CLP"}</definedName>
    <definedName name="wrn.clp_fs_doc." localSheetId="4" hidden="1">{"clp_bs_doc",#N/A,FALSE,"CLP";"clp_is_doc",#N/A,FALSE,"CLP";"clp_cf_doc",#N/A,FALSE,"CLP";"clp_fr_doc",#N/A,FALSE,"CLP"}</definedName>
    <definedName name="wrn.clp_fs_doc." hidden="1">{"clp_bs_doc",#N/A,FALSE,"CLP";"clp_is_doc",#N/A,FALSE,"CLP";"clp_cf_doc",#N/A,FALSE,"CLP";"clp_fr_doc",#N/A,FALSE,"CLP"}</definedName>
    <definedName name="wrn.Exist." localSheetId="4" hidden="1">{"Exist1",#N/A,FALSE,"Exist";"exist2",#N/A,FALSE,"Exist"}</definedName>
    <definedName name="wrn.Exist." hidden="1">{"Exist1",#N/A,FALSE,"Exist";"exist2",#N/A,FALSE,"Exist"}</definedName>
    <definedName name="wrn.FCB." localSheetId="4" hidden="1">{"FCB_ALL",#N/A,FALSE,"FCB"}</definedName>
    <definedName name="wrn.FCB." hidden="1">{"FCB_ALL",#N/A,FALSE,"FCB"}</definedName>
    <definedName name="wrn.fcb2" localSheetId="4" hidden="1">{"FCB_ALL",#N/A,FALSE,"FCB"}</definedName>
    <definedName name="wrn.fcb2" hidden="1">{"FCB_ALL",#N/A,FALSE,"FCB"}</definedName>
    <definedName name="wrn.Freedom._.FY._.98._.Budget." localSheetId="4" hidden="1">{#N/A,#N/A,TRUE,"Rollup";#N/A,#N/A,TRUE,"ContCost";#N/A,#N/A,TRUE,"LabSum";#N/A,#N/A,TRUE,"Benes";#N/A,#N/A,TRUE,"Apr";#N/A,#N/A,TRUE,"May";#N/A,#N/A,TRUE,"Jun";#N/A,#N/A,TRUE,"Jul";#N/A,#N/A,TRUE,"Aug";#N/A,#N/A,TRUE,"Oct";#N/A,#N/A,TRUE,"Sep";#N/A,#N/A,TRUE,"Nov";#N/A,#N/A,TRUE,"Dec";#N/A,#N/A,TRUE,"Jan";#N/A,#N/A,TRUE,"Feb";#N/A,#N/A,TRUE,"Mar";#N/A,#N/A,TRUE,"Major non Rebuild";#N/A,#N/A,TRUE,"Manning 97";#N/A,#N/A,TRUE,"Manning 98";#N/A,#N/A,TRUE,"major non";#N/A,#N/A,TRUE,"Rebuild accrual";#N/A,#N/A,TRUE,"days";#N/A,#N/A,TRUE,"prodction history";#N/A,#N/A,TRUE,"manpower";#N/A,#N/A,TRUE,"major non breakdown"}</definedName>
    <definedName name="wrn.Freedom._.FY._.98._.Budget." hidden="1">{#N/A,#N/A,TRUE,"Rollup";#N/A,#N/A,TRUE,"ContCost";#N/A,#N/A,TRUE,"LabSum";#N/A,#N/A,TRUE,"Benes";#N/A,#N/A,TRUE,"Apr";#N/A,#N/A,TRUE,"May";#N/A,#N/A,TRUE,"Jun";#N/A,#N/A,TRUE,"Jul";#N/A,#N/A,TRUE,"Aug";#N/A,#N/A,TRUE,"Oct";#N/A,#N/A,TRUE,"Sep";#N/A,#N/A,TRUE,"Nov";#N/A,#N/A,TRUE,"Dec";#N/A,#N/A,TRUE,"Jan";#N/A,#N/A,TRUE,"Feb";#N/A,#N/A,TRUE,"Mar";#N/A,#N/A,TRUE,"Major non Rebuild";#N/A,#N/A,TRUE,"Manning 97";#N/A,#N/A,TRUE,"Manning 98";#N/A,#N/A,TRUE,"major non";#N/A,#N/A,TRUE,"Rebuild accrual";#N/A,#N/A,TRUE,"days";#N/A,#N/A,TRUE,"prodction history";#N/A,#N/A,TRUE,"manpower";#N/A,#N/A,TRUE,"major non breakdown"}</definedName>
    <definedName name="wrn.labor." localSheetId="4" hidden="1">{#N/A,#N/A,FALSE,"Oct";#N/A,#N/A,FALSE,"Nov";#N/A,#N/A,FALSE,"Dec";#N/A,#N/A,FALSE,"Jan";#N/A,#N/A,FALSE,"Feb";#N/A,#N/A,FALSE,"Mar";#N/A,#N/A,FALSE,"Apr";#N/A,#N/A,FALSE,"May";#N/A,#N/A,FALSE,"Jun";#N/A,#N/A,FALSE,"July";#N/A,#N/A,FALSE,"Aug";#N/A,#N/A,FALSE,"Sept"}</definedName>
    <definedName name="wrn.labor." hidden="1">{#N/A,#N/A,FALSE,"Oct";#N/A,#N/A,FALSE,"Nov";#N/A,#N/A,FALSE,"Dec";#N/A,#N/A,FALSE,"Jan";#N/A,#N/A,FALSE,"Feb";#N/A,#N/A,FALSE,"Mar";#N/A,#N/A,FALSE,"Apr";#N/A,#N/A,FALSE,"May";#N/A,#N/A,FALSE,"Jun";#N/A,#N/A,FALSE,"July";#N/A,#N/A,FALSE,"Aug";#N/A,#N/A,FALSE,"Sept"}</definedName>
    <definedName name="wrn.print._.graphs." localSheetId="4" hidden="1">{"cap_structure",#N/A,FALSE,"Graph-Mkt Cap";"price",#N/A,FALSE,"Graph-Price";"ebit",#N/A,FALSE,"Graph-EBITDA";"ebitda",#N/A,FALSE,"Graph-EBITDA"}</definedName>
    <definedName name="wrn.print._.graphs." hidden="1">{"cap_structure",#N/A,FALSE,"Graph-Mkt Cap";"price",#N/A,FALSE,"Graph-Price";"ebit",#N/A,FALSE,"Graph-EBITDA";"ebitda",#N/A,FALSE,"Graph-EBITDA"}</definedName>
    <definedName name="wrn.print._.raw._.data._.entry." localSheetId="4" hidden="1">{"inputs raw data",#N/A,TRUE,"INPUT"}</definedName>
    <definedName name="wrn.print._.raw._.data._.entry." hidden="1">{"inputs raw data",#N/A,TRUE,"INPUT"}</definedName>
    <definedName name="wrn.print._.summary._.sheets." localSheetId="4" hidden="1">{"summary1",#N/A,TRUE,"Comps";"summary2",#N/A,TRUE,"Comps";"summary3",#N/A,TRUE,"Comps"}</definedName>
    <definedName name="wrn.print._.summary._.sheets." hidden="1">{"summary1",#N/A,TRUE,"Comps";"summary2",#N/A,TRUE,"Comps";"summary3",#N/A,TRUE,"Comps"}</definedName>
    <definedName name="wrn.print._.summary._.sheets.2" localSheetId="4" hidden="1">{"summary1",#N/A,TRUE,"Comps";"summary2",#N/A,TRUE,"Comps";"summary3",#N/A,TRUE,"Comps"}</definedName>
    <definedName name="wrn.print._.summary._.sheets.2" hidden="1">{"summary1",#N/A,TRUE,"Comps";"summary2",#N/A,TRUE,"Comps";"summary3",#N/A,TRUE,"Comps"}</definedName>
    <definedName name="wrn.Print_Buyer." localSheetId="4" hidden="1">{#N/A,"DR",FALSE,"increm pf";#N/A,"MAMSI",FALSE,"increm pf";#N/A,"MAXI",FALSE,"increm pf";#N/A,"PCAM",FALSE,"increm pf";#N/A,"PHSV",FALSE,"increm pf";#N/A,"SIE",FALSE,"increm pf"}</definedName>
    <definedName name="wrn.Print_Buyer." hidden="1">{#N/A,"DR",FALSE,"increm pf";#N/A,"MAMSI",FALSE,"increm pf";#N/A,"MAXI",FALSE,"increm pf";#N/A,"PCAM",FALSE,"increm pf";#N/A,"PHSV",FALSE,"increm pf";#N/A,"SIE",FALSE,"increm pf"}</definedName>
    <definedName name="wrn.Print_Target." localSheetId="4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wrn.Print_Target.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wrn.STAND_ALONE_BOTH." localSheetId="4" hidden="1">{"FCB_ALL",#N/A,FALSE,"FCB";"GREY_ALL",#N/A,FALSE,"GREY"}</definedName>
    <definedName name="wrn.STAND_ALONE_BOTH." hidden="1">{"FCB_ALL",#N/A,FALSE,"FCB";"GREY_ALL",#N/A,FALSE,"GREY"}</definedName>
    <definedName name="wvu.inputs._.raw._.data." localSheetId="4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inputs._.raw._.data.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summary1." localSheetId="4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1.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2." localSheetId="4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2.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3." localSheetId="4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wvu.summary3.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x" localSheetId="4" hidden="1">{"clp_bs_doc",#N/A,FALSE,"CLP";"clp_is_doc",#N/A,FALSE,"CLP";"clp_cf_doc",#N/A,FALSE,"CLP";"clp_fr_doc",#N/A,FALSE,"CLP"}</definedName>
    <definedName name="x" hidden="1">{"clp_bs_doc",#N/A,FALSE,"CLP";"clp_is_doc",#N/A,FALSE,"CLP";"clp_cf_doc",#N/A,FALSE,"CLP";"clp_fr_doc",#N/A,FALSE,"CLP"}</definedName>
    <definedName name="y" localSheetId="4" hidden="1">{"clp_bs_doc",#N/A,FALSE,"CLP";"clp_is_doc",#N/A,FALSE,"CLP";"clp_cf_doc",#N/A,FALSE,"CLP";"clp_fr_doc",#N/A,FALSE,"CLP"}</definedName>
    <definedName name="y" hidden="1">{"clp_bs_doc",#N/A,FALSE,"CLP";"clp_is_doc",#N/A,FALSE,"CLP";"clp_cf_doc",#N/A,FALSE,"CLP";"clp_fr_doc",#N/A,FALSE,"CLP"}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6" i="31" l="1"/>
  <c r="C5" i="31"/>
  <c r="C4" i="31"/>
  <c r="B2" i="31"/>
  <c r="B1" i="31"/>
  <c r="A38" i="4"/>
  <c r="F39" i="5"/>
  <c r="A36" i="1"/>
  <c r="A17" i="1"/>
  <c r="A15" i="1"/>
  <c r="A25" i="24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71" i="24" s="1"/>
  <c r="A72" i="24" s="1"/>
  <c r="A73" i="24" s="1"/>
  <c r="A74" i="24" s="1"/>
  <c r="A75" i="24" s="1"/>
  <c r="A76" i="24" s="1"/>
  <c r="A77" i="24" s="1"/>
  <c r="A78" i="24" s="1"/>
  <c r="A79" i="24" s="1"/>
  <c r="A80" i="24" s="1"/>
  <c r="A81" i="24" s="1"/>
  <c r="A82" i="24" s="1"/>
  <c r="A83" i="24" s="1"/>
  <c r="A84" i="24" s="1"/>
  <c r="E16" i="30"/>
  <c r="E17" i="30"/>
  <c r="E18" i="30"/>
  <c r="E19" i="30"/>
  <c r="E20" i="30"/>
  <c r="E21" i="30"/>
  <c r="E22" i="30"/>
  <c r="E23" i="30"/>
  <c r="E24" i="30"/>
  <c r="E25" i="30"/>
  <c r="E26" i="30"/>
  <c r="E15" i="30"/>
  <c r="E9" i="30"/>
  <c r="D9" i="30"/>
  <c r="C9" i="30"/>
  <c r="D8" i="30"/>
  <c r="C8" i="30"/>
  <c r="D13" i="12"/>
  <c r="A12" i="30"/>
  <c r="A13" i="30" s="1"/>
  <c r="A14" i="30" s="1"/>
  <c r="C6" i="30"/>
  <c r="C5" i="30"/>
  <c r="C4" i="30"/>
  <c r="B2" i="30"/>
  <c r="B1" i="30"/>
  <c r="A15" i="30" l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E20" i="1"/>
  <c r="F12" i="2"/>
  <c r="E13" i="12"/>
  <c r="A11" i="26"/>
  <c r="A12" i="26" s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10" i="26"/>
  <c r="A23" i="24"/>
  <c r="A24" i="24" s="1"/>
  <c r="A85" i="24" s="1"/>
  <c r="D14" i="16"/>
  <c r="E14" i="16" s="1"/>
  <c r="F13" i="2" s="1"/>
  <c r="J13" i="2" s="1"/>
  <c r="D11" i="12"/>
  <c r="E11" i="12" s="1"/>
  <c r="C11" i="12"/>
  <c r="E50" i="10"/>
  <c r="C14" i="9"/>
  <c r="D14" i="9"/>
  <c r="D13" i="9"/>
  <c r="E11" i="4"/>
  <c r="F11" i="4" s="1"/>
  <c r="G11" i="4" s="1"/>
  <c r="D11" i="4"/>
  <c r="B11" i="4"/>
  <c r="D39" i="28"/>
  <c r="E39" i="28"/>
  <c r="F39" i="28"/>
  <c r="G39" i="28"/>
  <c r="H39" i="28"/>
  <c r="I39" i="28"/>
  <c r="C39" i="28"/>
  <c r="B6" i="26"/>
  <c r="B5" i="26"/>
  <c r="B4" i="26"/>
  <c r="A2" i="26"/>
  <c r="A1" i="26"/>
  <c r="B6" i="25"/>
  <c r="B5" i="25"/>
  <c r="B4" i="25"/>
  <c r="A2" i="25"/>
  <c r="A1" i="25"/>
  <c r="D85" i="24"/>
  <c r="C85" i="24"/>
  <c r="E84" i="24"/>
  <c r="E83" i="24"/>
  <c r="E82" i="24"/>
  <c r="E81" i="24"/>
  <c r="E80" i="24"/>
  <c r="E79" i="24"/>
  <c r="E78" i="24"/>
  <c r="E77" i="24"/>
  <c r="E76" i="24"/>
  <c r="E75" i="24"/>
  <c r="E74" i="24"/>
  <c r="E73" i="24"/>
  <c r="E72" i="24"/>
  <c r="E71" i="24"/>
  <c r="E70" i="24"/>
  <c r="E69" i="24"/>
  <c r="E68" i="24"/>
  <c r="E67" i="24"/>
  <c r="E66" i="24"/>
  <c r="E65" i="24"/>
  <c r="T64" i="24"/>
  <c r="S64" i="24"/>
  <c r="E64" i="24"/>
  <c r="T63" i="24"/>
  <c r="S63" i="24"/>
  <c r="U63" i="24" s="1"/>
  <c r="E63" i="24"/>
  <c r="T62" i="24"/>
  <c r="S62" i="24"/>
  <c r="E62" i="24"/>
  <c r="T61" i="24"/>
  <c r="S61" i="24"/>
  <c r="U61" i="24" s="1"/>
  <c r="E61" i="24"/>
  <c r="T60" i="24"/>
  <c r="S60" i="24"/>
  <c r="U60" i="24" s="1"/>
  <c r="E60" i="24"/>
  <c r="T59" i="24"/>
  <c r="S59" i="24"/>
  <c r="U59" i="24" s="1"/>
  <c r="E59" i="24"/>
  <c r="T58" i="24"/>
  <c r="S58" i="24"/>
  <c r="U58" i="24" s="1"/>
  <c r="E58" i="24"/>
  <c r="T57" i="24"/>
  <c r="S57" i="24"/>
  <c r="E57" i="24"/>
  <c r="T56" i="24"/>
  <c r="S56" i="24"/>
  <c r="E56" i="24"/>
  <c r="T55" i="24"/>
  <c r="S55" i="24"/>
  <c r="E55" i="24"/>
  <c r="T54" i="24"/>
  <c r="S54" i="24"/>
  <c r="E54" i="24"/>
  <c r="T53" i="24"/>
  <c r="S53" i="24"/>
  <c r="E53" i="24"/>
  <c r="T52" i="24"/>
  <c r="S52" i="24"/>
  <c r="U52" i="24" s="1"/>
  <c r="E52" i="24"/>
  <c r="T51" i="24"/>
  <c r="S51" i="24"/>
  <c r="E51" i="24"/>
  <c r="T50" i="24"/>
  <c r="S50" i="24"/>
  <c r="U50" i="24" s="1"/>
  <c r="E50" i="24"/>
  <c r="T49" i="24"/>
  <c r="S49" i="24"/>
  <c r="U49" i="24" s="1"/>
  <c r="E49" i="24"/>
  <c r="T48" i="24"/>
  <c r="S48" i="24"/>
  <c r="E48" i="24"/>
  <c r="T47" i="24"/>
  <c r="S47" i="24"/>
  <c r="U47" i="24" s="1"/>
  <c r="E47" i="24"/>
  <c r="T46" i="24"/>
  <c r="S46" i="24"/>
  <c r="U46" i="24" s="1"/>
  <c r="E46" i="24"/>
  <c r="S45" i="24"/>
  <c r="E45" i="24"/>
  <c r="T44" i="24"/>
  <c r="S44" i="24"/>
  <c r="U44" i="24" s="1"/>
  <c r="E44" i="24"/>
  <c r="T43" i="24"/>
  <c r="S43" i="24"/>
  <c r="U43" i="24" s="1"/>
  <c r="E43" i="24"/>
  <c r="T42" i="24"/>
  <c r="S42" i="24"/>
  <c r="U42" i="24" s="1"/>
  <c r="E42" i="24"/>
  <c r="T41" i="24"/>
  <c r="S41" i="24"/>
  <c r="U41" i="24" s="1"/>
  <c r="E41" i="24"/>
  <c r="T40" i="24"/>
  <c r="S40" i="24"/>
  <c r="E40" i="24"/>
  <c r="T39" i="24"/>
  <c r="S39" i="24"/>
  <c r="U39" i="24" s="1"/>
  <c r="E39" i="24"/>
  <c r="T38" i="24"/>
  <c r="S38" i="24"/>
  <c r="U38" i="24" s="1"/>
  <c r="E38" i="24"/>
  <c r="T37" i="24"/>
  <c r="S37" i="24"/>
  <c r="U37" i="24" s="1"/>
  <c r="E37" i="24"/>
  <c r="T36" i="24"/>
  <c r="S36" i="24"/>
  <c r="E36" i="24"/>
  <c r="T35" i="24"/>
  <c r="S35" i="24"/>
  <c r="E35" i="24"/>
  <c r="T34" i="24"/>
  <c r="S34" i="24"/>
  <c r="U34" i="24" s="1"/>
  <c r="E34" i="24"/>
  <c r="T33" i="24"/>
  <c r="S33" i="24"/>
  <c r="U33" i="24" s="1"/>
  <c r="E33" i="24"/>
  <c r="T32" i="24"/>
  <c r="S32" i="24"/>
  <c r="U32" i="24" s="1"/>
  <c r="E32" i="24"/>
  <c r="T31" i="24"/>
  <c r="S31" i="24"/>
  <c r="E31" i="24"/>
  <c r="T30" i="24"/>
  <c r="S30" i="24"/>
  <c r="U30" i="24" s="1"/>
  <c r="E30" i="24"/>
  <c r="T29" i="24"/>
  <c r="S29" i="24"/>
  <c r="U29" i="24" s="1"/>
  <c r="E29" i="24"/>
  <c r="T28" i="24"/>
  <c r="S28" i="24"/>
  <c r="U28" i="24" s="1"/>
  <c r="E28" i="24"/>
  <c r="T27" i="24"/>
  <c r="S27" i="24"/>
  <c r="U27" i="24" s="1"/>
  <c r="E27" i="24"/>
  <c r="T26" i="24"/>
  <c r="S26" i="24"/>
  <c r="U26" i="24" s="1"/>
  <c r="E26" i="24"/>
  <c r="T25" i="24"/>
  <c r="S25" i="24"/>
  <c r="U25" i="24" s="1"/>
  <c r="E25" i="24"/>
  <c r="E13" i="24"/>
  <c r="D13" i="24"/>
  <c r="C13" i="24"/>
  <c r="B13" i="24"/>
  <c r="E12" i="24"/>
  <c r="D12" i="24"/>
  <c r="C12" i="24"/>
  <c r="B12" i="24"/>
  <c r="E11" i="24"/>
  <c r="D11" i="24"/>
  <c r="C11" i="24"/>
  <c r="B11" i="24"/>
  <c r="A11" i="24"/>
  <c r="A12" i="24" s="1"/>
  <c r="A13" i="24" s="1"/>
  <c r="A14" i="24" s="1"/>
  <c r="A15" i="24" s="1"/>
  <c r="A16" i="24" s="1"/>
  <c r="E10" i="24"/>
  <c r="D10" i="24"/>
  <c r="C10" i="24"/>
  <c r="C16" i="24" s="1"/>
  <c r="B10" i="24"/>
  <c r="C6" i="24"/>
  <c r="C5" i="24"/>
  <c r="C4" i="24"/>
  <c r="B2" i="24"/>
  <c r="B1" i="24"/>
  <c r="C6" i="22"/>
  <c r="C5" i="22"/>
  <c r="C4" i="22"/>
  <c r="B2" i="22"/>
  <c r="B1" i="22"/>
  <c r="F11" i="21"/>
  <c r="E10" i="21"/>
  <c r="F10" i="21" s="1"/>
  <c r="D12" i="21"/>
  <c r="C6" i="21"/>
  <c r="C5" i="21"/>
  <c r="C4" i="21"/>
  <c r="B2" i="21"/>
  <c r="B1" i="21"/>
  <c r="C6" i="20"/>
  <c r="C5" i="20"/>
  <c r="C4" i="20"/>
  <c r="B2" i="20"/>
  <c r="B1" i="20"/>
  <c r="C6" i="19"/>
  <c r="C5" i="19"/>
  <c r="C4" i="19"/>
  <c r="B2" i="19"/>
  <c r="B1" i="19"/>
  <c r="C6" i="18"/>
  <c r="C5" i="18"/>
  <c r="C4" i="18"/>
  <c r="B2" i="18"/>
  <c r="B1" i="18"/>
  <c r="D12" i="17"/>
  <c r="D11" i="17"/>
  <c r="D10" i="17"/>
  <c r="D13" i="17" s="1"/>
  <c r="E13" i="17" s="1"/>
  <c r="C6" i="17"/>
  <c r="C5" i="17"/>
  <c r="C4" i="17"/>
  <c r="B2" i="17"/>
  <c r="B1" i="17"/>
  <c r="C13" i="16"/>
  <c r="E13" i="16" s="1"/>
  <c r="C12" i="16"/>
  <c r="E12" i="16" s="1"/>
  <c r="C11" i="16"/>
  <c r="E11" i="16" s="1"/>
  <c r="A11" i="16"/>
  <c r="A12" i="16" s="1"/>
  <c r="A13" i="16" s="1"/>
  <c r="A14" i="16" s="1"/>
  <c r="A15" i="16" s="1"/>
  <c r="A16" i="16" s="1"/>
  <c r="C10" i="16"/>
  <c r="E10" i="16" s="1"/>
  <c r="C6" i="16"/>
  <c r="C5" i="16"/>
  <c r="C4" i="16"/>
  <c r="B2" i="16"/>
  <c r="B1" i="16"/>
  <c r="C6" i="15"/>
  <c r="C5" i="15"/>
  <c r="C4" i="15"/>
  <c r="B2" i="15"/>
  <c r="B1" i="15"/>
  <c r="C6" i="14"/>
  <c r="C5" i="14"/>
  <c r="C4" i="14"/>
  <c r="B2" i="14"/>
  <c r="B1" i="14"/>
  <c r="C13" i="13"/>
  <c r="C11" i="13"/>
  <c r="A11" i="13"/>
  <c r="A12" i="13" s="1"/>
  <c r="A13" i="13" s="1"/>
  <c r="A14" i="13" s="1"/>
  <c r="A15" i="13" s="1"/>
  <c r="A16" i="13" s="1"/>
  <c r="A17" i="13" s="1"/>
  <c r="A10" i="13"/>
  <c r="C6" i="13"/>
  <c r="C5" i="13"/>
  <c r="C4" i="13"/>
  <c r="B2" i="13"/>
  <c r="B1" i="13"/>
  <c r="E12" i="12"/>
  <c r="C13" i="12"/>
  <c r="D12" i="12"/>
  <c r="C12" i="12"/>
  <c r="E10" i="12"/>
  <c r="D10" i="12"/>
  <c r="C10" i="12"/>
  <c r="A10" i="12"/>
  <c r="A11" i="12" s="1"/>
  <c r="A12" i="12" s="1"/>
  <c r="A13" i="12" s="1"/>
  <c r="A14" i="12" s="1"/>
  <c r="A15" i="12" s="1"/>
  <c r="E9" i="12"/>
  <c r="D9" i="12"/>
  <c r="C9" i="12"/>
  <c r="C6" i="12"/>
  <c r="C5" i="12"/>
  <c r="C4" i="12"/>
  <c r="B2" i="12"/>
  <c r="B1" i="12"/>
  <c r="D16" i="10"/>
  <c r="E15" i="10"/>
  <c r="F15" i="10" s="1"/>
  <c r="G15" i="10" s="1"/>
  <c r="H15" i="10" s="1"/>
  <c r="H14" i="10"/>
  <c r="I14" i="10" s="1"/>
  <c r="G14" i="10"/>
  <c r="F14" i="10"/>
  <c r="E14" i="10"/>
  <c r="D13" i="10"/>
  <c r="C12" i="9" s="1"/>
  <c r="F12" i="10"/>
  <c r="I12" i="10" s="1"/>
  <c r="F11" i="10"/>
  <c r="I11" i="10" s="1"/>
  <c r="A11" i="10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C6" i="10"/>
  <c r="C5" i="10"/>
  <c r="C4" i="10"/>
  <c r="B2" i="10"/>
  <c r="B1" i="10"/>
  <c r="C11" i="9"/>
  <c r="A11" i="9"/>
  <c r="A12" i="9" s="1"/>
  <c r="A13" i="9" s="1"/>
  <c r="A14" i="9" s="1"/>
  <c r="A15" i="9" s="1"/>
  <c r="C10" i="9"/>
  <c r="C6" i="9"/>
  <c r="B6" i="11" s="1"/>
  <c r="C5" i="9"/>
  <c r="B5" i="11" s="1"/>
  <c r="C4" i="9"/>
  <c r="B4" i="11" s="1"/>
  <c r="B2" i="9"/>
  <c r="A2" i="11" s="1"/>
  <c r="B1" i="9"/>
  <c r="A1" i="11" s="1"/>
  <c r="E41" i="5"/>
  <c r="I37" i="5"/>
  <c r="K37" i="5" s="1"/>
  <c r="F36" i="5"/>
  <c r="F35" i="5"/>
  <c r="F34" i="5"/>
  <c r="F32" i="5"/>
  <c r="I31" i="5"/>
  <c r="F30" i="5"/>
  <c r="F28" i="5"/>
  <c r="F27" i="5"/>
  <c r="F26" i="5"/>
  <c r="F25" i="5"/>
  <c r="F24" i="5"/>
  <c r="F21" i="5"/>
  <c r="I20" i="5"/>
  <c r="F20" i="5"/>
  <c r="I19" i="5"/>
  <c r="K19" i="5" s="1"/>
  <c r="F18" i="5"/>
  <c r="F17" i="5"/>
  <c r="F15" i="5"/>
  <c r="I14" i="5"/>
  <c r="K14" i="5" s="1"/>
  <c r="F13" i="5"/>
  <c r="F12" i="5"/>
  <c r="F11" i="5"/>
  <c r="A11" i="5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C6" i="5"/>
  <c r="C5" i="5"/>
  <c r="C4" i="5"/>
  <c r="F13" i="4"/>
  <c r="G13" i="4" s="1"/>
  <c r="E13" i="4"/>
  <c r="D13" i="4"/>
  <c r="B13" i="4"/>
  <c r="E12" i="4"/>
  <c r="F12" i="4" s="1"/>
  <c r="G12" i="4" s="1"/>
  <c r="D12" i="4"/>
  <c r="D15" i="4" s="1"/>
  <c r="B12" i="4"/>
  <c r="A11" i="4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D10" i="4"/>
  <c r="B10" i="4"/>
  <c r="C6" i="4"/>
  <c r="C5" i="4"/>
  <c r="C4" i="4"/>
  <c r="B2" i="4"/>
  <c r="B1" i="4"/>
  <c r="I118" i="3"/>
  <c r="G118" i="3"/>
  <c r="D118" i="3"/>
  <c r="C118" i="3"/>
  <c r="T87" i="3"/>
  <c r="S87" i="3"/>
  <c r="U87" i="3" s="1"/>
  <c r="T86" i="3"/>
  <c r="S86" i="3"/>
  <c r="U86" i="3" s="1"/>
  <c r="T85" i="3"/>
  <c r="S85" i="3"/>
  <c r="U85" i="3" s="1"/>
  <c r="E85" i="3"/>
  <c r="T84" i="3"/>
  <c r="S84" i="3"/>
  <c r="U84" i="3" s="1"/>
  <c r="E84" i="3"/>
  <c r="T83" i="3"/>
  <c r="S83" i="3"/>
  <c r="U83" i="3" s="1"/>
  <c r="E83" i="3"/>
  <c r="T82" i="3"/>
  <c r="S82" i="3"/>
  <c r="E82" i="3"/>
  <c r="T81" i="3"/>
  <c r="S81" i="3"/>
  <c r="U81" i="3" s="1"/>
  <c r="E81" i="3"/>
  <c r="T80" i="3"/>
  <c r="S80" i="3"/>
  <c r="E80" i="3"/>
  <c r="T79" i="3"/>
  <c r="S79" i="3"/>
  <c r="E79" i="3"/>
  <c r="T78" i="3"/>
  <c r="S78" i="3"/>
  <c r="U78" i="3" s="1"/>
  <c r="E78" i="3"/>
  <c r="T77" i="3"/>
  <c r="S77" i="3"/>
  <c r="E77" i="3"/>
  <c r="T76" i="3"/>
  <c r="S76" i="3"/>
  <c r="U76" i="3" s="1"/>
  <c r="E76" i="3"/>
  <c r="T75" i="3"/>
  <c r="S75" i="3"/>
  <c r="U75" i="3" s="1"/>
  <c r="E75" i="3"/>
  <c r="T74" i="3"/>
  <c r="S74" i="3"/>
  <c r="E74" i="3"/>
  <c r="T73" i="3"/>
  <c r="S73" i="3"/>
  <c r="U73" i="3" s="1"/>
  <c r="E73" i="3"/>
  <c r="T72" i="3"/>
  <c r="S72" i="3"/>
  <c r="U72" i="3" s="1"/>
  <c r="E72" i="3"/>
  <c r="T71" i="3"/>
  <c r="S71" i="3"/>
  <c r="E71" i="3"/>
  <c r="T70" i="3"/>
  <c r="S70" i="3"/>
  <c r="E70" i="3"/>
  <c r="T69" i="3"/>
  <c r="S69" i="3"/>
  <c r="U69" i="3" s="1"/>
  <c r="E69" i="3"/>
  <c r="T68" i="3"/>
  <c r="S68" i="3"/>
  <c r="U68" i="3" s="1"/>
  <c r="E68" i="3"/>
  <c r="T67" i="3"/>
  <c r="S67" i="3"/>
  <c r="U67" i="3" s="1"/>
  <c r="E67" i="3"/>
  <c r="T66" i="3"/>
  <c r="S66" i="3"/>
  <c r="E66" i="3"/>
  <c r="T65" i="3"/>
  <c r="S65" i="3"/>
  <c r="E65" i="3"/>
  <c r="T64" i="3"/>
  <c r="S64" i="3"/>
  <c r="E64" i="3"/>
  <c r="T63" i="3"/>
  <c r="S63" i="3"/>
  <c r="E63" i="3"/>
  <c r="T62" i="3"/>
  <c r="S62" i="3"/>
  <c r="U62" i="3" s="1"/>
  <c r="E62" i="3"/>
  <c r="T61" i="3"/>
  <c r="S61" i="3"/>
  <c r="E61" i="3"/>
  <c r="T60" i="3"/>
  <c r="S60" i="3"/>
  <c r="U60" i="3" s="1"/>
  <c r="E60" i="3"/>
  <c r="T59" i="3"/>
  <c r="S59" i="3"/>
  <c r="E59" i="3"/>
  <c r="T58" i="3"/>
  <c r="S58" i="3"/>
  <c r="E58" i="3"/>
  <c r="T57" i="3"/>
  <c r="S57" i="3"/>
  <c r="U57" i="3" s="1"/>
  <c r="E57" i="3"/>
  <c r="T56" i="3"/>
  <c r="S56" i="3"/>
  <c r="E56" i="3"/>
  <c r="T55" i="3"/>
  <c r="S55" i="3"/>
  <c r="E55" i="3"/>
  <c r="T54" i="3"/>
  <c r="S54" i="3"/>
  <c r="U54" i="3" s="1"/>
  <c r="E54" i="3"/>
  <c r="T53" i="3"/>
  <c r="S53" i="3"/>
  <c r="E53" i="3"/>
  <c r="T52" i="3"/>
  <c r="S52" i="3"/>
  <c r="U52" i="3" s="1"/>
  <c r="E52" i="3"/>
  <c r="T51" i="3"/>
  <c r="S51" i="3"/>
  <c r="U51" i="3" s="1"/>
  <c r="E51" i="3"/>
  <c r="T50" i="3"/>
  <c r="S50" i="3"/>
  <c r="E50" i="3"/>
  <c r="T49" i="3"/>
  <c r="S49" i="3"/>
  <c r="U49" i="3" s="1"/>
  <c r="E49" i="3"/>
  <c r="T48" i="3"/>
  <c r="S48" i="3"/>
  <c r="U48" i="3" s="1"/>
  <c r="E48" i="3"/>
  <c r="T47" i="3"/>
  <c r="S47" i="3"/>
  <c r="E47" i="3"/>
  <c r="S46" i="3"/>
  <c r="H118" i="3"/>
  <c r="E46" i="3"/>
  <c r="T45" i="3"/>
  <c r="S45" i="3"/>
  <c r="E45" i="3"/>
  <c r="T44" i="3"/>
  <c r="S44" i="3"/>
  <c r="U44" i="3" s="1"/>
  <c r="E44" i="3"/>
  <c r="T43" i="3"/>
  <c r="S43" i="3"/>
  <c r="E43" i="3"/>
  <c r="T42" i="3"/>
  <c r="S42" i="3"/>
  <c r="E42" i="3"/>
  <c r="T41" i="3"/>
  <c r="S41" i="3"/>
  <c r="U41" i="3" s="1"/>
  <c r="E41" i="3"/>
  <c r="T40" i="3"/>
  <c r="S40" i="3"/>
  <c r="E40" i="3"/>
  <c r="T39" i="3"/>
  <c r="S39" i="3"/>
  <c r="U39" i="3" s="1"/>
  <c r="E39" i="3"/>
  <c r="T38" i="3"/>
  <c r="S38" i="3"/>
  <c r="U38" i="3" s="1"/>
  <c r="E38" i="3"/>
  <c r="U37" i="3"/>
  <c r="T37" i="3"/>
  <c r="S37" i="3"/>
  <c r="E37" i="3"/>
  <c r="T36" i="3"/>
  <c r="S36" i="3"/>
  <c r="U36" i="3" s="1"/>
  <c r="E36" i="3"/>
  <c r="T35" i="3"/>
  <c r="S35" i="3"/>
  <c r="E35" i="3"/>
  <c r="T34" i="3"/>
  <c r="S34" i="3"/>
  <c r="U34" i="3" s="1"/>
  <c r="E34" i="3"/>
  <c r="T33" i="3"/>
  <c r="S33" i="3"/>
  <c r="U33" i="3" s="1"/>
  <c r="E33" i="3"/>
  <c r="T32" i="3"/>
  <c r="S32" i="3"/>
  <c r="E32" i="3"/>
  <c r="T31" i="3"/>
  <c r="S31" i="3"/>
  <c r="E31" i="3"/>
  <c r="T30" i="3"/>
  <c r="S30" i="3"/>
  <c r="E30" i="3"/>
  <c r="T29" i="3"/>
  <c r="S29" i="3"/>
  <c r="U29" i="3" s="1"/>
  <c r="E29" i="3"/>
  <c r="T28" i="3"/>
  <c r="S28" i="3"/>
  <c r="U28" i="3" s="1"/>
  <c r="E28" i="3"/>
  <c r="T27" i="3"/>
  <c r="S27" i="3"/>
  <c r="E27" i="3"/>
  <c r="T26" i="3"/>
  <c r="S26" i="3"/>
  <c r="U26" i="3" s="1"/>
  <c r="E26" i="3"/>
  <c r="H16" i="3"/>
  <c r="C19" i="26" s="1"/>
  <c r="D21" i="26" s="1"/>
  <c r="C16" i="3"/>
  <c r="A11" i="3"/>
  <c r="A12" i="3" s="1"/>
  <c r="A13" i="3" s="1"/>
  <c r="A14" i="3" s="1"/>
  <c r="A15" i="3" s="1"/>
  <c r="A16" i="3" s="1"/>
  <c r="I10" i="3"/>
  <c r="H10" i="3"/>
  <c r="G10" i="3"/>
  <c r="E10" i="3"/>
  <c r="C10" i="3"/>
  <c r="C6" i="3"/>
  <c r="C5" i="3"/>
  <c r="C4" i="3"/>
  <c r="B2" i="3"/>
  <c r="B1" i="3"/>
  <c r="E22" i="2"/>
  <c r="A11" i="2"/>
  <c r="A12" i="2" s="1"/>
  <c r="A13" i="2" s="1"/>
  <c r="A14" i="2" s="1"/>
  <c r="A15" i="2" s="1"/>
  <c r="A16" i="2" s="1"/>
  <c r="A17" i="2" s="1"/>
  <c r="A18" i="2" s="1"/>
  <c r="A19" i="2" s="1"/>
  <c r="A20" i="2" s="1"/>
  <c r="A22" i="2" s="1"/>
  <c r="C6" i="2"/>
  <c r="C5" i="2"/>
  <c r="C4" i="2"/>
  <c r="B2" i="2"/>
  <c r="B1" i="2"/>
  <c r="D49" i="1"/>
  <c r="E47" i="1"/>
  <c r="N46" i="1"/>
  <c r="F46" i="1"/>
  <c r="F45" i="1"/>
  <c r="F44" i="1"/>
  <c r="D47" i="1"/>
  <c r="D41" i="1"/>
  <c r="E38" i="1"/>
  <c r="F37" i="1"/>
  <c r="E37" i="1" s="1"/>
  <c r="D29" i="1"/>
  <c r="F20" i="1"/>
  <c r="C14" i="26"/>
  <c r="F14" i="1"/>
  <c r="E13" i="1"/>
  <c r="C10" i="2" s="1"/>
  <c r="A14" i="1"/>
  <c r="A16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F9" i="1"/>
  <c r="F49" i="1" s="1"/>
  <c r="D8" i="1"/>
  <c r="U61" i="3" l="1"/>
  <c r="U66" i="3"/>
  <c r="U82" i="3"/>
  <c r="U55" i="3"/>
  <c r="U35" i="3"/>
  <c r="U40" i="3"/>
  <c r="U45" i="3"/>
  <c r="U77" i="3"/>
  <c r="U47" i="3"/>
  <c r="U58" i="3"/>
  <c r="U27" i="3"/>
  <c r="U32" i="3"/>
  <c r="U53" i="3"/>
  <c r="U74" i="3"/>
  <c r="U43" i="3"/>
  <c r="U59" i="3"/>
  <c r="U64" i="3"/>
  <c r="U71" i="3"/>
  <c r="U42" i="3"/>
  <c r="U63" i="3"/>
  <c r="U79" i="3"/>
  <c r="U50" i="3"/>
  <c r="U65" i="3"/>
  <c r="U70" i="3"/>
  <c r="U48" i="24"/>
  <c r="U40" i="24"/>
  <c r="U53" i="24"/>
  <c r="U64" i="24"/>
  <c r="U56" i="24"/>
  <c r="A40" i="1"/>
  <c r="A41" i="1"/>
  <c r="E118" i="3"/>
  <c r="U35" i="24"/>
  <c r="U62" i="24"/>
  <c r="U55" i="24"/>
  <c r="U51" i="24"/>
  <c r="U54" i="24"/>
  <c r="U31" i="24"/>
  <c r="U57" i="24"/>
  <c r="F47" i="1"/>
  <c r="E16" i="1"/>
  <c r="F16" i="1" s="1"/>
  <c r="D12" i="2"/>
  <c r="U36" i="24"/>
  <c r="E85" i="24"/>
  <c r="S19" i="24"/>
  <c r="K20" i="5"/>
  <c r="C22" i="2"/>
  <c r="J10" i="2"/>
  <c r="J12" i="2"/>
  <c r="D22" i="2"/>
  <c r="E13" i="9"/>
  <c r="J14" i="10"/>
  <c r="J29" i="10" s="1"/>
  <c r="G18" i="4"/>
  <c r="T46" i="3"/>
  <c r="U46" i="3" s="1"/>
  <c r="U56" i="3"/>
  <c r="E12" i="21"/>
  <c r="F12" i="21" s="1"/>
  <c r="E24" i="1" s="1"/>
  <c r="I16" i="3"/>
  <c r="F36" i="1" s="1"/>
  <c r="E10" i="4"/>
  <c r="S118" i="3"/>
  <c r="D10" i="9"/>
  <c r="E10" i="9" s="1"/>
  <c r="J11" i="10"/>
  <c r="U30" i="3"/>
  <c r="J12" i="10"/>
  <c r="J27" i="10" s="1"/>
  <c r="D11" i="9"/>
  <c r="E11" i="9" s="1"/>
  <c r="S19" i="3"/>
  <c r="T45" i="24"/>
  <c r="U45" i="24" s="1"/>
  <c r="U80" i="3"/>
  <c r="I15" i="10"/>
  <c r="U31" i="3"/>
  <c r="E14" i="12"/>
  <c r="D22" i="10"/>
  <c r="D34" i="10" s="1"/>
  <c r="D33" i="10"/>
  <c r="E15" i="16"/>
  <c r="D18" i="1"/>
  <c r="E11" i="26" s="1"/>
  <c r="F42" i="5"/>
  <c r="F51" i="1" s="1"/>
  <c r="I21" i="2" s="1"/>
  <c r="H11" i="10"/>
  <c r="C17" i="13"/>
  <c r="F13" i="10"/>
  <c r="S66" i="24"/>
  <c r="H12" i="10"/>
  <c r="U118" i="3" l="1"/>
  <c r="T118" i="3"/>
  <c r="A42" i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U66" i="24"/>
  <c r="E51" i="1"/>
  <c r="E12" i="1"/>
  <c r="F10" i="4"/>
  <c r="E15" i="4"/>
  <c r="G31" i="4" s="1"/>
  <c r="G17" i="4"/>
  <c r="E36" i="1"/>
  <c r="D31" i="1"/>
  <c r="D50" i="1" s="1"/>
  <c r="J15" i="10"/>
  <c r="J30" i="10" s="1"/>
  <c r="E14" i="9"/>
  <c r="H13" i="10"/>
  <c r="H16" i="10" s="1"/>
  <c r="H22" i="10" s="1"/>
  <c r="I13" i="10"/>
  <c r="F16" i="10"/>
  <c r="F22" i="10" s="1"/>
  <c r="J26" i="10"/>
  <c r="F24" i="1"/>
  <c r="T66" i="24"/>
  <c r="I22" i="2"/>
  <c r="J21" i="2"/>
  <c r="J13" i="10" l="1"/>
  <c r="D12" i="9"/>
  <c r="E12" i="9" s="1"/>
  <c r="I16" i="10"/>
  <c r="I22" i="10" s="1"/>
  <c r="E17" i="1"/>
  <c r="F17" i="1" s="1"/>
  <c r="F11" i="2"/>
  <c r="F12" i="1"/>
  <c r="H18" i="2"/>
  <c r="G10" i="4"/>
  <c r="G15" i="4" s="1"/>
  <c r="F15" i="4"/>
  <c r="E39" i="1" l="1"/>
  <c r="C15" i="26"/>
  <c r="D17" i="26" s="1"/>
  <c r="E23" i="26" s="1"/>
  <c r="E25" i="26" s="1"/>
  <c r="E27" i="26" s="1"/>
  <c r="E40" i="1" s="1"/>
  <c r="G30" i="4"/>
  <c r="G35" i="4" s="1"/>
  <c r="J28" i="10"/>
  <c r="J31" i="10" s="1"/>
  <c r="J16" i="10"/>
  <c r="J22" i="10" s="1"/>
  <c r="J18" i="2"/>
  <c r="G22" i="4"/>
  <c r="F22" i="2"/>
  <c r="J11" i="2"/>
  <c r="E15" i="1"/>
  <c r="E15" i="9"/>
  <c r="E29" i="26" l="1"/>
  <c r="E30" i="26" s="1"/>
  <c r="F15" i="1"/>
  <c r="F18" i="1" s="1"/>
  <c r="F36" i="4" s="1"/>
  <c r="E18" i="1"/>
  <c r="G24" i="4"/>
  <c r="G28" i="4"/>
  <c r="G27" i="4"/>
  <c r="F40" i="1"/>
  <c r="F41" i="1" s="1"/>
  <c r="J20" i="2"/>
  <c r="D37" i="10"/>
  <c r="D36" i="10"/>
  <c r="G32" i="4"/>
  <c r="H19" i="2"/>
  <c r="E41" i="1"/>
  <c r="J19" i="2" l="1"/>
  <c r="H22" i="2"/>
  <c r="G38" i="4"/>
  <c r="G37" i="4"/>
  <c r="G17" i="2"/>
  <c r="J17" i="2" s="1"/>
  <c r="E26" i="1"/>
  <c r="F26" i="1" s="1"/>
  <c r="E28" i="1"/>
  <c r="F28" i="1" s="1"/>
  <c r="G15" i="2"/>
  <c r="J15" i="2" s="1"/>
  <c r="E31" i="26"/>
  <c r="E25" i="1"/>
  <c r="F25" i="1"/>
  <c r="M25" i="1"/>
  <c r="N25" i="1"/>
  <c r="E27" i="1"/>
  <c r="F27" i="1"/>
  <c r="M27" i="1"/>
  <c r="N27" i="1"/>
  <c r="E29" i="1"/>
  <c r="F29" i="1"/>
  <c r="E31" i="1"/>
  <c r="F31" i="1"/>
  <c r="E50" i="1"/>
  <c r="F50" i="1"/>
  <c r="F53" i="1"/>
  <c r="F54" i="1"/>
  <c r="G14" i="2"/>
  <c r="J14" i="2"/>
  <c r="G16" i="2"/>
  <c r="J16" i="2"/>
  <c r="G22" i="2"/>
  <c r="J22" i="2"/>
  <c r="J24" i="2"/>
  <c r="J25" i="2"/>
  <c r="G11" i="5"/>
  <c r="I11" i="5"/>
  <c r="J11" i="5"/>
  <c r="K11" i="5"/>
  <c r="G12" i="5"/>
  <c r="I12" i="5"/>
  <c r="J12" i="5"/>
  <c r="K12" i="5"/>
  <c r="G13" i="5"/>
  <c r="I13" i="5"/>
  <c r="J13" i="5"/>
  <c r="K13" i="5"/>
  <c r="J14" i="5"/>
  <c r="I15" i="5"/>
  <c r="J15" i="5"/>
  <c r="K15" i="5"/>
  <c r="G17" i="5"/>
  <c r="I17" i="5"/>
  <c r="J17" i="5"/>
  <c r="K17" i="5"/>
  <c r="G18" i="5"/>
  <c r="I18" i="5"/>
  <c r="J18" i="5"/>
  <c r="K18" i="5"/>
  <c r="J19" i="5"/>
  <c r="J20" i="5"/>
  <c r="I21" i="5"/>
  <c r="J21" i="5"/>
  <c r="K21" i="5"/>
  <c r="G24" i="5"/>
  <c r="I24" i="5"/>
  <c r="J24" i="5"/>
  <c r="G25" i="5"/>
  <c r="I25" i="5"/>
  <c r="J25" i="5"/>
  <c r="G26" i="5"/>
  <c r="I26" i="5"/>
  <c r="J26" i="5"/>
  <c r="G27" i="5"/>
  <c r="I27" i="5"/>
  <c r="J27" i="5"/>
  <c r="K27" i="5"/>
  <c r="G28" i="5"/>
  <c r="I28" i="5"/>
  <c r="J28" i="5"/>
  <c r="G30" i="5"/>
  <c r="I30" i="5"/>
  <c r="J30" i="5"/>
  <c r="G32" i="5"/>
  <c r="I32" i="5"/>
  <c r="J32" i="5"/>
  <c r="G34" i="5"/>
  <c r="I34" i="5"/>
  <c r="J34" i="5"/>
  <c r="K34" i="5"/>
  <c r="G35" i="5"/>
  <c r="I35" i="5"/>
  <c r="J35" i="5"/>
  <c r="K35" i="5"/>
  <c r="G36" i="5"/>
  <c r="I36" i="5"/>
  <c r="J36" i="5"/>
  <c r="K36" i="5"/>
  <c r="J37" i="5"/>
  <c r="I39" i="5"/>
  <c r="J39" i="5"/>
  <c r="I42" i="5"/>
  <c r="J42" i="5"/>
  <c r="I43" i="5"/>
  <c r="I4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Jillian Jurczyk</author>
  </authors>
  <commentList>
    <comment ref="E25" authorId="0" shapeId="0" xr:uid="{D87A30F8-F796-4C47-9CF6-3C072B6351F8}">
      <text>
        <r>
          <rPr>
            <b/>
            <sz val="9"/>
            <color indexed="81"/>
            <rFont val="Tahoma"/>
            <family val="2"/>
          </rPr>
          <t>Jillian Jurczyk
F61*K25</t>
        </r>
      </text>
    </comment>
    <comment ref="E27" authorId="0" shapeId="0" xr:uid="{AA563D7C-E01A-492A-87CD-DA63D10A0153}">
      <text>
        <r>
          <rPr>
            <b/>
            <sz val="9"/>
            <color indexed="81"/>
            <rFont val="Tahoma"/>
            <family val="2"/>
          </rPr>
          <t>Jillian Jurczyk
F61*K25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Jill Jurczyk</author>
  </authors>
  <commentList>
    <comment ref="G35" authorId="0" shapeId="0" xr:uid="{7FBC636A-44E7-4DBB-BD2B-445F67364969}">
      <text>
        <r>
          <rPr>
            <b/>
            <sz val="9"/>
            <color indexed="81"/>
            <rFont val="Tahoma"/>
            <family val="2"/>
          </rPr>
          <t>Jill Jurczyk:</t>
        </r>
        <r>
          <rPr>
            <sz val="9"/>
            <color indexed="81"/>
            <rFont val="Tahoma"/>
            <family val="2"/>
          </rPr>
          <t xml:space="preserve">
2025 Cash - Balance Sheet
</t>
        </r>
      </text>
    </comment>
  </commentList>
</comments>
</file>

<file path=xl/sharedStrings.xml><?xml version="1.0" encoding="utf-8"?>
<sst xmlns="http://schemas.openxmlformats.org/spreadsheetml/2006/main" count="588" uniqueCount="376">
  <si>
    <t>Jacksonville Village Electric Utility</t>
  </si>
  <si>
    <t>JEC-Jurczyk-2</t>
  </si>
  <si>
    <t>Rate Case Study</t>
  </si>
  <si>
    <t>Cost of Service Study</t>
  </si>
  <si>
    <t>Test Year:</t>
  </si>
  <si>
    <t>12 months ending December 31, 2025</t>
  </si>
  <si>
    <t>Rate Year:</t>
  </si>
  <si>
    <t>July 5, 2026 - July 4, 2027</t>
  </si>
  <si>
    <t>Filed:</t>
  </si>
  <si>
    <t>1/1/25 - 12/31/25</t>
  </si>
  <si>
    <t>7/5/26 - 7/4/27</t>
  </si>
  <si>
    <t>Forecast Year</t>
  </si>
  <si>
    <t>Line No.</t>
  </si>
  <si>
    <t>FERC Accounts</t>
  </si>
  <si>
    <t>Description</t>
  </si>
  <si>
    <t>Test Year</t>
  </si>
  <si>
    <t>Adjustments</t>
  </si>
  <si>
    <t>Support</t>
  </si>
  <si>
    <t>Operating Expenses:</t>
  </si>
  <si>
    <t>535 - 545</t>
  </si>
  <si>
    <t>Power Generation</t>
  </si>
  <si>
    <t>555 - 557</t>
  </si>
  <si>
    <t>Purchased Power</t>
  </si>
  <si>
    <t>Prefiled testimony Q6</t>
  </si>
  <si>
    <t>560 - 574</t>
  </si>
  <si>
    <t>PP Direct / Misc.</t>
  </si>
  <si>
    <t>580 - 598</t>
  </si>
  <si>
    <t>Distribution</t>
  </si>
  <si>
    <t>Prefiled testimony Q8, Exhibit 11D</t>
  </si>
  <si>
    <t>901 - 919</t>
  </si>
  <si>
    <t>Customer and Sales</t>
  </si>
  <si>
    <t>920 - 933</t>
  </si>
  <si>
    <t>Admin and General</t>
  </si>
  <si>
    <t>Subtotal (O&amp;M)</t>
  </si>
  <si>
    <t>Depreciation</t>
  </si>
  <si>
    <t>404-407</t>
  </si>
  <si>
    <t>Amortization</t>
  </si>
  <si>
    <t>Taxes</t>
  </si>
  <si>
    <t>Property</t>
  </si>
  <si>
    <t>Fuel</t>
  </si>
  <si>
    <t>Childcare</t>
  </si>
  <si>
    <t>Gross Revenue</t>
  </si>
  <si>
    <t>Payroll</t>
  </si>
  <si>
    <t>Subtotal</t>
  </si>
  <si>
    <t>Total Operating Expenses</t>
  </si>
  <si>
    <t>Interest Expense</t>
  </si>
  <si>
    <t>Patronage Capital</t>
  </si>
  <si>
    <t>Interest and Other Income</t>
  </si>
  <si>
    <t>Interest On Long Term Debt</t>
  </si>
  <si>
    <t>Prefiled testimony Q16, Exhibit 4</t>
  </si>
  <si>
    <t>Short-term Interest</t>
  </si>
  <si>
    <t>Miscellaneous</t>
  </si>
  <si>
    <t>Net Income/Tier</t>
  </si>
  <si>
    <t>Operating Reserve</t>
  </si>
  <si>
    <t>Prefiled testimony Q18, Exhibit 17</t>
  </si>
  <si>
    <t>Credits</t>
  </si>
  <si>
    <t>Interest and Dividend Income - Other</t>
  </si>
  <si>
    <t>419, 421</t>
  </si>
  <si>
    <t>456-458</t>
  </si>
  <si>
    <t>Other Electric Revenue</t>
  </si>
  <si>
    <t>Increase to Meet Revenue Requirements</t>
  </si>
  <si>
    <t xml:space="preserve">Retail Cost of Service </t>
  </si>
  <si>
    <t>Retail Revenues</t>
  </si>
  <si>
    <t>Additional Revenue Requirement</t>
  </si>
  <si>
    <t>Increase needed to meet RR</t>
  </si>
  <si>
    <t>JEC-Jurczyk-3</t>
  </si>
  <si>
    <t>Summary of Adjustments</t>
  </si>
  <si>
    <t>Power Supply/Gen</t>
  </si>
  <si>
    <t>Distrib.</t>
  </si>
  <si>
    <t>Cust/Sales</t>
  </si>
  <si>
    <t>Admin &amp; General</t>
  </si>
  <si>
    <t>Interest</t>
  </si>
  <si>
    <t>Revenues</t>
  </si>
  <si>
    <t>Total of Adjustments</t>
  </si>
  <si>
    <t>Purchased Power Adj</t>
  </si>
  <si>
    <t>Labor Expense Adj</t>
  </si>
  <si>
    <t>Insurance/Benefits Adj</t>
  </si>
  <si>
    <t>Gross Revenue Tax</t>
  </si>
  <si>
    <t>Payroll Tax</t>
  </si>
  <si>
    <t>Fuel Tax</t>
  </si>
  <si>
    <t>Childcare Tax</t>
  </si>
  <si>
    <t>Interest Expense Adj.</t>
  </si>
  <si>
    <t>Tier</t>
  </si>
  <si>
    <t>Partial Rate Case Adjustment</t>
  </si>
  <si>
    <t>Totals</t>
  </si>
  <si>
    <t>JEC-Jurczyk-4</t>
  </si>
  <si>
    <t>Debt Service Summary</t>
  </si>
  <si>
    <t>Source of Capital</t>
  </si>
  <si>
    <t>Outstanding Principal 12/31/2025</t>
  </si>
  <si>
    <t>Maturity Date</t>
  </si>
  <si>
    <t xml:space="preserve"> Rate Year Interest Rate</t>
  </si>
  <si>
    <t>Rate Year Months Outstanding</t>
  </si>
  <si>
    <t>Outsanding Principal 6/30/2027</t>
  </si>
  <si>
    <t>Rate Year Principal Payment</t>
  </si>
  <si>
    <t>Rate Year Interest</t>
  </si>
  <si>
    <t>Community Bank Bucket Truck</t>
  </si>
  <si>
    <t>Total LT Bonds/Notes</t>
  </si>
  <si>
    <t>Check</t>
  </si>
  <si>
    <t>Bucket Truck - Community Bank</t>
  </si>
  <si>
    <t>Jacksonville Member Credit Financing</t>
  </si>
  <si>
    <t>ELECTRIC TOTAL</t>
  </si>
  <si>
    <t>Principal</t>
  </si>
  <si>
    <t xml:space="preserve">Interest </t>
  </si>
  <si>
    <t>Total</t>
  </si>
  <si>
    <t>Jun-29</t>
  </si>
  <si>
    <t>Jul-29</t>
  </si>
  <si>
    <t>Aug-29</t>
  </si>
  <si>
    <t>Sep-29</t>
  </si>
  <si>
    <t>Oct-29</t>
  </si>
  <si>
    <t>Nov-29</t>
  </si>
  <si>
    <t>Dec-29</t>
  </si>
  <si>
    <t>Jan-30</t>
  </si>
  <si>
    <t>Feb-30</t>
  </si>
  <si>
    <t>Mar-30</t>
  </si>
  <si>
    <t>Apr-30</t>
  </si>
  <si>
    <t>May-30</t>
  </si>
  <si>
    <t>Jun-30</t>
  </si>
  <si>
    <t>Jul-30</t>
  </si>
  <si>
    <t>Aug-30</t>
  </si>
  <si>
    <t>Sep-30</t>
  </si>
  <si>
    <t>Oct-30</t>
  </si>
  <si>
    <t>Nov-30</t>
  </si>
  <si>
    <t>Dec-30</t>
  </si>
  <si>
    <t>Jan-31</t>
  </si>
  <si>
    <t>Feb-31</t>
  </si>
  <si>
    <t>Mar-31</t>
  </si>
  <si>
    <t>Apr-31</t>
  </si>
  <si>
    <t>May-31</t>
  </si>
  <si>
    <t>Jun-31</t>
  </si>
  <si>
    <t>Jul-31</t>
  </si>
  <si>
    <t>Aug-31</t>
  </si>
  <si>
    <t>Sep-31</t>
  </si>
  <si>
    <t>Oct-31</t>
  </si>
  <si>
    <t>Nov-31</t>
  </si>
  <si>
    <t>Dec-31</t>
  </si>
  <si>
    <t>JEC-Jurczyk-5</t>
  </si>
  <si>
    <t>Reserve Estimate Calculation</t>
  </si>
  <si>
    <t>JEC Village Net Revenue per Bond Resolution</t>
  </si>
  <si>
    <t>Rate Year</t>
  </si>
  <si>
    <t>Debt Service</t>
  </si>
  <si>
    <t>Required</t>
  </si>
  <si>
    <t>Required Debt Service Coverage (Net Revenue)</t>
  </si>
  <si>
    <t>LESS</t>
  </si>
  <si>
    <t xml:space="preserve">     Interest in COS</t>
  </si>
  <si>
    <t xml:space="preserve">     Less: Depreciation in COS</t>
  </si>
  <si>
    <t xml:space="preserve">    = Required Net Income</t>
  </si>
  <si>
    <t>EBIT:</t>
  </si>
  <si>
    <t>Indicated Interest Coverage ratio per bond documents</t>
  </si>
  <si>
    <t>EBIT</t>
  </si>
  <si>
    <t>TIER Ratio</t>
  </si>
  <si>
    <t>EBITDA</t>
  </si>
  <si>
    <t>Debt Service Coverage</t>
  </si>
  <si>
    <t>Cash Left for working capital and contingency</t>
  </si>
  <si>
    <t>60 days O&amp;M</t>
  </si>
  <si>
    <t>Contingency as % of 60 days O&amp;M</t>
  </si>
  <si>
    <t>Number of Days Cash</t>
  </si>
  <si>
    <t>Village of Jacksonville</t>
  </si>
  <si>
    <t>JEC-Jurczyk-6</t>
  </si>
  <si>
    <t>Comparison of Present and Proposed Tariffs</t>
  </si>
  <si>
    <t>Last Change: 12.479%</t>
  </si>
  <si>
    <t>Present</t>
  </si>
  <si>
    <t>Proposed</t>
  </si>
  <si>
    <t xml:space="preserve">Proposed </t>
  </si>
  <si>
    <t xml:space="preserve">Percent </t>
  </si>
  <si>
    <t>Rates</t>
  </si>
  <si>
    <t>Units</t>
  </si>
  <si>
    <t>Billing Units</t>
  </si>
  <si>
    <t>Increase</t>
  </si>
  <si>
    <t>(Check)</t>
  </si>
  <si>
    <t>Residential Service</t>
  </si>
  <si>
    <t>Customers (Meters)</t>
  </si>
  <si>
    <t>Cust/mo</t>
  </si>
  <si>
    <t>First 175 kWh</t>
  </si>
  <si>
    <t>kWh</t>
  </si>
  <si>
    <t>Excess</t>
  </si>
  <si>
    <t>Other Misc</t>
  </si>
  <si>
    <t xml:space="preserve"> </t>
  </si>
  <si>
    <t>Net metering credits ($)</t>
  </si>
  <si>
    <t>Small Commercial Service</t>
  </si>
  <si>
    <t>All Energy</t>
  </si>
  <si>
    <t>Primary Metering Discount ($) (2.5%)</t>
  </si>
  <si>
    <t>Jacksonville-Owned Street Lighting on Jacksonville Poles</t>
  </si>
  <si>
    <t>#</t>
  </si>
  <si>
    <t>175 Watt</t>
  </si>
  <si>
    <t>fixture</t>
  </si>
  <si>
    <t>250 Watt</t>
  </si>
  <si>
    <t>400 Watt</t>
  </si>
  <si>
    <t>20 Watt LED</t>
  </si>
  <si>
    <t>40 Watt LED</t>
  </si>
  <si>
    <t>Customer Owned Street Light on Customer Owned Poles</t>
  </si>
  <si>
    <t>Customer Owned Street Light on Jacksonville Owned Poles</t>
  </si>
  <si>
    <t>Industrial Service</t>
  </si>
  <si>
    <t>Billed Demand</t>
  </si>
  <si>
    <t>kW</t>
  </si>
  <si>
    <t>Unbilled &amp; Misc</t>
  </si>
  <si>
    <t>Grand Total</t>
  </si>
  <si>
    <t>Notice of proposed Tariff charges - Word Doc</t>
  </si>
  <si>
    <t>Revised Tariff Sheets via Word</t>
  </si>
  <si>
    <t>Redline Tariff Sheets via Word</t>
  </si>
  <si>
    <t>JEC-Jurczyk-10A</t>
  </si>
  <si>
    <t>Labor Adjustment Summary</t>
  </si>
  <si>
    <t>Test</t>
  </si>
  <si>
    <t>Rate</t>
  </si>
  <si>
    <t>Labor</t>
  </si>
  <si>
    <t>Year</t>
  </si>
  <si>
    <t>Change</t>
  </si>
  <si>
    <t>POWER GENERATION</t>
  </si>
  <si>
    <t>TRANSMISSION</t>
  </si>
  <si>
    <t>DISTRIBUTION</t>
  </si>
  <si>
    <t>CUSTOMER &amp; SALES</t>
  </si>
  <si>
    <t>ADMIN &amp; GENERAL</t>
  </si>
  <si>
    <t>JEC-Jurczyk-10B</t>
  </si>
  <si>
    <t>Labor Adjustment Support</t>
  </si>
  <si>
    <t>2025 Wage</t>
  </si>
  <si>
    <t>2026 wage rate increase</t>
  </si>
  <si>
    <t>2027 wage rate increase</t>
  </si>
  <si>
    <t>RATE YEAR</t>
  </si>
  <si>
    <t>Base</t>
  </si>
  <si>
    <t>AMOUNT</t>
  </si>
  <si>
    <t>ADJUSTMENT</t>
  </si>
  <si>
    <t>GENERATION-HYDRO</t>
  </si>
  <si>
    <t>A&amp;G - Office</t>
  </si>
  <si>
    <t>A&amp;G - Manager</t>
  </si>
  <si>
    <t>Payroll Expense</t>
  </si>
  <si>
    <t>Adjustment Category Summary:</t>
  </si>
  <si>
    <t>CUSTOMER ACCT</t>
  </si>
  <si>
    <t>A&amp;G</t>
  </si>
  <si>
    <t>Payroll Tax (Test Year)</t>
  </si>
  <si>
    <t>Payroll Tax rate</t>
  </si>
  <si>
    <t>Childcare Tax Rate</t>
  </si>
  <si>
    <t>Payroll Tax Adj</t>
  </si>
  <si>
    <t>Childcare Tax Adj</t>
  </si>
  <si>
    <t>Amount</t>
  </si>
  <si>
    <t>JEC-Jurczyk-10C</t>
  </si>
  <si>
    <t>JEC-Jurczyk-11A</t>
  </si>
  <si>
    <t>Materials, Maintenance, Other Adjustment Summary</t>
  </si>
  <si>
    <t>Materials</t>
  </si>
  <si>
    <t>JEC-Jurczyk-11B</t>
  </si>
  <si>
    <t>Tree Trimming Breakdown</t>
  </si>
  <si>
    <t>Cost</t>
  </si>
  <si>
    <t>Havreluk Tree</t>
  </si>
  <si>
    <t>Exhibit 11C</t>
  </si>
  <si>
    <t>Additional Tree Trimming per Vegetation Management Plan</t>
  </si>
  <si>
    <t>Danger Trees per Vegetation Management Plan</t>
  </si>
  <si>
    <t>Total Tree Trimming</t>
  </si>
  <si>
    <t>Test Year - Tree Trimming</t>
  </si>
  <si>
    <t>Adjustment</t>
  </si>
  <si>
    <t>JEC-Jurczyk-11C</t>
  </si>
  <si>
    <t>Contract pages 1 &amp; 7 (Pricing and signatures)</t>
  </si>
  <si>
    <t>JEC-Jurczyk-12A</t>
  </si>
  <si>
    <t>Insurance and Benefits Adjustment Summary</t>
  </si>
  <si>
    <t>Insurance and Benefits</t>
  </si>
  <si>
    <t>Exhibit 12B</t>
  </si>
  <si>
    <t>JEC-Jurczyk-12B</t>
  </si>
  <si>
    <t>Summary of Providers</t>
  </si>
  <si>
    <t>Monthly</t>
  </si>
  <si>
    <t>Annual</t>
  </si>
  <si>
    <t>MVP</t>
  </si>
  <si>
    <t>Exhibit 12C</t>
  </si>
  <si>
    <t>DeltaDental</t>
  </si>
  <si>
    <t>Exhibit 12D</t>
  </si>
  <si>
    <t>DeltaVision</t>
  </si>
  <si>
    <t>Exhibit 12E</t>
  </si>
  <si>
    <t>Total Rate Year Benefits</t>
  </si>
  <si>
    <t>Total Test Year Benefits (926.1)</t>
  </si>
  <si>
    <t>JEC-Jurczyk-12C</t>
  </si>
  <si>
    <t>MVP Health Care</t>
  </si>
  <si>
    <t>JEC-Jurczyk-12D</t>
  </si>
  <si>
    <t>Delta Dental</t>
  </si>
  <si>
    <t>JEC-Jurczyk-12E</t>
  </si>
  <si>
    <t>JEC-Jurczyk-13A</t>
  </si>
  <si>
    <t>Property Tax Adjustment Summary</t>
  </si>
  <si>
    <t>Tax year</t>
  </si>
  <si>
    <t>Town of Whitingham</t>
  </si>
  <si>
    <t>JEC-Jurczyk-13B</t>
  </si>
  <si>
    <t>JEC-Jurczyk-14</t>
  </si>
  <si>
    <t>JEC-Jurczyk-15</t>
  </si>
  <si>
    <t>Outstanding Principal 12/31/2022</t>
  </si>
  <si>
    <t>JEC-Jurczyk-16</t>
  </si>
  <si>
    <t>Electric Fund Captial Projects</t>
  </si>
  <si>
    <t>Operating Reserve Adjustment</t>
  </si>
  <si>
    <t>Operating Reserve adjustment</t>
  </si>
  <si>
    <t>Formulas</t>
  </si>
  <si>
    <t>Days of O&amp;M Target Reserve</t>
  </si>
  <si>
    <t xml:space="preserve"> ---&gt;</t>
  </si>
  <si>
    <t>a</t>
  </si>
  <si>
    <t>Beginning cash/reserve</t>
  </si>
  <si>
    <t>b</t>
  </si>
  <si>
    <t>Depreciation &amp; Amortization</t>
  </si>
  <si>
    <t>c</t>
  </si>
  <si>
    <t>Net Income ( standard TIER 2.0x)</t>
  </si>
  <si>
    <t>d</t>
  </si>
  <si>
    <t>Incremental external financing</t>
  </si>
  <si>
    <t>Subtotal sources</t>
  </si>
  <si>
    <t>c + d = e</t>
  </si>
  <si>
    <t>Bond Amortization</t>
  </si>
  <si>
    <t>f</t>
  </si>
  <si>
    <t>Cap Ex</t>
  </si>
  <si>
    <t>g</t>
  </si>
  <si>
    <t>Subtotal Uses</t>
  </si>
  <si>
    <t>f + g = h</t>
  </si>
  <si>
    <t>Current Reserve Balance</t>
  </si>
  <si>
    <t>b + e - h = i</t>
  </si>
  <si>
    <t>Reserve Target Shortfall</t>
  </si>
  <si>
    <t>a - I = j</t>
  </si>
  <si>
    <t xml:space="preserve">Reserve Adjustment </t>
  </si>
  <si>
    <t>JEC-Jurczyk-11D</t>
  </si>
  <si>
    <t>Test Year - 2025</t>
  </si>
  <si>
    <t>Project 10 Expense (546)</t>
  </si>
  <si>
    <t>Line &amp; Station Supplies/Exp</t>
  </si>
  <si>
    <t>Meter Expense</t>
  </si>
  <si>
    <t>Line Extension Labor</t>
  </si>
  <si>
    <t>Maint. of Structures &amp; Equip</t>
  </si>
  <si>
    <t>Maint. of Lines</t>
  </si>
  <si>
    <t>Utilities</t>
  </si>
  <si>
    <t>Telephone &amp; Internet Expense</t>
  </si>
  <si>
    <t>Meter Reading Labor</t>
  </si>
  <si>
    <t>Accounting/Collecting Labor</t>
  </si>
  <si>
    <t>Supplies and Expenses</t>
  </si>
  <si>
    <t>Uncollectible Accounts</t>
  </si>
  <si>
    <t>Depreciation Expense</t>
  </si>
  <si>
    <t>Admin./Gen. Salaries</t>
  </si>
  <si>
    <t>Office Supplies &amp; Expenses</t>
  </si>
  <si>
    <t>Admin Exp Trans</t>
  </si>
  <si>
    <t>Outside Services Employed</t>
  </si>
  <si>
    <t>Property Insurance</t>
  </si>
  <si>
    <t>Injuries and Damages</t>
  </si>
  <si>
    <t>FICA/Medicare &amp; Benefits</t>
  </si>
  <si>
    <t>Property &amp; Revenue Taxes</t>
  </si>
  <si>
    <t>Misc. General Expense</t>
  </si>
  <si>
    <t>Transportation Expense</t>
  </si>
  <si>
    <t>Maint. of General Plant</t>
  </si>
  <si>
    <t>REVENUES</t>
  </si>
  <si>
    <t>Interest &amp; Dividend Income</t>
  </si>
  <si>
    <t>Interest Income - Other</t>
  </si>
  <si>
    <t>Misc Non-Operating Income</t>
  </si>
  <si>
    <t>440-451</t>
  </si>
  <si>
    <t>Electric Sales</t>
  </si>
  <si>
    <t>Line Extension &amp; Rents</t>
  </si>
  <si>
    <t>Misc Income, Transco/Velco</t>
  </si>
  <si>
    <t>427-431</t>
  </si>
  <si>
    <t>Total Revenue</t>
  </si>
  <si>
    <t>JEC Account</t>
  </si>
  <si>
    <t>Expenses</t>
  </si>
  <si>
    <t>Net Income (Loss)</t>
  </si>
  <si>
    <t>Total Expense</t>
  </si>
  <si>
    <t>10B &amp; 10C</t>
  </si>
  <si>
    <t>7/5/2026 - 7/4/2027</t>
  </si>
  <si>
    <t>Exhibit 11D</t>
  </si>
  <si>
    <t>Exhibits 11B, 11C, 11D</t>
  </si>
  <si>
    <t>Prefiled testimony Q9, Exhibits 10B, 12B-E</t>
  </si>
  <si>
    <t>Prefiled testimony Q10</t>
  </si>
  <si>
    <t>Prefiled testimony Q11, Exhibit 10B</t>
  </si>
  <si>
    <t>Prefiled testimony Q12</t>
  </si>
  <si>
    <t>Prefiled testimony Q13, Exhibit 10B</t>
  </si>
  <si>
    <t>10% * j</t>
  </si>
  <si>
    <t>COS Percent Adjustment</t>
  </si>
  <si>
    <t>Total Cash Reserve</t>
  </si>
  <si>
    <t>Days Cash on Hand (Rate Year)</t>
  </si>
  <si>
    <t>Scenarios</t>
  </si>
  <si>
    <t>Materials, Maintenance, Other Expense Adj</t>
  </si>
  <si>
    <t>Jacksonville Power Supply Reimbursement
(Operating Expense)</t>
  </si>
  <si>
    <t>Rate Year Total</t>
  </si>
  <si>
    <t>Tree Trimming Summary</t>
  </si>
  <si>
    <t>Tree Trimming Contract</t>
  </si>
  <si>
    <t>Vegetation Management Plan</t>
  </si>
  <si>
    <t>Reclassification of Power Supply Reimbursement</t>
  </si>
  <si>
    <t>Prefiled testimony Q15, Exhibit 4, Exhibit 14</t>
  </si>
  <si>
    <t>Prefiled testimony Q18, Exhibit 6</t>
  </si>
  <si>
    <t>Exhibit 11E</t>
  </si>
  <si>
    <t>Misc Non-Operating Income 
- Transco &amp; Velco</t>
  </si>
  <si>
    <t xml:space="preserve">Agreement for Advance Funding </t>
  </si>
  <si>
    <t>JEC-Jurczyk-11E</t>
  </si>
  <si>
    <t>JEC-Jurczyk-11F</t>
  </si>
  <si>
    <t>Treated as Expense in Rate Year</t>
  </si>
  <si>
    <t>Jacksonville Member Credit Financing
(Reclassified acct 923)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</si>
</sst>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.000000_);_(&quot;$&quot;* \(#,##0.000000\);_(&quot;$&quot;* &quot;-&quot;??_);_(@_)"/>
    <numFmt numFmtId="166" formatCode="_(&quot;$&quot;* #,##0_);_(&quot;$&quot;* \(#,##0\);_(&quot;$&quot;* &quot;-&quot;??_);_(@_)"/>
    <numFmt numFmtId="167" formatCode="_(* #,##0.0000_);_(* \(#,##0.0000\);_(* &quot;-&quot;??_);_(@_)"/>
    <numFmt numFmtId="168" formatCode="_(* #,##0.00000_);_(* \(#,##0.00000\);_(* &quot;-&quot;??_);_(@_)"/>
    <numFmt numFmtId="169" formatCode="0.0%"/>
    <numFmt numFmtId="170" formatCode="[$-409]mmm\-yy"/>
    <numFmt numFmtId="171" formatCode="0.0"/>
    <numFmt numFmtId="172" formatCode="_(&quot;$&quot;* #,##0.0000_);_(&quot;$&quot;* \(#,##0.0000\);_(&quot;$&quot;* &quot;-&quot;????_);_(@_)"/>
    <numFmt numFmtId="173" formatCode="_(&quot;$&quot;* #,##0.00000_);_(&quot;$&quot;* \(#,##0.00000\);_(&quot;$&quot;* &quot;-&quot;????_);_(@_)"/>
    <numFmt numFmtId="174" formatCode="_(&quot;$&quot;* #,##0.00000_);_(&quot;$&quot;* \(#,##0.00000\);_(&quot;$&quot;* &quot;-&quot;??_);_(@_)"/>
    <numFmt numFmtId="175" formatCode="_(&quot;$&quot;* #,##0_);_(&quot;$&quot;* \(#,##0\);_(&quot;$&quot;* &quot;-&quot;????_);_(@_)"/>
    <numFmt numFmtId="176" formatCode="_(* #,##0.00_);_(* \(#,##0.00\);_(* 0.00_);_(@_)"/>
    <numFmt numFmtId="177" formatCode="&quot; $&quot;* #,##0.00\ ;&quot; $&quot;* \(#,##0.00\);&quot; $&quot;* \-#\ ;\ @\ "/>
    <numFmt numFmtId="178" formatCode="&quot; $&quot;* #,##0\ ;&quot; $&quot;* \(#,##0\);&quot; $&quot;* \-#\ ;\ @\ "/>
    <numFmt numFmtId="179" formatCode="&quot; $&quot;* #,##0.00\ ;&quot; $&quot;* \(#,##0.00\);&quot; $&quot;* \-#.00\ ;\ @\ "/>
    <numFmt numFmtId="185" formatCode="0.00000%"/>
  </numFmts>
  <fonts count="55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name val="Aptos Narrow"/>
      <family val="2"/>
      <scheme val="minor"/>
    </font>
    <font>
      <b/>
      <sz val="14"/>
      <color theme="3"/>
      <name val="Aptos Narrow"/>
      <family val="2"/>
      <scheme val="minor"/>
    </font>
    <font>
      <sz val="11"/>
      <color indexed="10"/>
      <name val="Aptos Narrow"/>
      <family val="2"/>
      <scheme val="minor"/>
    </font>
    <font>
      <b/>
      <i/>
      <sz val="12"/>
      <color theme="3"/>
      <name val="Aptos Narrow"/>
      <family val="2"/>
      <scheme val="minor"/>
    </font>
    <font>
      <sz val="12"/>
      <color theme="3"/>
      <name val="Aptos Narrow"/>
      <family val="2"/>
      <scheme val="minor"/>
    </font>
    <font>
      <b/>
      <u/>
      <sz val="11"/>
      <name val="Aptos Narrow"/>
      <family val="2"/>
      <scheme val="minor"/>
    </font>
    <font>
      <b/>
      <sz val="11"/>
      <name val="Aptos Narrow"/>
      <family val="2"/>
      <scheme val="minor"/>
    </font>
    <font>
      <i/>
      <sz val="11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9"/>
      <color indexed="81"/>
      <name val="Tahoma"/>
      <family val="2"/>
    </font>
    <font>
      <sz val="12"/>
      <name val="Arial"/>
      <family val="2"/>
    </font>
    <font>
      <sz val="10"/>
      <name val="Arial"/>
      <family val="2"/>
    </font>
    <font>
      <sz val="10"/>
      <name val="Aptos Narrow"/>
      <family val="2"/>
      <scheme val="minor"/>
    </font>
    <font>
      <b/>
      <sz val="14"/>
      <color theme="3" tint="0.39997558519241921"/>
      <name val="Aptos Narrow"/>
      <family val="2"/>
      <scheme val="minor"/>
    </font>
    <font>
      <b/>
      <sz val="12"/>
      <color theme="3" tint="0.3999755851924192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0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1"/>
      <color theme="1"/>
      <name val="Calibri"/>
      <family val="2"/>
    </font>
    <font>
      <b/>
      <sz val="12"/>
      <color theme="3"/>
      <name val="Aptos"/>
      <family val="2"/>
    </font>
    <font>
      <b/>
      <sz val="12"/>
      <color theme="3" tint="0.39997558519241921"/>
      <name val="Aptos"/>
      <family val="2"/>
    </font>
    <font>
      <sz val="12"/>
      <name val="Aptos"/>
      <family val="2"/>
    </font>
    <font>
      <b/>
      <sz val="12"/>
      <color rgb="FFFF0000"/>
      <name val="Aptos"/>
      <family val="2"/>
    </font>
    <font>
      <b/>
      <i/>
      <sz val="12"/>
      <color theme="3"/>
      <name val="Aptos"/>
      <family val="2"/>
    </font>
    <font>
      <sz val="12"/>
      <color rgb="FFFF0000"/>
      <name val="Aptos"/>
      <family val="2"/>
    </font>
    <font>
      <sz val="12"/>
      <color theme="3"/>
      <name val="Aptos"/>
      <family val="2"/>
    </font>
    <font>
      <sz val="12"/>
      <color theme="1"/>
      <name val="Aptos"/>
      <family val="2"/>
    </font>
    <font>
      <sz val="12"/>
      <color rgb="FF0000FF"/>
      <name val="Aptos"/>
      <family val="2"/>
    </font>
    <font>
      <b/>
      <i/>
      <sz val="12"/>
      <color rgb="FF0000FF"/>
      <name val="Aptos"/>
      <family val="2"/>
    </font>
    <font>
      <u/>
      <sz val="12"/>
      <name val="Aptos"/>
      <family val="2"/>
    </font>
    <font>
      <b/>
      <sz val="12"/>
      <name val="Aptos"/>
      <family val="2"/>
    </font>
    <font>
      <sz val="12"/>
      <color rgb="FF000000"/>
      <name val="Aptos"/>
      <family val="2"/>
    </font>
    <font>
      <b/>
      <sz val="11"/>
      <color theme="1"/>
      <name val="Calibri"/>
      <family val="2"/>
    </font>
    <font>
      <sz val="12"/>
      <color theme="1"/>
      <name val="Aptos Narrow"/>
      <family val="2"/>
      <scheme val="minor"/>
    </font>
    <font>
      <b/>
      <sz val="11"/>
      <color theme="3" tint="0.39997558519241921"/>
      <name val="Aptos Narrow"/>
      <family val="2"/>
      <scheme val="minor"/>
    </font>
    <font>
      <b/>
      <i/>
      <sz val="11"/>
      <color theme="3"/>
      <name val="Aptos Narrow"/>
      <family val="2"/>
      <scheme val="minor"/>
    </font>
    <font>
      <sz val="11"/>
      <color theme="3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u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9"/>
      <color indexed="81"/>
      <name val="Tahoma"/>
      <family val="2"/>
    </font>
    <font>
      <b/>
      <u/>
      <sz val="12"/>
      <name val="Aptos Narrow"/>
      <family val="2"/>
      <scheme val="minor"/>
    </font>
    <font>
      <b/>
      <sz val="12"/>
      <color theme="3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5A5A5"/>
        <bgColor rgb="FFB2B2B2"/>
      </patternFill>
    </fill>
    <fill>
      <patternFill patternType="solid">
        <fgColor rgb="FFD9E1F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thin">
        <color auto="1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auto="1"/>
      </top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/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theme="1" tint="0.499984740745262"/>
      </bottom>
      <diagonal/>
    </border>
    <border>
      <left/>
      <right/>
      <top style="thin">
        <color auto="1"/>
      </top>
      <bottom style="hair">
        <color theme="1" tint="0.499984740745262"/>
      </bottom>
      <diagonal/>
    </border>
    <border>
      <left/>
      <right style="thin">
        <color indexed="64"/>
      </right>
      <top style="thin">
        <color auto="1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theme="1" tint="0.499984740745262"/>
      </top>
      <bottom style="thin">
        <color indexed="64"/>
      </bottom>
      <diagonal/>
    </border>
  </borders>
  <cellStyleXfs count="20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44" fontId="19" fillId="0" borderId="0" applyFont="0" applyFill="0" applyBorder="0" applyAlignment="0" applyProtection="0"/>
    <xf numFmtId="0" fontId="18" fillId="0" borderId="0"/>
    <xf numFmtId="43" fontId="19" fillId="0" borderId="0" applyFont="0" applyFill="0" applyBorder="0" applyAlignment="0" applyProtection="0"/>
    <xf numFmtId="0" fontId="19" fillId="0" borderId="0"/>
    <xf numFmtId="0" fontId="18" fillId="0" borderId="0"/>
    <xf numFmtId="0" fontId="2" fillId="0" borderId="0"/>
    <xf numFmtId="0" fontId="18" fillId="0" borderId="0"/>
    <xf numFmtId="0" fontId="18" fillId="0" borderId="0"/>
    <xf numFmtId="177" fontId="18" fillId="0" borderId="0" applyBorder="0" applyProtection="0"/>
    <xf numFmtId="9" fontId="18" fillId="0" borderId="0" applyBorder="0" applyProtection="0"/>
    <xf numFmtId="0" fontId="41" fillId="0" borderId="0"/>
    <xf numFmtId="0" fontId="2" fillId="0" borderId="0"/>
    <xf numFmtId="0" fontId="47" fillId="0" borderId="0"/>
    <xf numFmtId="43" fontId="47" fillId="0" borderId="0" applyFont="0" applyFill="0" applyBorder="0" applyAlignment="0" applyProtection="0"/>
    <xf numFmtId="44" fontId="47" fillId="0" borderId="0" applyFont="0" applyFill="0" applyBorder="0" applyAlignment="0" applyProtection="0"/>
  </cellStyleXfs>
  <cellXfs count="431">
    <xf numFmtId="0" fontId="0" fillId="0" borderId="0" xfId="0"/>
    <xf numFmtId="0" fontId="6" fillId="0" borderId="0" xfId="0" applyFont="1"/>
    <xf numFmtId="0" fontId="7" fillId="0" borderId="0" xfId="0" applyFont="1"/>
    <xf numFmtId="164" fontId="8" fillId="0" borderId="0" xfId="0" applyNumberFormat="1" applyFont="1"/>
    <xf numFmtId="0" fontId="6" fillId="0" borderId="1" xfId="0" applyFont="1" applyBorder="1" applyAlignment="1">
      <alignment horizontal="center"/>
    </xf>
    <xf numFmtId="164" fontId="6" fillId="0" borderId="0" xfId="0" applyNumberFormat="1" applyFont="1"/>
    <xf numFmtId="0" fontId="9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15" fontId="10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165" fontId="12" fillId="0" borderId="0" xfId="0" applyNumberFormat="1" applyFont="1"/>
    <xf numFmtId="10" fontId="12" fillId="0" borderId="0" xfId="0" applyNumberFormat="1" applyFont="1"/>
    <xf numFmtId="166" fontId="12" fillId="0" borderId="0" xfId="0" applyNumberFormat="1" applyFont="1"/>
    <xf numFmtId="0" fontId="13" fillId="0" borderId="0" xfId="0" applyFont="1"/>
    <xf numFmtId="0" fontId="12" fillId="0" borderId="0" xfId="0" applyFont="1"/>
    <xf numFmtId="0" fontId="14" fillId="0" borderId="0" xfId="0" applyFont="1" applyAlignment="1">
      <alignment horizontal="center" wrapText="1"/>
    </xf>
    <xf numFmtId="0" fontId="6" fillId="0" borderId="0" xfId="0" applyFont="1" applyAlignment="1" applyProtection="1">
      <alignment horizontal="left" indent="2"/>
      <protection locked="0"/>
    </xf>
    <xf numFmtId="42" fontId="15" fillId="0" borderId="0" xfId="0" applyNumberFormat="1" applyFont="1"/>
    <xf numFmtId="42" fontId="6" fillId="0" borderId="0" xfId="0" applyNumberFormat="1" applyFont="1"/>
    <xf numFmtId="164" fontId="6" fillId="0" borderId="0" xfId="1" applyNumberFormat="1" applyFont="1"/>
    <xf numFmtId="0" fontId="6" fillId="0" borderId="0" xfId="0" applyFont="1" applyAlignment="1" applyProtection="1">
      <alignment horizontal="left" indent="1"/>
      <protection locked="0"/>
    </xf>
    <xf numFmtId="10" fontId="6" fillId="0" borderId="0" xfId="0" applyNumberFormat="1" applyFont="1"/>
    <xf numFmtId="41" fontId="15" fillId="0" borderId="0" xfId="0" applyNumberFormat="1" applyFont="1"/>
    <xf numFmtId="0" fontId="6" fillId="0" borderId="5" xfId="0" applyFont="1" applyBorder="1" applyAlignment="1">
      <alignment horizontal="right"/>
    </xf>
    <xf numFmtId="42" fontId="15" fillId="0" borderId="5" xfId="0" applyNumberFormat="1" applyFont="1" applyBorder="1"/>
    <xf numFmtId="164" fontId="6" fillId="0" borderId="5" xfId="0" applyNumberFormat="1" applyFont="1" applyBorder="1"/>
    <xf numFmtId="0" fontId="6" fillId="0" borderId="6" xfId="0" applyFont="1" applyBorder="1"/>
    <xf numFmtId="42" fontId="15" fillId="0" borderId="6" xfId="0" applyNumberFormat="1" applyFont="1" applyBorder="1"/>
    <xf numFmtId="0" fontId="6" fillId="0" borderId="3" xfId="0" applyFont="1" applyBorder="1"/>
    <xf numFmtId="42" fontId="15" fillId="0" borderId="3" xfId="0" applyNumberFormat="1" applyFont="1" applyBorder="1"/>
    <xf numFmtId="0" fontId="6" fillId="0" borderId="0" xfId="0" applyFont="1" applyAlignment="1">
      <alignment horizontal="left" indent="1"/>
    </xf>
    <xf numFmtId="164" fontId="13" fillId="0" borderId="0" xfId="0" applyNumberFormat="1" applyFont="1"/>
    <xf numFmtId="167" fontId="6" fillId="0" borderId="0" xfId="1" applyNumberFormat="1" applyFont="1"/>
    <xf numFmtId="166" fontId="6" fillId="0" borderId="0" xfId="2" applyNumberFormat="1" applyFont="1"/>
    <xf numFmtId="166" fontId="6" fillId="0" borderId="0" xfId="0" applyNumberFormat="1" applyFont="1"/>
    <xf numFmtId="168" fontId="6" fillId="0" borderId="0" xfId="1" applyNumberFormat="1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indent="2"/>
    </xf>
    <xf numFmtId="42" fontId="6" fillId="0" borderId="5" xfId="0" applyNumberFormat="1" applyFont="1" applyBorder="1"/>
    <xf numFmtId="42" fontId="12" fillId="0" borderId="0" xfId="0" applyNumberFormat="1" applyFont="1"/>
    <xf numFmtId="0" fontId="14" fillId="0" borderId="0" xfId="0" applyFont="1"/>
    <xf numFmtId="164" fontId="14" fillId="0" borderId="0" xfId="0" applyNumberFormat="1" applyFont="1"/>
    <xf numFmtId="0" fontId="15" fillId="0" borderId="0" xfId="0" applyFont="1" applyAlignment="1">
      <alignment horizontal="left" indent="1"/>
    </xf>
    <xf numFmtId="0" fontId="15" fillId="0" borderId="5" xfId="0" applyFont="1" applyBorder="1" applyAlignment="1">
      <alignment horizontal="right"/>
    </xf>
    <xf numFmtId="164" fontId="15" fillId="0" borderId="5" xfId="0" applyNumberFormat="1" applyFont="1" applyBorder="1"/>
    <xf numFmtId="0" fontId="16" fillId="0" borderId="0" xfId="0" applyFont="1" applyAlignment="1">
      <alignment horizontal="left" indent="1"/>
    </xf>
    <xf numFmtId="164" fontId="15" fillId="0" borderId="0" xfId="0" applyNumberFormat="1" applyFont="1"/>
    <xf numFmtId="0" fontId="15" fillId="0" borderId="0" xfId="0" applyFont="1" applyAlignment="1">
      <alignment horizontal="left"/>
    </xf>
    <xf numFmtId="10" fontId="6" fillId="3" borderId="1" xfId="0" applyNumberFormat="1" applyFont="1" applyFill="1" applyBorder="1"/>
    <xf numFmtId="9" fontId="15" fillId="0" borderId="0" xfId="2" applyNumberFormat="1" applyFont="1" applyFill="1" applyBorder="1"/>
    <xf numFmtId="43" fontId="15" fillId="0" borderId="0" xfId="1" applyFont="1" applyFill="1" applyBorder="1"/>
    <xf numFmtId="169" fontId="6" fillId="0" borderId="0" xfId="1" applyNumberFormat="1" applyFont="1" applyFill="1" applyBorder="1"/>
    <xf numFmtId="10" fontId="6" fillId="0" borderId="0" xfId="3" applyNumberFormat="1" applyFont="1"/>
    <xf numFmtId="41" fontId="6" fillId="0" borderId="0" xfId="0" applyNumberFormat="1" applyFont="1"/>
    <xf numFmtId="0" fontId="0" fillId="0" borderId="0" xfId="0" applyAlignment="1">
      <alignment horizontal="center" wrapText="1"/>
    </xf>
    <xf numFmtId="166" fontId="0" fillId="0" borderId="0" xfId="2" applyNumberFormat="1" applyFont="1"/>
    <xf numFmtId="0" fontId="0" fillId="0" borderId="6" xfId="0" applyBorder="1"/>
    <xf numFmtId="166" fontId="0" fillId="0" borderId="6" xfId="2" applyNumberFormat="1" applyFont="1" applyBorder="1"/>
    <xf numFmtId="42" fontId="0" fillId="0" borderId="0" xfId="0" applyNumberFormat="1"/>
    <xf numFmtId="166" fontId="0" fillId="0" borderId="0" xfId="0" applyNumberFormat="1"/>
    <xf numFmtId="0" fontId="2" fillId="0" borderId="0" xfId="4"/>
    <xf numFmtId="0" fontId="2" fillId="0" borderId="5" xfId="4" applyBorder="1" applyAlignment="1">
      <alignment horizontal="center" wrapText="1"/>
    </xf>
    <xf numFmtId="166" fontId="2" fillId="0" borderId="0" xfId="4" applyNumberFormat="1"/>
    <xf numFmtId="14" fontId="2" fillId="0" borderId="0" xfId="4" applyNumberFormat="1"/>
    <xf numFmtId="10" fontId="2" fillId="0" borderId="0" xfId="4" applyNumberFormat="1"/>
    <xf numFmtId="164" fontId="2" fillId="0" borderId="0" xfId="1" applyNumberFormat="1" applyFont="1" applyFill="1"/>
    <xf numFmtId="164" fontId="2" fillId="0" borderId="0" xfId="1" applyNumberFormat="1" applyFont="1"/>
    <xf numFmtId="10" fontId="2" fillId="0" borderId="0" xfId="3" applyNumberFormat="1" applyFont="1"/>
    <xf numFmtId="0" fontId="2" fillId="0" borderId="7" xfId="4" applyBorder="1"/>
    <xf numFmtId="0" fontId="2" fillId="0" borderId="11" xfId="4" applyBorder="1"/>
    <xf numFmtId="0" fontId="4" fillId="0" borderId="12" xfId="4" applyFont="1" applyBorder="1" applyAlignment="1">
      <alignment horizontal="center"/>
    </xf>
    <xf numFmtId="10" fontId="4" fillId="0" borderId="13" xfId="4" applyNumberFormat="1" applyFont="1" applyBorder="1" applyAlignment="1">
      <alignment horizontal="center"/>
    </xf>
    <xf numFmtId="0" fontId="4" fillId="0" borderId="14" xfId="4" applyFont="1" applyBorder="1" applyAlignment="1">
      <alignment horizontal="center"/>
    </xf>
    <xf numFmtId="0" fontId="4" fillId="0" borderId="13" xfId="4" applyFont="1" applyBorder="1" applyAlignment="1">
      <alignment horizontal="center"/>
    </xf>
    <xf numFmtId="0" fontId="4" fillId="4" borderId="12" xfId="4" applyFont="1" applyFill="1" applyBorder="1" applyAlignment="1">
      <alignment horizontal="center"/>
    </xf>
    <xf numFmtId="0" fontId="4" fillId="4" borderId="13" xfId="4" applyFont="1" applyFill="1" applyBorder="1" applyAlignment="1">
      <alignment horizontal="center"/>
    </xf>
    <xf numFmtId="0" fontId="4" fillId="4" borderId="14" xfId="4" applyFont="1" applyFill="1" applyBorder="1" applyAlignment="1">
      <alignment horizontal="center"/>
    </xf>
    <xf numFmtId="0" fontId="2" fillId="0" borderId="15" xfId="4" applyBorder="1"/>
    <xf numFmtId="0" fontId="2" fillId="0" borderId="16" xfId="4" applyBorder="1" applyAlignment="1">
      <alignment horizontal="center"/>
    </xf>
    <xf numFmtId="0" fontId="2" fillId="0" borderId="17" xfId="4" applyBorder="1" applyAlignment="1">
      <alignment horizontal="center"/>
    </xf>
    <xf numFmtId="0" fontId="2" fillId="0" borderId="18" xfId="4" applyBorder="1" applyAlignment="1">
      <alignment horizontal="center"/>
    </xf>
    <xf numFmtId="0" fontId="2" fillId="4" borderId="16" xfId="4" applyFill="1" applyBorder="1" applyAlignment="1">
      <alignment horizontal="center"/>
    </xf>
    <xf numFmtId="0" fontId="2" fillId="4" borderId="17" xfId="4" applyFill="1" applyBorder="1" applyAlignment="1">
      <alignment horizontal="center"/>
    </xf>
    <xf numFmtId="0" fontId="2" fillId="4" borderId="18" xfId="4" applyFill="1" applyBorder="1" applyAlignment="1">
      <alignment horizontal="center"/>
    </xf>
    <xf numFmtId="0" fontId="2" fillId="0" borderId="15" xfId="4" applyBorder="1" applyAlignment="1">
      <alignment horizontal="center"/>
    </xf>
    <xf numFmtId="0" fontId="2" fillId="0" borderId="16" xfId="4" applyBorder="1"/>
    <xf numFmtId="10" fontId="2" fillId="0" borderId="17" xfId="4" applyNumberFormat="1" applyBorder="1"/>
    <xf numFmtId="0" fontId="2" fillId="0" borderId="18" xfId="4" applyBorder="1"/>
    <xf numFmtId="44" fontId="2" fillId="0" borderId="16" xfId="4" applyNumberFormat="1" applyBorder="1"/>
    <xf numFmtId="0" fontId="2" fillId="0" borderId="17" xfId="4" applyBorder="1"/>
    <xf numFmtId="44" fontId="2" fillId="0" borderId="18" xfId="4" applyNumberFormat="1" applyBorder="1"/>
    <xf numFmtId="44" fontId="2" fillId="0" borderId="17" xfId="4" applyNumberFormat="1" applyBorder="1"/>
    <xf numFmtId="44" fontId="2" fillId="4" borderId="16" xfId="4" applyNumberFormat="1" applyFill="1" applyBorder="1"/>
    <xf numFmtId="44" fontId="2" fillId="4" borderId="17" xfId="4" applyNumberFormat="1" applyFill="1" applyBorder="1"/>
    <xf numFmtId="44" fontId="2" fillId="4" borderId="18" xfId="4" applyNumberFormat="1" applyFill="1" applyBorder="1"/>
    <xf numFmtId="170" fontId="2" fillId="0" borderId="15" xfId="4" applyNumberFormat="1" applyBorder="1" applyAlignment="1">
      <alignment horizontal="center"/>
    </xf>
    <xf numFmtId="170" fontId="2" fillId="3" borderId="15" xfId="4" applyNumberFormat="1" applyFill="1" applyBorder="1" applyAlignment="1">
      <alignment horizontal="center"/>
    </xf>
    <xf numFmtId="44" fontId="2" fillId="3" borderId="16" xfId="4" applyNumberFormat="1" applyFill="1" applyBorder="1"/>
    <xf numFmtId="44" fontId="2" fillId="3" borderId="18" xfId="4" applyNumberFormat="1" applyFill="1" applyBorder="1"/>
    <xf numFmtId="0" fontId="2" fillId="3" borderId="0" xfId="4" applyFill="1"/>
    <xf numFmtId="44" fontId="2" fillId="3" borderId="17" xfId="4" applyNumberFormat="1" applyFill="1" applyBorder="1"/>
    <xf numFmtId="44" fontId="2" fillId="2" borderId="19" xfId="4" applyNumberFormat="1" applyFill="1" applyBorder="1"/>
    <xf numFmtId="44" fontId="2" fillId="2" borderId="20" xfId="4" applyNumberFormat="1" applyFill="1" applyBorder="1"/>
    <xf numFmtId="44" fontId="2" fillId="2" borderId="21" xfId="4" applyNumberFormat="1" applyFill="1" applyBorder="1"/>
    <xf numFmtId="44" fontId="6" fillId="2" borderId="19" xfId="4" applyNumberFormat="1" applyFont="1" applyFill="1" applyBorder="1"/>
    <xf numFmtId="44" fontId="6" fillId="2" borderId="21" xfId="4" applyNumberFormat="1" applyFont="1" applyFill="1" applyBorder="1"/>
    <xf numFmtId="44" fontId="2" fillId="4" borderId="19" xfId="4" applyNumberFormat="1" applyFill="1" applyBorder="1"/>
    <xf numFmtId="44" fontId="2" fillId="4" borderId="21" xfId="4" applyNumberFormat="1" applyFill="1" applyBorder="1"/>
    <xf numFmtId="44" fontId="2" fillId="0" borderId="0" xfId="4" applyNumberFormat="1"/>
    <xf numFmtId="0" fontId="20" fillId="0" borderId="0" xfId="8" applyFont="1"/>
    <xf numFmtId="172" fontId="21" fillId="0" borderId="0" xfId="2" applyNumberFormat="1" applyFont="1"/>
    <xf numFmtId="0" fontId="21" fillId="0" borderId="0" xfId="8" applyFont="1" applyAlignment="1">
      <alignment horizontal="center"/>
    </xf>
    <xf numFmtId="43" fontId="20" fillId="0" borderId="0" xfId="1" applyFont="1"/>
    <xf numFmtId="172" fontId="22" fillId="0" borderId="0" xfId="2" applyNumberFormat="1" applyFont="1"/>
    <xf numFmtId="0" fontId="22" fillId="0" borderId="0" xfId="8" applyFont="1" applyAlignment="1">
      <alignment horizontal="center"/>
    </xf>
    <xf numFmtId="172" fontId="20" fillId="0" borderId="0" xfId="2" applyNumberFormat="1" applyFont="1"/>
    <xf numFmtId="0" fontId="20" fillId="0" borderId="0" xfId="8" applyFont="1" applyAlignment="1">
      <alignment horizontal="center"/>
    </xf>
    <xf numFmtId="0" fontId="23" fillId="0" borderId="0" xfId="8" applyFont="1" applyAlignment="1">
      <alignment horizontal="center"/>
    </xf>
    <xf numFmtId="172" fontId="23" fillId="0" borderId="0" xfId="2" applyNumberFormat="1" applyFont="1"/>
    <xf numFmtId="17" fontId="20" fillId="0" borderId="0" xfId="2" applyNumberFormat="1" applyFont="1" applyAlignment="1">
      <alignment horizontal="center" wrapText="1"/>
    </xf>
    <xf numFmtId="14" fontId="20" fillId="0" borderId="0" xfId="2" applyNumberFormat="1" applyFont="1" applyAlignment="1">
      <alignment horizontal="left" vertical="center"/>
    </xf>
    <xf numFmtId="0" fontId="20" fillId="0" borderId="2" xfId="8" applyFont="1" applyBorder="1"/>
    <xf numFmtId="17" fontId="20" fillId="0" borderId="0" xfId="2" applyNumberFormat="1" applyFont="1"/>
    <xf numFmtId="0" fontId="20" fillId="0" borderId="28" xfId="8" applyFont="1" applyBorder="1"/>
    <xf numFmtId="172" fontId="20" fillId="0" borderId="28" xfId="2" applyNumberFormat="1" applyFont="1" applyBorder="1" applyAlignment="1">
      <alignment horizontal="center"/>
    </xf>
    <xf numFmtId="0" fontId="20" fillId="0" borderId="28" xfId="8" applyFont="1" applyBorder="1" applyAlignment="1">
      <alignment horizontal="center"/>
    </xf>
    <xf numFmtId="0" fontId="20" fillId="0" borderId="28" xfId="2" applyNumberFormat="1" applyFont="1" applyBorder="1" applyAlignment="1">
      <alignment horizontal="center"/>
    </xf>
    <xf numFmtId="166" fontId="20" fillId="0" borderId="0" xfId="8" applyNumberFormat="1" applyFont="1"/>
    <xf numFmtId="169" fontId="20" fillId="0" borderId="0" xfId="8" applyNumberFormat="1" applyFont="1"/>
    <xf numFmtId="0" fontId="20" fillId="0" borderId="6" xfId="8" applyFont="1" applyBorder="1"/>
    <xf numFmtId="0" fontId="20" fillId="0" borderId="0" xfId="8" applyFont="1" applyAlignment="1">
      <alignment horizontal="center" wrapText="1"/>
    </xf>
    <xf numFmtId="0" fontId="20" fillId="0" borderId="3" xfId="8" applyFont="1" applyBorder="1" applyAlignment="1">
      <alignment horizontal="center" wrapText="1"/>
    </xf>
    <xf numFmtId="172" fontId="20" fillId="0" borderId="3" xfId="2" applyNumberFormat="1" applyFont="1" applyBorder="1" applyAlignment="1">
      <alignment horizontal="center" wrapText="1"/>
    </xf>
    <xf numFmtId="44" fontId="20" fillId="0" borderId="29" xfId="2" applyFont="1" applyBorder="1" applyAlignment="1">
      <alignment horizontal="left" indent="1"/>
    </xf>
    <xf numFmtId="0" fontId="20" fillId="0" borderId="6" xfId="8" applyFont="1" applyBorder="1" applyAlignment="1">
      <alignment horizontal="center"/>
    </xf>
    <xf numFmtId="44" fontId="20" fillId="0" borderId="22" xfId="2" applyFont="1" applyBorder="1" applyAlignment="1">
      <alignment horizontal="left" indent="1"/>
    </xf>
    <xf numFmtId="0" fontId="20" fillId="0" borderId="0" xfId="8" applyFont="1" applyAlignment="1">
      <alignment horizontal="left" indent="1"/>
    </xf>
    <xf numFmtId="44" fontId="20" fillId="0" borderId="30" xfId="2" applyFont="1" applyBorder="1" applyAlignment="1">
      <alignment horizontal="left" indent="1"/>
    </xf>
    <xf numFmtId="172" fontId="20" fillId="0" borderId="0" xfId="2" applyNumberFormat="1" applyFont="1" applyBorder="1" applyAlignment="1">
      <alignment horizontal="center"/>
    </xf>
    <xf numFmtId="164" fontId="20" fillId="2" borderId="31" xfId="1" applyNumberFormat="1" applyFont="1" applyFill="1" applyBorder="1" applyAlignment="1">
      <alignment horizontal="left" indent="1"/>
    </xf>
    <xf numFmtId="166" fontId="20" fillId="0" borderId="0" xfId="2" applyNumberFormat="1" applyFont="1" applyBorder="1"/>
    <xf numFmtId="44" fontId="20" fillId="0" borderId="0" xfId="8" applyNumberFormat="1" applyFont="1"/>
    <xf numFmtId="10" fontId="20" fillId="0" borderId="0" xfId="8" applyNumberFormat="1" applyFont="1"/>
    <xf numFmtId="169" fontId="20" fillId="0" borderId="0" xfId="3" applyNumberFormat="1" applyFont="1"/>
    <xf numFmtId="164" fontId="20" fillId="0" borderId="0" xfId="8" applyNumberFormat="1" applyFont="1"/>
    <xf numFmtId="164" fontId="20" fillId="0" borderId="0" xfId="1" applyNumberFormat="1" applyFont="1"/>
    <xf numFmtId="173" fontId="20" fillId="0" borderId="30" xfId="2" applyNumberFormat="1" applyFont="1" applyBorder="1" applyAlignment="1">
      <alignment horizontal="left" indent="1"/>
    </xf>
    <xf numFmtId="174" fontId="20" fillId="0" borderId="0" xfId="8" applyNumberFormat="1" applyFont="1"/>
    <xf numFmtId="164" fontId="0" fillId="2" borderId="31" xfId="1" applyNumberFormat="1" applyFont="1" applyFill="1" applyBorder="1" applyProtection="1">
      <protection locked="0"/>
    </xf>
    <xf numFmtId="172" fontId="20" fillId="0" borderId="30" xfId="2" applyNumberFormat="1" applyFont="1" applyBorder="1" applyAlignment="1">
      <alignment horizontal="left" indent="1"/>
    </xf>
    <xf numFmtId="166" fontId="20" fillId="8" borderId="31" xfId="2" applyNumberFormat="1" applyFont="1" applyFill="1" applyBorder="1" applyAlignment="1">
      <alignment horizontal="left" indent="1"/>
    </xf>
    <xf numFmtId="166" fontId="20" fillId="0" borderId="0" xfId="2" applyNumberFormat="1" applyFont="1"/>
    <xf numFmtId="172" fontId="24" fillId="0" borderId="32" xfId="2" applyNumberFormat="1" applyFont="1" applyBorder="1" applyAlignment="1">
      <alignment horizontal="left" indent="1"/>
    </xf>
    <xf numFmtId="0" fontId="20" fillId="0" borderId="3" xfId="8" applyFont="1" applyBorder="1" applyAlignment="1">
      <alignment horizontal="center"/>
    </xf>
    <xf numFmtId="166" fontId="20" fillId="0" borderId="3" xfId="2" applyNumberFormat="1" applyFont="1" applyBorder="1"/>
    <xf numFmtId="0" fontId="20" fillId="0" borderId="3" xfId="8" applyFont="1" applyBorder="1"/>
    <xf numFmtId="44" fontId="20" fillId="0" borderId="3" xfId="8" applyNumberFormat="1" applyFont="1" applyBorder="1"/>
    <xf numFmtId="164" fontId="20" fillId="0" borderId="22" xfId="2" applyNumberFormat="1" applyFont="1" applyBorder="1" applyAlignment="1">
      <alignment horizontal="left" indent="1"/>
    </xf>
    <xf numFmtId="164" fontId="20" fillId="0" borderId="6" xfId="8" applyNumberFormat="1" applyFont="1" applyBorder="1"/>
    <xf numFmtId="10" fontId="20" fillId="0" borderId="6" xfId="8" applyNumberFormat="1" applyFont="1" applyBorder="1"/>
    <xf numFmtId="172" fontId="24" fillId="0" borderId="30" xfId="2" applyNumberFormat="1" applyFont="1" applyBorder="1" applyAlignment="1">
      <alignment horizontal="left" indent="1"/>
    </xf>
    <xf numFmtId="164" fontId="20" fillId="0" borderId="24" xfId="2" applyNumberFormat="1" applyFont="1" applyBorder="1" applyAlignment="1">
      <alignment horizontal="left" indent="1"/>
    </xf>
    <xf numFmtId="0" fontId="20" fillId="0" borderId="0" xfId="8" applyFont="1" applyAlignment="1">
      <alignment horizontal="left"/>
    </xf>
    <xf numFmtId="174" fontId="20" fillId="0" borderId="30" xfId="2" applyNumberFormat="1" applyFont="1" applyBorder="1" applyAlignment="1">
      <alignment horizontal="left" indent="1"/>
    </xf>
    <xf numFmtId="174" fontId="20" fillId="0" borderId="32" xfId="2" applyNumberFormat="1" applyFont="1" applyBorder="1" applyAlignment="1">
      <alignment horizontal="left" indent="1"/>
    </xf>
    <xf numFmtId="172" fontId="20" fillId="0" borderId="3" xfId="2" applyNumberFormat="1" applyFont="1" applyBorder="1" applyAlignment="1">
      <alignment horizontal="center"/>
    </xf>
    <xf numFmtId="172" fontId="20" fillId="0" borderId="0" xfId="2" applyNumberFormat="1" applyFont="1" applyAlignment="1">
      <alignment horizontal="center"/>
    </xf>
    <xf numFmtId="164" fontId="20" fillId="2" borderId="29" xfId="1" applyNumberFormat="1" applyFont="1" applyFill="1" applyBorder="1" applyAlignment="1">
      <alignment horizontal="left" indent="1"/>
    </xf>
    <xf numFmtId="169" fontId="20" fillId="0" borderId="0" xfId="3" applyNumberFormat="1" applyFont="1" applyBorder="1"/>
    <xf numFmtId="0" fontId="20" fillId="0" borderId="3" xfId="8" applyFont="1" applyBorder="1" applyAlignment="1">
      <alignment horizontal="left" indent="1"/>
    </xf>
    <xf numFmtId="172" fontId="20" fillId="0" borderId="32" xfId="2" applyNumberFormat="1" applyFont="1" applyBorder="1" applyAlignment="1">
      <alignment horizontal="left" indent="1"/>
    </xf>
    <xf numFmtId="164" fontId="20" fillId="0" borderId="3" xfId="8" applyNumberFormat="1" applyFont="1" applyBorder="1"/>
    <xf numFmtId="0" fontId="20" fillId="0" borderId="5" xfId="8" applyFont="1" applyBorder="1"/>
    <xf numFmtId="172" fontId="20" fillId="0" borderId="5" xfId="2" applyNumberFormat="1" applyFont="1" applyBorder="1"/>
    <xf numFmtId="0" fontId="20" fillId="0" borderId="5" xfId="8" applyFont="1" applyBorder="1" applyAlignment="1">
      <alignment horizontal="center"/>
    </xf>
    <xf numFmtId="166" fontId="20" fillId="0" borderId="5" xfId="8" applyNumberFormat="1" applyFont="1" applyBorder="1"/>
    <xf numFmtId="166" fontId="20" fillId="0" borderId="5" xfId="2" applyNumberFormat="1" applyFont="1" applyBorder="1"/>
    <xf numFmtId="10" fontId="20" fillId="0" borderId="3" xfId="8" applyNumberFormat="1" applyFont="1" applyBorder="1"/>
    <xf numFmtId="0" fontId="20" fillId="0" borderId="0" xfId="8" applyFont="1" applyAlignment="1">
      <alignment horizontal="right"/>
    </xf>
    <xf numFmtId="10" fontId="20" fillId="0" borderId="1" xfId="3" applyNumberFormat="1" applyFont="1" applyBorder="1"/>
    <xf numFmtId="42" fontId="20" fillId="0" borderId="0" xfId="8" applyNumberFormat="1" applyFont="1"/>
    <xf numFmtId="176" fontId="0" fillId="0" borderId="0" xfId="0" applyNumberFormat="1" applyAlignment="1">
      <alignment wrapText="1"/>
    </xf>
    <xf numFmtId="43" fontId="25" fillId="0" borderId="0" xfId="1" applyFont="1" applyFill="1" applyAlignment="1">
      <alignment horizontal="left" vertical="center" wrapText="1" indent="1"/>
    </xf>
    <xf numFmtId="0" fontId="26" fillId="0" borderId="0" xfId="0" applyFont="1"/>
    <xf numFmtId="0" fontId="0" fillId="0" borderId="0" xfId="0" applyAlignment="1">
      <alignment horizontal="center"/>
    </xf>
    <xf numFmtId="0" fontId="18" fillId="0" borderId="0" xfId="9"/>
    <xf numFmtId="0" fontId="18" fillId="0" borderId="6" xfId="9" applyBorder="1"/>
    <xf numFmtId="166" fontId="0" fillId="0" borderId="6" xfId="0" applyNumberForma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10"/>
    <xf numFmtId="0" fontId="2" fillId="0" borderId="0" xfId="0" applyFont="1"/>
    <xf numFmtId="166" fontId="0" fillId="0" borderId="0" xfId="2" applyNumberFormat="1" applyFont="1" applyFill="1" applyBorder="1"/>
    <xf numFmtId="166" fontId="0" fillId="0" borderId="0" xfId="2" applyNumberFormat="1" applyFont="1" applyBorder="1"/>
    <xf numFmtId="0" fontId="2" fillId="0" borderId="0" xfId="10" applyAlignment="1">
      <alignment horizontal="right"/>
    </xf>
    <xf numFmtId="169" fontId="0" fillId="0" borderId="0" xfId="0" applyNumberFormat="1"/>
    <xf numFmtId="0" fontId="27" fillId="0" borderId="0" xfId="0" applyFont="1"/>
    <xf numFmtId="172" fontId="28" fillId="0" borderId="0" xfId="2" applyNumberFormat="1" applyFont="1"/>
    <xf numFmtId="0" fontId="29" fillId="0" borderId="0" xfId="11" applyFont="1"/>
    <xf numFmtId="0" fontId="30" fillId="0" borderId="0" xfId="12" applyFont="1"/>
    <xf numFmtId="0" fontId="29" fillId="0" borderId="1" xfId="0" applyFont="1" applyBorder="1" applyAlignment="1">
      <alignment horizontal="center"/>
    </xf>
    <xf numFmtId="0" fontId="31" fillId="0" borderId="0" xfId="0" applyFont="1"/>
    <xf numFmtId="172" fontId="29" fillId="0" borderId="0" xfId="2" applyNumberFormat="1" applyFont="1"/>
    <xf numFmtId="0" fontId="32" fillId="0" borderId="0" xfId="12" applyFont="1"/>
    <xf numFmtId="0" fontId="33" fillId="0" borderId="0" xfId="0" applyFont="1" applyAlignment="1">
      <alignment horizontal="right"/>
    </xf>
    <xf numFmtId="0" fontId="33" fillId="0" borderId="0" xfId="0" applyFont="1" applyAlignment="1">
      <alignment horizontal="left"/>
    </xf>
    <xf numFmtId="177" fontId="34" fillId="0" borderId="0" xfId="12" applyNumberFormat="1" applyFont="1"/>
    <xf numFmtId="14" fontId="33" fillId="0" borderId="0" xfId="0" applyNumberFormat="1" applyFont="1" applyAlignment="1">
      <alignment horizontal="left"/>
    </xf>
    <xf numFmtId="0" fontId="29" fillId="0" borderId="0" xfId="12" applyFont="1" applyAlignment="1">
      <alignment horizontal="center"/>
    </xf>
    <xf numFmtId="0" fontId="29" fillId="0" borderId="0" xfId="12" applyFont="1" applyAlignment="1">
      <alignment wrapText="1"/>
    </xf>
    <xf numFmtId="15" fontId="33" fillId="0" borderId="0" xfId="0" applyNumberFormat="1" applyFont="1" applyAlignment="1">
      <alignment horizontal="left"/>
    </xf>
    <xf numFmtId="0" fontId="29" fillId="0" borderId="0" xfId="12" applyFont="1" applyAlignment="1">
      <alignment horizontal="center" wrapText="1"/>
    </xf>
    <xf numFmtId="17" fontId="29" fillId="0" borderId="3" xfId="12" applyNumberFormat="1" applyFont="1" applyBorder="1" applyAlignment="1">
      <alignment horizontal="center"/>
    </xf>
    <xf numFmtId="14" fontId="32" fillId="0" borderId="3" xfId="12" applyNumberFormat="1" applyFont="1" applyBorder="1" applyAlignment="1">
      <alignment horizontal="center"/>
    </xf>
    <xf numFmtId="178" fontId="29" fillId="0" borderId="0" xfId="13" applyNumberFormat="1" applyFont="1" applyBorder="1" applyProtection="1"/>
    <xf numFmtId="10" fontId="35" fillId="0" borderId="0" xfId="14" applyNumberFormat="1" applyFont="1" applyBorder="1" applyProtection="1"/>
    <xf numFmtId="0" fontId="29" fillId="0" borderId="0" xfId="12" applyFont="1"/>
    <xf numFmtId="178" fontId="29" fillId="0" borderId="3" xfId="13" applyNumberFormat="1" applyFont="1" applyBorder="1" applyProtection="1"/>
    <xf numFmtId="10" fontId="35" fillId="0" borderId="3" xfId="14" applyNumberFormat="1" applyFont="1" applyBorder="1" applyProtection="1"/>
    <xf numFmtId="178" fontId="29" fillId="0" borderId="0" xfId="11" applyNumberFormat="1" applyFont="1"/>
    <xf numFmtId="179" fontId="29" fillId="0" borderId="0" xfId="13" applyNumberFormat="1" applyFont="1" applyBorder="1" applyProtection="1"/>
    <xf numFmtId="179" fontId="29" fillId="0" borderId="0" xfId="11" applyNumberFormat="1" applyFont="1"/>
    <xf numFmtId="179" fontId="34" fillId="0" borderId="0" xfId="12" applyNumberFormat="1" applyFont="1"/>
    <xf numFmtId="178" fontId="34" fillId="0" borderId="0" xfId="12" applyNumberFormat="1" applyFont="1"/>
    <xf numFmtId="0" fontId="36" fillId="0" borderId="0" xfId="12" applyFont="1"/>
    <xf numFmtId="0" fontId="37" fillId="0" borderId="33" xfId="12" applyFont="1" applyBorder="1"/>
    <xf numFmtId="178" fontId="34" fillId="0" borderId="34" xfId="12" applyNumberFormat="1" applyFont="1" applyBorder="1"/>
    <xf numFmtId="178" fontId="34" fillId="0" borderId="35" xfId="12" applyNumberFormat="1" applyFont="1" applyBorder="1"/>
    <xf numFmtId="0" fontId="34" fillId="0" borderId="36" xfId="12" applyFont="1" applyBorder="1"/>
    <xf numFmtId="178" fontId="34" fillId="0" borderId="37" xfId="12" applyNumberFormat="1" applyFont="1" applyBorder="1"/>
    <xf numFmtId="178" fontId="34" fillId="0" borderId="38" xfId="12" applyNumberFormat="1" applyFont="1" applyBorder="1"/>
    <xf numFmtId="178" fontId="34" fillId="0" borderId="39" xfId="12" applyNumberFormat="1" applyFont="1" applyBorder="1"/>
    <xf numFmtId="178" fontId="29" fillId="0" borderId="40" xfId="12" applyNumberFormat="1" applyFont="1" applyBorder="1" applyAlignment="1">
      <alignment horizontal="center"/>
    </xf>
    <xf numFmtId="178" fontId="34" fillId="0" borderId="41" xfId="12" applyNumberFormat="1" applyFont="1" applyBorder="1"/>
    <xf numFmtId="10" fontId="29" fillId="0" borderId="0" xfId="11" applyNumberFormat="1" applyFont="1"/>
    <xf numFmtId="177" fontId="29" fillId="0" borderId="0" xfId="13" applyFont="1" applyBorder="1" applyProtection="1"/>
    <xf numFmtId="10" fontId="29" fillId="0" borderId="0" xfId="14" applyNumberFormat="1" applyFont="1" applyBorder="1" applyProtection="1"/>
    <xf numFmtId="0" fontId="38" fillId="0" borderId="0" xfId="12" applyFont="1"/>
    <xf numFmtId="43" fontId="29" fillId="0" borderId="0" xfId="11" applyNumberFormat="1" applyFont="1"/>
    <xf numFmtId="0" fontId="38" fillId="0" borderId="0" xfId="11" applyFont="1"/>
    <xf numFmtId="0" fontId="34" fillId="10" borderId="0" xfId="12" applyFont="1" applyFill="1"/>
    <xf numFmtId="0" fontId="34" fillId="0" borderId="0" xfId="12" applyFont="1" applyAlignment="1">
      <alignment horizontal="center"/>
    </xf>
    <xf numFmtId="0" fontId="29" fillId="0" borderId="0" xfId="11" applyFont="1" applyAlignment="1">
      <alignment horizontal="left" vertical="top"/>
    </xf>
    <xf numFmtId="1" fontId="29" fillId="0" borderId="0" xfId="11" applyNumberFormat="1" applyFont="1" applyAlignment="1">
      <alignment horizontal="center" vertical="top"/>
    </xf>
    <xf numFmtId="0" fontId="29" fillId="0" borderId="0" xfId="11" applyFont="1" applyAlignment="1">
      <alignment horizontal="center" vertical="top"/>
    </xf>
    <xf numFmtId="2" fontId="34" fillId="0" borderId="0" xfId="12" applyNumberFormat="1" applyFont="1"/>
    <xf numFmtId="14" fontId="34" fillId="0" borderId="0" xfId="12" applyNumberFormat="1" applyFont="1"/>
    <xf numFmtId="166" fontId="39" fillId="0" borderId="0" xfId="11" applyNumberFormat="1" applyFont="1" applyAlignment="1">
      <alignment horizontal="left" vertical="top"/>
    </xf>
    <xf numFmtId="0" fontId="4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8" fontId="0" fillId="0" borderId="0" xfId="0" applyNumberFormat="1" applyAlignment="1">
      <alignment vertical="center" wrapText="1"/>
    </xf>
    <xf numFmtId="0" fontId="39" fillId="0" borderId="0" xfId="11" applyFont="1" applyAlignment="1">
      <alignment horizontal="left" vertical="top"/>
    </xf>
    <xf numFmtId="8" fontId="29" fillId="0" borderId="0" xfId="11" applyNumberFormat="1" applyFont="1" applyAlignment="1">
      <alignment horizontal="left" vertical="top"/>
    </xf>
    <xf numFmtId="166" fontId="29" fillId="0" borderId="0" xfId="11" applyNumberFormat="1" applyFont="1" applyAlignment="1">
      <alignment horizontal="left" vertical="top"/>
    </xf>
    <xf numFmtId="0" fontId="40" fillId="0" borderId="0" xfId="0" applyFont="1" applyAlignment="1">
      <alignment vertical="center" wrapText="1"/>
    </xf>
    <xf numFmtId="8" fontId="40" fillId="0" borderId="0" xfId="0" applyNumberFormat="1" applyFont="1" applyAlignment="1">
      <alignment vertical="center" wrapText="1"/>
    </xf>
    <xf numFmtId="2" fontId="29" fillId="0" borderId="0" xfId="12" applyNumberFormat="1" applyFont="1"/>
    <xf numFmtId="177" fontId="35" fillId="0" borderId="0" xfId="13" applyFont="1" applyBorder="1" applyProtection="1"/>
    <xf numFmtId="9" fontId="35" fillId="0" borderId="0" xfId="14" applyFont="1" applyBorder="1" applyProtection="1"/>
    <xf numFmtId="0" fontId="16" fillId="0" borderId="0" xfId="15" applyFont="1"/>
    <xf numFmtId="166" fontId="0" fillId="0" borderId="0" xfId="2" applyNumberFormat="1" applyFont="1" applyFill="1"/>
    <xf numFmtId="0" fontId="3" fillId="0" borderId="0" xfId="0" applyFont="1"/>
    <xf numFmtId="172" fontId="42" fillId="0" borderId="0" xfId="2" applyNumberFormat="1" applyFont="1"/>
    <xf numFmtId="0" fontId="43" fillId="0" borderId="0" xfId="0" applyFont="1"/>
    <xf numFmtId="172" fontId="6" fillId="0" borderId="0" xfId="2" applyNumberFormat="1" applyFont="1"/>
    <xf numFmtId="0" fontId="44" fillId="0" borderId="0" xfId="0" applyFont="1" applyAlignment="1">
      <alignment horizontal="right"/>
    </xf>
    <xf numFmtId="0" fontId="44" fillId="0" borderId="0" xfId="0" applyFont="1" applyAlignment="1">
      <alignment horizontal="left"/>
    </xf>
    <xf numFmtId="15" fontId="44" fillId="0" borderId="0" xfId="0" applyNumberFormat="1" applyFont="1" applyAlignment="1">
      <alignment horizontal="left"/>
    </xf>
    <xf numFmtId="0" fontId="6" fillId="0" borderId="3" xfId="9" applyFont="1" applyBorder="1"/>
    <xf numFmtId="166" fontId="2" fillId="0" borderId="3" xfId="2" applyNumberFormat="1" applyFont="1" applyBorder="1" applyAlignment="1">
      <alignment horizontal="center"/>
    </xf>
    <xf numFmtId="166" fontId="2" fillId="0" borderId="0" xfId="0" applyNumberFormat="1" applyFont="1"/>
    <xf numFmtId="0" fontId="6" fillId="0" borderId="0" xfId="9" applyFont="1" applyAlignment="1">
      <alignment horizontal="left" indent="2"/>
    </xf>
    <xf numFmtId="44" fontId="2" fillId="0" borderId="0" xfId="2" applyFont="1"/>
    <xf numFmtId="166" fontId="45" fillId="0" borderId="0" xfId="2" applyNumberFormat="1" applyFont="1"/>
    <xf numFmtId="0" fontId="6" fillId="0" borderId="6" xfId="9" applyFont="1" applyBorder="1"/>
    <xf numFmtId="44" fontId="2" fillId="0" borderId="6" xfId="2" applyFont="1" applyBorder="1"/>
    <xf numFmtId="0" fontId="6" fillId="0" borderId="0" xfId="9" applyFont="1"/>
    <xf numFmtId="0" fontId="2" fillId="0" borderId="5" xfId="0" applyFont="1" applyBorder="1"/>
    <xf numFmtId="44" fontId="2" fillId="0" borderId="5" xfId="0" applyNumberFormat="1" applyFont="1" applyBorder="1"/>
    <xf numFmtId="0" fontId="46" fillId="0" borderId="0" xfId="0" applyFont="1"/>
    <xf numFmtId="0" fontId="2" fillId="0" borderId="0" xfId="16"/>
    <xf numFmtId="0" fontId="0" fillId="0" borderId="0" xfId="0" applyAlignment="1">
      <alignment wrapText="1"/>
    </xf>
    <xf numFmtId="44" fontId="0" fillId="0" borderId="0" xfId="2" applyFont="1"/>
    <xf numFmtId="169" fontId="0" fillId="0" borderId="0" xfId="2" applyNumberFormat="1" applyFont="1"/>
    <xf numFmtId="0" fontId="0" fillId="0" borderId="42" xfId="0" applyBorder="1"/>
    <xf numFmtId="0" fontId="0" fillId="0" borderId="43" xfId="0" applyBorder="1"/>
    <xf numFmtId="166" fontId="0" fillId="0" borderId="43" xfId="0" applyNumberFormat="1" applyBorder="1"/>
    <xf numFmtId="166" fontId="0" fillId="0" borderId="44" xfId="0" applyNumberFormat="1" applyBorder="1"/>
    <xf numFmtId="44" fontId="0" fillId="0" borderId="0" xfId="2" applyFont="1" applyBorder="1"/>
    <xf numFmtId="44" fontId="0" fillId="0" borderId="0" xfId="0" applyNumberFormat="1"/>
    <xf numFmtId="164" fontId="0" fillId="0" borderId="0" xfId="1" applyNumberFormat="1" applyFont="1"/>
    <xf numFmtId="0" fontId="0" fillId="0" borderId="42" xfId="0" applyBorder="1" applyAlignment="1">
      <alignment horizontal="right"/>
    </xf>
    <xf numFmtId="166" fontId="0" fillId="0" borderId="43" xfId="2" applyNumberFormat="1" applyFont="1" applyBorder="1"/>
    <xf numFmtId="164" fontId="0" fillId="0" borderId="0" xfId="0" applyNumberFormat="1"/>
    <xf numFmtId="164" fontId="0" fillId="0" borderId="0" xfId="1" applyNumberFormat="1" applyFont="1" applyFill="1" applyBorder="1"/>
    <xf numFmtId="0" fontId="0" fillId="0" borderId="0" xfId="0" applyAlignment="1">
      <alignment horizontal="right"/>
    </xf>
    <xf numFmtId="166" fontId="2" fillId="0" borderId="16" xfId="4" applyNumberFormat="1" applyBorder="1"/>
    <xf numFmtId="166" fontId="2" fillId="0" borderId="17" xfId="4" applyNumberFormat="1" applyBorder="1"/>
    <xf numFmtId="166" fontId="2" fillId="0" borderId="18" xfId="4" applyNumberFormat="1" applyBorder="1"/>
    <xf numFmtId="44" fontId="2" fillId="0" borderId="48" xfId="4" applyNumberFormat="1" applyBorder="1"/>
    <xf numFmtId="44" fontId="2" fillId="0" borderId="49" xfId="4" applyNumberFormat="1" applyBorder="1"/>
    <xf numFmtId="44" fontId="2" fillId="0" borderId="50" xfId="4" applyNumberFormat="1" applyBorder="1"/>
    <xf numFmtId="44" fontId="2" fillId="4" borderId="48" xfId="4" applyNumberFormat="1" applyFill="1" applyBorder="1"/>
    <xf numFmtId="44" fontId="2" fillId="4" borderId="49" xfId="4" applyNumberFormat="1" applyFill="1" applyBorder="1"/>
    <xf numFmtId="44" fontId="2" fillId="4" borderId="50" xfId="4" applyNumberFormat="1" applyFill="1" applyBorder="1"/>
    <xf numFmtId="166" fontId="2" fillId="0" borderId="19" xfId="4" applyNumberFormat="1" applyBorder="1"/>
    <xf numFmtId="166" fontId="2" fillId="0" borderId="21" xfId="4" applyNumberFormat="1" applyBorder="1"/>
    <xf numFmtId="166" fontId="6" fillId="0" borderId="19" xfId="4" applyNumberFormat="1" applyFont="1" applyBorder="1"/>
    <xf numFmtId="166" fontId="6" fillId="0" borderId="21" xfId="4" applyNumberFormat="1" applyFont="1" applyBorder="1"/>
    <xf numFmtId="0" fontId="48" fillId="0" borderId="0" xfId="0" applyFont="1" applyAlignment="1">
      <alignment horizontal="center"/>
    </xf>
    <xf numFmtId="0" fontId="49" fillId="0" borderId="0" xfId="0" applyFont="1"/>
    <xf numFmtId="0" fontId="4" fillId="0" borderId="0" xfId="0" applyFont="1"/>
    <xf numFmtId="0" fontId="40" fillId="0" borderId="0" xfId="0" applyFont="1"/>
    <xf numFmtId="166" fontId="40" fillId="0" borderId="0" xfId="0" applyNumberFormat="1" applyFont="1"/>
    <xf numFmtId="0" fontId="50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6" fillId="7" borderId="5" xfId="0" applyFont="1" applyFill="1" applyBorder="1" applyAlignment="1">
      <alignment horizontal="center"/>
    </xf>
    <xf numFmtId="0" fontId="26" fillId="7" borderId="0" xfId="0" applyFont="1" applyFill="1"/>
    <xf numFmtId="0" fontId="0" fillId="0" borderId="5" xfId="0" applyBorder="1"/>
    <xf numFmtId="0" fontId="0" fillId="9" borderId="5" xfId="0" applyFill="1" applyBorder="1"/>
    <xf numFmtId="166" fontId="0" fillId="0" borderId="5" xfId="2" applyNumberFormat="1" applyFont="1" applyBorder="1"/>
    <xf numFmtId="166" fontId="26" fillId="7" borderId="5" xfId="2" applyNumberFormat="1" applyFont="1" applyFill="1" applyBorder="1" applyAlignment="1">
      <alignment horizontal="center"/>
    </xf>
    <xf numFmtId="0" fontId="26" fillId="7" borderId="0" xfId="0" applyFont="1" applyFill="1" applyAlignment="1">
      <alignment horizontal="center"/>
    </xf>
    <xf numFmtId="164" fontId="0" fillId="0" borderId="5" xfId="1" applyNumberFormat="1" applyFont="1" applyBorder="1"/>
    <xf numFmtId="9" fontId="0" fillId="9" borderId="5" xfId="3" applyFont="1" applyFill="1" applyBorder="1"/>
    <xf numFmtId="0" fontId="50" fillId="0" borderId="0" xfId="0" applyFont="1"/>
    <xf numFmtId="166" fontId="20" fillId="8" borderId="32" xfId="2" applyNumberFormat="1" applyFont="1" applyFill="1" applyBorder="1" applyAlignment="1">
      <alignment horizontal="left" indent="1"/>
    </xf>
    <xf numFmtId="44" fontId="20" fillId="0" borderId="32" xfId="2" applyFont="1" applyBorder="1" applyAlignment="1">
      <alignment horizontal="left" indent="1"/>
    </xf>
    <xf numFmtId="164" fontId="20" fillId="2" borderId="32" xfId="1" applyNumberFormat="1" applyFont="1" applyFill="1" applyBorder="1" applyAlignment="1">
      <alignment horizontal="left" indent="1"/>
    </xf>
    <xf numFmtId="0" fontId="4" fillId="11" borderId="0" xfId="0" applyFont="1" applyFill="1"/>
    <xf numFmtId="0" fontId="4" fillId="11" borderId="0" xfId="0" applyFont="1" applyFill="1" applyAlignment="1">
      <alignment horizontal="center" wrapText="1"/>
    </xf>
    <xf numFmtId="164" fontId="2" fillId="0" borderId="0" xfId="1" applyNumberFormat="1" applyFont="1" applyAlignment="1">
      <alignment wrapText="1"/>
    </xf>
    <xf numFmtId="164" fontId="4" fillId="0" borderId="0" xfId="1" applyNumberFormat="1" applyFont="1"/>
    <xf numFmtId="164" fontId="40" fillId="0" borderId="0" xfId="1" applyNumberFormat="1" applyFont="1"/>
    <xf numFmtId="0" fontId="4" fillId="0" borderId="0" xfId="0" applyFont="1" applyAlignment="1">
      <alignment horizontal="center" wrapText="1"/>
    </xf>
    <xf numFmtId="0" fontId="40" fillId="0" borderId="5" xfId="0" applyFont="1" applyBorder="1"/>
    <xf numFmtId="164" fontId="40" fillId="0" borderId="5" xfId="1" applyNumberFormat="1" applyFont="1" applyBorder="1"/>
    <xf numFmtId="0" fontId="4" fillId="0" borderId="32" xfId="4" applyFont="1" applyBorder="1"/>
    <xf numFmtId="0" fontId="25" fillId="0" borderId="0" xfId="0" applyFont="1" applyAlignment="1">
      <alignment horizontal="left" vertical="center" wrapText="1" indent="2"/>
    </xf>
    <xf numFmtId="0" fontId="53" fillId="0" borderId="22" xfId="0" applyFont="1" applyBorder="1"/>
    <xf numFmtId="0" fontId="50" fillId="0" borderId="3" xfId="0" applyFont="1" applyBorder="1" applyAlignment="1">
      <alignment horizontal="right"/>
    </xf>
    <xf numFmtId="0" fontId="50" fillId="0" borderId="25" xfId="0" applyFont="1" applyBorder="1" applyAlignment="1">
      <alignment horizontal="right"/>
    </xf>
    <xf numFmtId="171" fontId="51" fillId="0" borderId="0" xfId="0" applyNumberFormat="1" applyFont="1" applyAlignment="1">
      <alignment horizontal="center"/>
    </xf>
    <xf numFmtId="0" fontId="50" fillId="0" borderId="24" xfId="0" applyFont="1" applyBorder="1"/>
    <xf numFmtId="0" fontId="51" fillId="0" borderId="24" xfId="0" applyFont="1" applyBorder="1"/>
    <xf numFmtId="0" fontId="50" fillId="0" borderId="27" xfId="0" applyFont="1" applyBorder="1"/>
    <xf numFmtId="0" fontId="50" fillId="6" borderId="22" xfId="0" applyFont="1" applyFill="1" applyBorder="1"/>
    <xf numFmtId="0" fontId="50" fillId="6" borderId="27" xfId="0" applyFont="1" applyFill="1" applyBorder="1"/>
    <xf numFmtId="0" fontId="50" fillId="6" borderId="22" xfId="6" applyFont="1" applyFill="1" applyBorder="1"/>
    <xf numFmtId="0" fontId="50" fillId="6" borderId="24" xfId="6" applyFont="1" applyFill="1" applyBorder="1"/>
    <xf numFmtId="0" fontId="50" fillId="6" borderId="27" xfId="0" applyFont="1" applyFill="1" applyBorder="1" applyAlignment="1">
      <alignment horizontal="right"/>
    </xf>
    <xf numFmtId="0" fontId="51" fillId="6" borderId="3" xfId="0" applyFont="1" applyFill="1" applyBorder="1"/>
    <xf numFmtId="0" fontId="50" fillId="6" borderId="24" xfId="0" quotePrefix="1" applyFont="1" applyFill="1" applyBorder="1"/>
    <xf numFmtId="0" fontId="50" fillId="6" borderId="26" xfId="6" applyFont="1" applyFill="1" applyBorder="1" applyAlignment="1">
      <alignment horizontal="center"/>
    </xf>
    <xf numFmtId="0" fontId="50" fillId="6" borderId="0" xfId="0" applyFont="1" applyFill="1"/>
    <xf numFmtId="0" fontId="51" fillId="6" borderId="0" xfId="0" applyFont="1" applyFill="1"/>
    <xf numFmtId="0" fontId="41" fillId="0" borderId="0" xfId="0" applyFont="1"/>
    <xf numFmtId="0" fontId="54" fillId="0" borderId="0" xfId="0" applyFont="1"/>
    <xf numFmtId="0" fontId="41" fillId="0" borderId="6" xfId="0" applyFont="1" applyBorder="1"/>
    <xf numFmtId="0" fontId="41" fillId="0" borderId="6" xfId="0" applyFont="1" applyBorder="1" applyAlignment="1">
      <alignment horizontal="right"/>
    </xf>
    <xf numFmtId="0" fontId="41" fillId="0" borderId="23" xfId="0" applyFont="1" applyBorder="1" applyAlignment="1">
      <alignment horizontal="right"/>
    </xf>
    <xf numFmtId="0" fontId="41" fillId="0" borderId="24" xfId="0" applyFont="1" applyBorder="1"/>
    <xf numFmtId="166" fontId="41" fillId="0" borderId="0" xfId="0" applyNumberFormat="1" applyFont="1"/>
    <xf numFmtId="166" fontId="41" fillId="0" borderId="26" xfId="5" applyNumberFormat="1" applyFont="1" applyFill="1" applyBorder="1"/>
    <xf numFmtId="0" fontId="41" fillId="0" borderId="26" xfId="0" applyFont="1" applyBorder="1"/>
    <xf numFmtId="166" fontId="41" fillId="0" borderId="0" xfId="5" applyNumberFormat="1" applyFont="1" applyFill="1" applyBorder="1"/>
    <xf numFmtId="166" fontId="41" fillId="0" borderId="25" xfId="5" applyNumberFormat="1" applyFont="1" applyFill="1" applyBorder="1"/>
    <xf numFmtId="166" fontId="41" fillId="0" borderId="23" xfId="5" applyNumberFormat="1" applyFont="1" applyFill="1" applyBorder="1"/>
    <xf numFmtId="166" fontId="41" fillId="0" borderId="26" xfId="0" applyNumberFormat="1" applyFont="1" applyBorder="1"/>
    <xf numFmtId="0" fontId="41" fillId="0" borderId="3" xfId="0" applyFont="1" applyBorder="1"/>
    <xf numFmtId="2" fontId="41" fillId="0" borderId="25" xfId="0" applyNumberFormat="1" applyFont="1" applyBorder="1"/>
    <xf numFmtId="0" fontId="41" fillId="5" borderId="0" xfId="0" applyFont="1" applyFill="1"/>
    <xf numFmtId="0" fontId="41" fillId="6" borderId="6" xfId="0" applyFont="1" applyFill="1" applyBorder="1"/>
    <xf numFmtId="166" fontId="41" fillId="6" borderId="23" xfId="0" applyNumberFormat="1" applyFont="1" applyFill="1" applyBorder="1"/>
    <xf numFmtId="0" fontId="41" fillId="6" borderId="3" xfId="0" applyFont="1" applyFill="1" applyBorder="1"/>
    <xf numFmtId="2" fontId="41" fillId="6" borderId="25" xfId="0" applyNumberFormat="1" applyFont="1" applyFill="1" applyBorder="1"/>
    <xf numFmtId="3" fontId="41" fillId="6" borderId="23" xfId="0" applyNumberFormat="1" applyFont="1" applyFill="1" applyBorder="1"/>
    <xf numFmtId="0" fontId="41" fillId="6" borderId="0" xfId="0" applyFont="1" applyFill="1"/>
    <xf numFmtId="3" fontId="41" fillId="6" borderId="26" xfId="0" applyNumberFormat="1" applyFont="1" applyFill="1" applyBorder="1"/>
    <xf numFmtId="43" fontId="41" fillId="6" borderId="25" xfId="7" applyFont="1" applyFill="1" applyBorder="1"/>
    <xf numFmtId="166" fontId="41" fillId="6" borderId="23" xfId="5" applyNumberFormat="1" applyFont="1" applyFill="1" applyBorder="1"/>
    <xf numFmtId="166" fontId="41" fillId="6" borderId="0" xfId="5" applyNumberFormat="1" applyFont="1" applyFill="1" applyBorder="1"/>
    <xf numFmtId="9" fontId="41" fillId="6" borderId="25" xfId="3" applyFont="1" applyFill="1" applyBorder="1"/>
    <xf numFmtId="164" fontId="41" fillId="6" borderId="0" xfId="1" applyNumberFormat="1" applyFont="1" applyFill="1" applyBorder="1"/>
    <xf numFmtId="166" fontId="38" fillId="0" borderId="31" xfId="2" applyNumberFormat="1" applyFont="1" applyBorder="1"/>
    <xf numFmtId="0" fontId="6" fillId="0" borderId="3" xfId="0" applyFont="1" applyBorder="1" applyAlignment="1">
      <alignment horizontal="center" wrapText="1"/>
    </xf>
    <xf numFmtId="10" fontId="0" fillId="0" borderId="0" xfId="0" applyNumberFormat="1"/>
    <xf numFmtId="9" fontId="0" fillId="0" borderId="0" xfId="0" applyNumberFormat="1"/>
    <xf numFmtId="169" fontId="6" fillId="0" borderId="0" xfId="0" applyNumberFormat="1" applyFont="1"/>
    <xf numFmtId="0" fontId="1" fillId="0" borderId="0" xfId="0" applyFont="1" applyAlignment="1">
      <alignment horizontal="center"/>
    </xf>
    <xf numFmtId="4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5" fillId="0" borderId="0" xfId="0" applyFont="1" applyAlignment="1">
      <alignment horizontal="left" wrapText="1" indent="1"/>
    </xf>
    <xf numFmtId="0" fontId="6" fillId="0" borderId="2" xfId="0" applyFont="1" applyBorder="1" applyAlignment="1">
      <alignment wrapText="1"/>
    </xf>
    <xf numFmtId="0" fontId="11" fillId="0" borderId="0" xfId="0" applyFont="1" applyAlignment="1">
      <alignment wrapText="1"/>
    </xf>
    <xf numFmtId="164" fontId="6" fillId="0" borderId="0" xfId="0" applyNumberFormat="1" applyFont="1" applyAlignment="1">
      <alignment horizontal="center" wrapText="1"/>
    </xf>
    <xf numFmtId="175" fontId="20" fillId="0" borderId="5" xfId="2" applyNumberFormat="1" applyFont="1" applyFill="1" applyBorder="1"/>
    <xf numFmtId="0" fontId="4" fillId="0" borderId="0" xfId="4" applyFont="1" applyAlignment="1">
      <alignment wrapText="1"/>
    </xf>
    <xf numFmtId="0" fontId="4" fillId="0" borderId="0" xfId="4" applyFont="1"/>
    <xf numFmtId="0" fontId="4" fillId="0" borderId="0" xfId="4" applyFont="1" applyAlignment="1">
      <alignment horizontal="center"/>
    </xf>
    <xf numFmtId="10" fontId="4" fillId="0" borderId="0" xfId="4" applyNumberFormat="1" applyFont="1" applyAlignment="1">
      <alignment horizontal="center"/>
    </xf>
    <xf numFmtId="0" fontId="2" fillId="0" borderId="0" xfId="4" applyAlignment="1">
      <alignment horizontal="center"/>
    </xf>
    <xf numFmtId="170" fontId="2" fillId="0" borderId="0" xfId="4" applyNumberFormat="1" applyAlignment="1">
      <alignment horizontal="center"/>
    </xf>
    <xf numFmtId="44" fontId="2" fillId="7" borderId="16" xfId="4" applyNumberFormat="1" applyFill="1" applyBorder="1"/>
    <xf numFmtId="44" fontId="2" fillId="7" borderId="17" xfId="4" applyNumberFormat="1" applyFill="1" applyBorder="1"/>
    <xf numFmtId="44" fontId="2" fillId="7" borderId="18" xfId="4" applyNumberFormat="1" applyFill="1" applyBorder="1"/>
    <xf numFmtId="44" fontId="2" fillId="7" borderId="19" xfId="4" applyNumberFormat="1" applyFill="1" applyBorder="1"/>
    <xf numFmtId="44" fontId="2" fillId="0" borderId="16" xfId="2" applyFont="1" applyBorder="1"/>
    <xf numFmtId="44" fontId="2" fillId="0" borderId="17" xfId="2" applyFont="1" applyBorder="1"/>
    <xf numFmtId="44" fontId="2" fillId="0" borderId="18" xfId="2" applyFont="1" applyBorder="1"/>
    <xf numFmtId="44" fontId="2" fillId="3" borderId="16" xfId="2" applyFont="1" applyFill="1" applyBorder="1"/>
    <xf numFmtId="44" fontId="2" fillId="3" borderId="17" xfId="2" applyFont="1" applyFill="1" applyBorder="1"/>
    <xf numFmtId="44" fontId="2" fillId="3" borderId="18" xfId="2" applyFont="1" applyFill="1" applyBorder="1"/>
    <xf numFmtId="0" fontId="4" fillId="4" borderId="8" xfId="4" applyFont="1" applyFill="1" applyBorder="1" applyAlignment="1">
      <alignment horizontal="center"/>
    </xf>
    <xf numFmtId="0" fontId="4" fillId="4" borderId="9" xfId="4" applyFont="1" applyFill="1" applyBorder="1" applyAlignment="1">
      <alignment horizontal="center"/>
    </xf>
    <xf numFmtId="0" fontId="4" fillId="4" borderId="10" xfId="4" applyFont="1" applyFill="1" applyBorder="1" applyAlignment="1">
      <alignment horizontal="center"/>
    </xf>
    <xf numFmtId="0" fontId="45" fillId="0" borderId="3" xfId="4" applyFont="1" applyBorder="1" applyAlignment="1">
      <alignment horizontal="center"/>
    </xf>
    <xf numFmtId="0" fontId="4" fillId="0" borderId="8" xfId="4" applyFont="1" applyBorder="1" applyAlignment="1">
      <alignment horizontal="center"/>
    </xf>
    <xf numFmtId="0" fontId="4" fillId="0" borderId="9" xfId="4" applyFont="1" applyBorder="1" applyAlignment="1">
      <alignment horizontal="center"/>
    </xf>
    <xf numFmtId="0" fontId="4" fillId="0" borderId="10" xfId="4" applyFont="1" applyBorder="1" applyAlignment="1">
      <alignment horizontal="center"/>
    </xf>
    <xf numFmtId="0" fontId="4" fillId="0" borderId="8" xfId="4" applyFont="1" applyBorder="1" applyAlignment="1">
      <alignment horizontal="center" wrapText="1"/>
    </xf>
    <xf numFmtId="0" fontId="4" fillId="0" borderId="45" xfId="4" applyFont="1" applyBorder="1" applyAlignment="1">
      <alignment horizontal="center"/>
    </xf>
    <xf numFmtId="0" fontId="4" fillId="0" borderId="46" xfId="4" applyFont="1" applyBorder="1" applyAlignment="1">
      <alignment horizontal="center"/>
    </xf>
    <xf numFmtId="0" fontId="4" fillId="0" borderId="47" xfId="4" applyFont="1" applyBorder="1" applyAlignment="1">
      <alignment horizontal="center"/>
    </xf>
    <xf numFmtId="0" fontId="0" fillId="0" borderId="0" xfId="0" applyAlignment="1">
      <alignment horizontal="center"/>
    </xf>
    <xf numFmtId="185" fontId="20" fillId="0" borderId="0" xfId="3" applyNumberFormat="1" applyFont="1"/>
  </cellXfs>
  <cellStyles count="20">
    <cellStyle name="20% - Accent6 5 2 2 2 2 2 3" xfId="12" xr:uid="{49E11986-0DCD-47DE-A17F-A9B79B22DE2C}"/>
    <cellStyle name="Comma" xfId="1" builtinId="3"/>
    <cellStyle name="Comma 2" xfId="7" xr:uid="{D46C6C48-8565-4F9A-95A4-DEB7BA773B7B}"/>
    <cellStyle name="Comma 3" xfId="18" xr:uid="{96ACEA40-A28B-4D62-B093-3B56D90A51B1}"/>
    <cellStyle name="Currency" xfId="2" builtinId="4"/>
    <cellStyle name="Currency 2" xfId="5" xr:uid="{F39512C8-E402-4673-B895-D8483EF94306}"/>
    <cellStyle name="Currency 2 2" xfId="19" xr:uid="{144FA278-1425-47F7-8D63-5CF14D698F0D}"/>
    <cellStyle name="Currency 9" xfId="13" xr:uid="{5DA50F04-228F-44D6-A20D-B21DDE379E80}"/>
    <cellStyle name="Normal" xfId="0" builtinId="0"/>
    <cellStyle name="Normal 13" xfId="15" xr:uid="{0722E2AE-BA92-4A28-A345-F6D22A2AD060}"/>
    <cellStyle name="Normal 15" xfId="11" xr:uid="{C1A01807-42F7-4BD4-BB22-EFC6BC3DCA38}"/>
    <cellStyle name="Normal 16" xfId="10" xr:uid="{BB558B97-370B-4BDC-B34C-02C5C78FE6AE}"/>
    <cellStyle name="Normal 2" xfId="8" xr:uid="{0C032CFC-8CD2-4DCD-8359-DC439F961542}"/>
    <cellStyle name="Normal 3" xfId="16" xr:uid="{A48944A0-DAED-4C01-B19E-A96C23E61D05}"/>
    <cellStyle name="Normal 4" xfId="4" xr:uid="{37440A20-F27E-4497-8041-E6085F72DC79}"/>
    <cellStyle name="Normal 5" xfId="17" xr:uid="{00725A65-85EC-43F3-8C12-76DEDD44CA14}"/>
    <cellStyle name="Normal 7" xfId="9" xr:uid="{51A272BA-5690-4F77-B0EC-6342895E3F7D}"/>
    <cellStyle name="Normal_Nor03rc2" xfId="6" xr:uid="{BC6E998A-6305-4D94-B1B8-F5FE297B89A0}"/>
    <cellStyle name="Percent" xfId="3" builtinId="5"/>
    <cellStyle name="Percent 5" xfId="14" xr:uid="{1AD4A83A-D3EA-431E-9517-2D5CA963B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199735</xdr:colOff>
      <xdr:row>6</xdr:row>
      <xdr:rowOff>83126</xdr:rowOff>
    </xdr:from>
    <xdr:to>
      <xdr:col>6</xdr:col>
      <xdr:colOff>368300</xdr:colOff>
      <xdr:row>44</xdr:row>
      <xdr:rowOff>8572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67E3A0-130F-4011-BC8B-6DFD9DCAB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735" y="1302326"/>
          <a:ext cx="6213765" cy="66818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197166</xdr:colOff>
      <xdr:row>7</xdr:row>
      <xdr:rowOff>143509</xdr:rowOff>
    </xdr:from>
    <xdr:to>
      <xdr:col>4</xdr:col>
      <xdr:colOff>190500</xdr:colOff>
      <xdr:row>53</xdr:row>
      <xdr:rowOff>41474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F751370-35E2-4E0B-BBC1-04FC4A7A4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6" y="1388109"/>
          <a:ext cx="6762434" cy="8076765"/>
        </a:xfrm>
        <a:prstGeom prst="rect">
          <a:avLst/>
        </a:prstGeom>
      </xdr:spPr>
    </xdr:pic>
    <xdr:clientData/>
  </xdr:twoCellAnchor>
  <xdr:twoCellAnchor editAs="oneCell">
    <xdr:from>
      <xdr:col>0</xdr:col>
      <xdr:colOff>238442</xdr:colOff>
      <xdr:row>56</xdr:row>
      <xdr:rowOff>23495</xdr:rowOff>
    </xdr:from>
    <xdr:to>
      <xdr:col>4</xdr:col>
      <xdr:colOff>268066</xdr:colOff>
      <xdr:row>101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996B3BA-E91F-48C0-88DE-F7E098A11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442" y="9980295"/>
          <a:ext cx="6798724" cy="7977505"/>
        </a:xfrm>
        <a:prstGeom prst="rect">
          <a:avLst/>
        </a:prstGeom>
      </xdr:spPr>
    </xdr:pic>
    <xdr:clientData/>
  </xdr:twoCellAnchor>
  <xdr:twoCellAnchor>
    <xdr:from>
      <xdr:col>5</xdr:col>
      <xdr:colOff>350520</xdr:colOff>
      <xdr:row>2</xdr:row>
      <xdr:rowOff>175260</xdr:rowOff>
    </xdr:from>
    <xdr:to>
      <xdr:col>7</xdr:col>
      <xdr:colOff>1341120</xdr:colOff>
      <xdr:row>8</xdr:row>
      <xdr:rowOff>28575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A5BC232-34D8-863C-994F-3A644C10CCE0}"/>
            </a:ext>
          </a:extLst>
        </xdr:cNvPr>
        <xdr:cNvSpPr txBox="1"/>
      </xdr:nvSpPr>
      <xdr:spPr>
        <a:xfrm>
          <a:off x="8037195" y="541973"/>
          <a:ext cx="2628900" cy="93916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/>
            <a:t>Full Contract included in PDF Exhibits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240028</xdr:colOff>
      <xdr:row>6</xdr:row>
      <xdr:rowOff>47307</xdr:rowOff>
    </xdr:from>
    <xdr:to>
      <xdr:col>3</xdr:col>
      <xdr:colOff>1553260</xdr:colOff>
      <xdr:row>33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52B63-98C1-4D56-B702-E6A05B132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028" y="1114107"/>
          <a:ext cx="4754932" cy="4778693"/>
        </a:xfrm>
        <a:prstGeom prst="rect">
          <a:avLst/>
        </a:prstGeom>
      </xdr:spPr>
    </xdr:pic>
    <xdr:clientData/>
  </xdr:twoCellAnchor>
  <xdr:twoCellAnchor editAs="oneCell">
    <xdr:from>
      <xdr:col>0</xdr:col>
      <xdr:colOff>212088</xdr:colOff>
      <xdr:row>37</xdr:row>
      <xdr:rowOff>48257</xdr:rowOff>
    </xdr:from>
    <xdr:to>
      <xdr:col>3</xdr:col>
      <xdr:colOff>1565994</xdr:colOff>
      <xdr:row>62</xdr:row>
      <xdr:rowOff>87946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D74E51E-9453-4723-8385-D3CCB2622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2088" y="6626857"/>
          <a:ext cx="4795606" cy="4484689"/>
        </a:xfrm>
        <a:prstGeom prst="rect">
          <a:avLst/>
        </a:prstGeom>
      </xdr:spPr>
    </xdr:pic>
    <xdr:clientData/>
  </xdr:twoCellAnchor>
  <xdr:twoCellAnchor editAs="oneCell">
    <xdr:from>
      <xdr:col>1</xdr:col>
      <xdr:colOff>32065</xdr:colOff>
      <xdr:row>67</xdr:row>
      <xdr:rowOff>96836</xdr:rowOff>
    </xdr:from>
    <xdr:to>
      <xdr:col>3</xdr:col>
      <xdr:colOff>1502993</xdr:colOff>
      <xdr:row>83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8B5F45E-FC44-46D6-84F9-E9884590A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6065" y="12009436"/>
          <a:ext cx="4658628" cy="28241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291461</xdr:colOff>
      <xdr:row>6</xdr:row>
      <xdr:rowOff>121284</xdr:rowOff>
    </xdr:from>
    <xdr:to>
      <xdr:col>4</xdr:col>
      <xdr:colOff>1036264</xdr:colOff>
      <xdr:row>42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15BCE6-2C29-8820-181C-4E28A2AD9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1461" y="1188084"/>
          <a:ext cx="5075503" cy="6355716"/>
        </a:xfrm>
        <a:prstGeom prst="rect">
          <a:avLst/>
        </a:prstGeom>
      </xdr:spPr>
    </xdr:pic>
    <xdr:clientData/>
  </xdr:twoCellAnchor>
  <xdr:twoCellAnchor>
    <xdr:from>
      <xdr:col>5</xdr:col>
      <xdr:colOff>134937</xdr:colOff>
      <xdr:row>3</xdr:row>
      <xdr:rowOff>119062</xdr:rowOff>
    </xdr:from>
    <xdr:to>
      <xdr:col>7</xdr:col>
      <xdr:colOff>1125537</xdr:colOff>
      <xdr:row>8</xdr:row>
      <xdr:rowOff>154940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2E6B4F1-579E-445A-BEC4-D729B7158906}"/>
            </a:ext>
          </a:extLst>
        </xdr:cNvPr>
        <xdr:cNvSpPr txBox="1"/>
      </xdr:nvSpPr>
      <xdr:spPr>
        <a:xfrm>
          <a:off x="5778500" y="666750"/>
          <a:ext cx="2625725" cy="94869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/>
            <a:t>Full Contract included in PDF Exhibits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136525</xdr:colOff>
      <xdr:row>7</xdr:row>
      <xdr:rowOff>88900</xdr:rowOff>
    </xdr:from>
    <xdr:to>
      <xdr:col>3</xdr:col>
      <xdr:colOff>794272</xdr:colOff>
      <xdr:row>51</xdr:row>
      <xdr:rowOff>16248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84F124-CDD2-41CE-994D-30678825E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1549400"/>
          <a:ext cx="6258447" cy="775054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7</xdr:row>
      <xdr:rowOff>25400</xdr:rowOff>
    </xdr:from>
    <xdr:to>
      <xdr:col>3</xdr:col>
      <xdr:colOff>885091</xdr:colOff>
      <xdr:row>51</xdr:row>
      <xdr:rowOff>73726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951BA5-E6CF-491C-8A74-254502EA3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300" y="1485900"/>
          <a:ext cx="6422291" cy="78715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156527</xdr:colOff>
      <xdr:row>8</xdr:row>
      <xdr:rowOff>175895</xdr:rowOff>
    </xdr:from>
    <xdr:to>
      <xdr:col>3</xdr:col>
      <xdr:colOff>758405</xdr:colOff>
      <xdr:row>53</xdr:row>
      <xdr:rowOff>3556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0806DB-78A9-4E3C-B8B8-D2356C5D3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527" y="1814195"/>
          <a:ext cx="6380378" cy="782866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61277</xdr:colOff>
      <xdr:row>7</xdr:row>
      <xdr:rowOff>28574</xdr:rowOff>
    </xdr:from>
    <xdr:to>
      <xdr:col>4</xdr:col>
      <xdr:colOff>1388019</xdr:colOff>
      <xdr:row>44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E30CCB-E30E-4E85-8C38-BE0F73182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277" y="1489074"/>
          <a:ext cx="6368642" cy="6638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100118</xdr:colOff>
      <xdr:row>7</xdr:row>
      <xdr:rowOff>6772</xdr:rowOff>
    </xdr:from>
    <xdr:to>
      <xdr:col>4</xdr:col>
      <xdr:colOff>1052736</xdr:colOff>
      <xdr:row>55</xdr:row>
      <xdr:rowOff>162772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703E4E-3C60-4256-933B-F22388F2D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18" y="1467272"/>
          <a:ext cx="7747118" cy="8690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58208</xdr:rowOff>
    </xdr:from>
    <xdr:to>
      <xdr:col>4</xdr:col>
      <xdr:colOff>904001</xdr:colOff>
      <xdr:row>107</xdr:row>
      <xdr:rowOff>138747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5734E26-4428-4BA3-8343-F80797A70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586508"/>
          <a:ext cx="7698501" cy="8792739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108</xdr:row>
      <xdr:rowOff>72328</xdr:rowOff>
    </xdr:from>
    <xdr:to>
      <xdr:col>4</xdr:col>
      <xdr:colOff>1056853</xdr:colOff>
      <xdr:row>145</xdr:row>
      <xdr:rowOff>56937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B78E1F9-1411-42E6-A770-B3D93BCDA6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23462"/>
        <a:stretch>
          <a:fillRect/>
        </a:stretch>
      </xdr:blipFill>
      <xdr:spPr>
        <a:xfrm>
          <a:off x="165100" y="19490628"/>
          <a:ext cx="7686253" cy="65632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7E69CD3-4CF0-4CE6-B6C8-8677DBDD3AAC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1ed0db07-06da-4f99-9f2f-84b7dc43e59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7E55-58DA-4668-AE93-563A744AC475}">
  <sheetPr>
    <tabColor theme="8" tint="-0.249977111117893"/>
  </sheetPr>
  <dimension ref="A1:N68"/>
  <sheetViews>
    <sheetView view="pageBreakPreview" topLeftCell="A17" zoomScaleNormal="120" zoomScaleSheetLayoutView="100" workbookViewId="0">
      <selection activeCell="A17" sqref="A17"/>
    </sheetView>
  </sheetViews>
  <sheetFormatPr defaultColWidth="11.33203125" defaultRowHeight="14.4" x14ac:dyDescent="0.3"/>
  <cols>
    <col min="1" max="1" width="5.5546875" style="1" customWidth="1"/>
    <col min="2" max="2" width="10.33203125" style="1" customWidth="1"/>
    <col min="3" max="3" width="31.5546875" style="1" customWidth="1"/>
    <col min="4" max="4" width="11.88671875" style="1" customWidth="1"/>
    <col min="5" max="5" width="12.44140625" style="1" customWidth="1"/>
    <col min="6" max="6" width="11.21875" style="1" customWidth="1"/>
    <col min="7" max="7" width="2.44140625" style="1" customWidth="1"/>
    <col min="8" max="8" width="34.6640625" style="1" customWidth="1"/>
    <col min="9" max="9" width="3.44140625" style="1" customWidth="1"/>
    <col min="10" max="10" width="46.88671875" style="1" customWidth="1"/>
    <col min="11" max="11" width="11.5546875" style="1" bestFit="1" customWidth="1"/>
    <col min="12" max="12" width="11.5546875" style="1" customWidth="1"/>
    <col min="13" max="13" width="11.5546875" style="1" bestFit="1" customWidth="1"/>
    <col min="14" max="14" width="11.33203125" style="1"/>
    <col min="15" max="15" width="42.88671875" style="1" bestFit="1" customWidth="1"/>
    <col min="16" max="16" width="13.33203125" style="1" customWidth="1"/>
    <col min="17" max="16384" width="11.33203125" style="1"/>
  </cols>
  <sheetData>
    <row r="1" spans="1:14" ht="18.600000000000001" thickBot="1" x14ac:dyDescent="0.4">
      <c r="B1" s="2" t="s">
        <v>0</v>
      </c>
      <c r="D1" s="3"/>
      <c r="E1" s="3"/>
      <c r="H1" s="4" t="s">
        <v>1</v>
      </c>
    </row>
    <row r="2" spans="1:14" ht="18" x14ac:dyDescent="0.35">
      <c r="B2" s="2" t="s">
        <v>2</v>
      </c>
      <c r="D2" s="3"/>
      <c r="E2" s="3"/>
      <c r="F2" s="5"/>
    </row>
    <row r="3" spans="1:14" ht="15.6" x14ac:dyDescent="0.3">
      <c r="B3" s="6" t="s">
        <v>3</v>
      </c>
      <c r="D3" s="3"/>
      <c r="E3" s="3"/>
    </row>
    <row r="4" spans="1:14" ht="15.6" x14ac:dyDescent="0.3">
      <c r="B4" s="7" t="s">
        <v>4</v>
      </c>
      <c r="C4" s="8" t="s">
        <v>5</v>
      </c>
      <c r="D4" s="3"/>
      <c r="E4" s="3"/>
    </row>
    <row r="5" spans="1:14" ht="15.6" x14ac:dyDescent="0.3">
      <c r="B5" s="7" t="s">
        <v>6</v>
      </c>
      <c r="C5" s="8" t="s">
        <v>7</v>
      </c>
      <c r="D5" s="3"/>
      <c r="E5" s="3"/>
    </row>
    <row r="6" spans="1:14" ht="15.6" x14ac:dyDescent="0.3">
      <c r="B6" s="7" t="s">
        <v>8</v>
      </c>
      <c r="C6" s="9">
        <v>46163</v>
      </c>
      <c r="D6" s="3"/>
      <c r="E6" s="3"/>
    </row>
    <row r="7" spans="1:14" s="11" customFormat="1" ht="29.4" thickBot="1" x14ac:dyDescent="0.35">
      <c r="B7" s="398"/>
      <c r="C7" s="399"/>
      <c r="D7" s="400" t="s">
        <v>9</v>
      </c>
      <c r="E7" s="400"/>
      <c r="F7" s="14" t="s">
        <v>10</v>
      </c>
      <c r="H7" s="398"/>
    </row>
    <row r="8" spans="1:14" ht="15.6" hidden="1" thickTop="1" thickBot="1" x14ac:dyDescent="0.35">
      <c r="C8" s="1" t="s">
        <v>11</v>
      </c>
      <c r="D8" s="10">
        <f>F8-1</f>
        <v>2023</v>
      </c>
      <c r="E8" s="10"/>
      <c r="F8" s="10">
        <v>2024</v>
      </c>
      <c r="G8" s="10"/>
      <c r="H8" s="10"/>
    </row>
    <row r="9" spans="1:14" ht="30" customHeight="1" thickTop="1" x14ac:dyDescent="0.3">
      <c r="A9" s="11" t="s">
        <v>12</v>
      </c>
      <c r="B9" s="390" t="s">
        <v>13</v>
      </c>
      <c r="C9" s="13" t="s">
        <v>14</v>
      </c>
      <c r="D9" s="13" t="s">
        <v>15</v>
      </c>
      <c r="E9" s="13" t="s">
        <v>16</v>
      </c>
      <c r="F9" s="13" t="str">
        <f>"Rate Year "</f>
        <v xml:space="preserve">Rate Year </v>
      </c>
      <c r="G9" s="14"/>
      <c r="H9" s="12" t="s">
        <v>17</v>
      </c>
    </row>
    <row r="10" spans="1:14" x14ac:dyDescent="0.3">
      <c r="B10" s="10"/>
      <c r="C10" s="10"/>
      <c r="D10" s="15"/>
      <c r="E10" s="15"/>
      <c r="F10" s="16"/>
      <c r="G10" s="17"/>
      <c r="H10" s="18"/>
    </row>
    <row r="11" spans="1:14" x14ac:dyDescent="0.3">
      <c r="B11" s="10"/>
      <c r="C11" s="19" t="s">
        <v>18</v>
      </c>
      <c r="D11" s="20"/>
      <c r="E11" s="20"/>
      <c r="F11" s="20"/>
      <c r="H11" s="18"/>
    </row>
    <row r="12" spans="1:14" hidden="1" x14ac:dyDescent="0.3">
      <c r="A12" s="1">
        <v>1</v>
      </c>
      <c r="B12" s="10" t="s">
        <v>19</v>
      </c>
      <c r="C12" s="21" t="s">
        <v>20</v>
      </c>
      <c r="D12" s="22">
        <v>0</v>
      </c>
      <c r="E12" s="22">
        <f>'JEC-Jurczyk-10A'!E10+'JEC-Jurczyk-11A'!E9+'JEC-Jurczyk-12A'!E10</f>
        <v>0</v>
      </c>
      <c r="F12" s="22">
        <f>E12+D12</f>
        <v>0</v>
      </c>
      <c r="G12" s="22"/>
      <c r="H12" s="18"/>
      <c r="J12" s="23"/>
      <c r="K12" s="24"/>
      <c r="L12" s="24"/>
    </row>
    <row r="13" spans="1:14" x14ac:dyDescent="0.3">
      <c r="A13" s="1">
        <v>1</v>
      </c>
      <c r="B13" s="10" t="s">
        <v>21</v>
      </c>
      <c r="C13" s="21" t="s">
        <v>22</v>
      </c>
      <c r="D13" s="22">
        <v>820508</v>
      </c>
      <c r="E13" s="22">
        <f>F13-D13</f>
        <v>35546</v>
      </c>
      <c r="F13" s="22">
        <v>856054</v>
      </c>
      <c r="G13" s="25"/>
      <c r="H13" s="18" t="s">
        <v>23</v>
      </c>
      <c r="J13" s="23"/>
      <c r="K13" s="24"/>
      <c r="L13" s="24"/>
      <c r="M13" s="24"/>
    </row>
    <row r="14" spans="1:14" hidden="1" x14ac:dyDescent="0.3">
      <c r="A14" s="1">
        <f t="shared" ref="A14:A54" si="0">A13+1</f>
        <v>2</v>
      </c>
      <c r="B14" s="10" t="s">
        <v>24</v>
      </c>
      <c r="C14" s="21" t="s">
        <v>25</v>
      </c>
      <c r="D14" s="22">
        <v>-10119</v>
      </c>
      <c r="E14" s="22">
        <v>0</v>
      </c>
      <c r="F14" s="22">
        <f t="shared" ref="F14:F17" si="1">E14+D14</f>
        <v>-10119</v>
      </c>
      <c r="G14" s="22"/>
      <c r="H14" s="18"/>
      <c r="J14" s="26"/>
      <c r="K14" s="24"/>
      <c r="L14" s="24"/>
      <c r="M14" s="24"/>
    </row>
    <row r="15" spans="1:14" x14ac:dyDescent="0.3">
      <c r="A15" s="1">
        <f>A13+1</f>
        <v>2</v>
      </c>
      <c r="B15" s="10" t="s">
        <v>26</v>
      </c>
      <c r="C15" s="21" t="s">
        <v>27</v>
      </c>
      <c r="D15" s="22">
        <v>271671.64000000007</v>
      </c>
      <c r="E15" s="22">
        <f>'JEC-Jurczyk-10A'!E12+'JEC-Jurczyk-11A'!E11+'JEC-Jurczyk-12A'!E12</f>
        <v>-87.94999999999709</v>
      </c>
      <c r="F15" s="22">
        <f t="shared" si="1"/>
        <v>271583.69000000006</v>
      </c>
      <c r="G15" s="22"/>
      <c r="H15" s="18" t="s">
        <v>28</v>
      </c>
      <c r="J15" s="23"/>
      <c r="K15" s="24"/>
      <c r="L15" s="24"/>
      <c r="M15" s="24"/>
      <c r="N15" s="5"/>
    </row>
    <row r="16" spans="1:14" hidden="1" x14ac:dyDescent="0.3">
      <c r="A16" s="1">
        <f t="shared" si="0"/>
        <v>3</v>
      </c>
      <c r="B16" s="10" t="s">
        <v>29</v>
      </c>
      <c r="C16" s="21" t="s">
        <v>30</v>
      </c>
      <c r="D16" s="22">
        <v>18504.04</v>
      </c>
      <c r="E16" s="22">
        <f>'JEC-Jurczyk-11A'!E12+'JEC-Jurczyk-12A'!E13</f>
        <v>0</v>
      </c>
      <c r="F16" s="22">
        <f t="shared" si="1"/>
        <v>18504.04</v>
      </c>
      <c r="G16" s="27"/>
      <c r="H16" s="18"/>
      <c r="J16" s="23"/>
      <c r="K16" s="24"/>
      <c r="L16" s="24"/>
      <c r="M16" s="24"/>
      <c r="N16" s="5"/>
    </row>
    <row r="17" spans="1:14" x14ac:dyDescent="0.3">
      <c r="A17" s="1">
        <f>A15+1</f>
        <v>3</v>
      </c>
      <c r="B17" s="10" t="s">
        <v>31</v>
      </c>
      <c r="C17" s="21" t="s">
        <v>32</v>
      </c>
      <c r="D17" s="22">
        <v>383956.37000000005</v>
      </c>
      <c r="E17" s="22">
        <f>'JEC-Jurczyk-10A'!E14+'JEC-Jurczyk-11A'!E13+'JEC-Jurczyk-12A'!E14+'JEC-Jurczyk-10A'!E13</f>
        <v>118010.86666666667</v>
      </c>
      <c r="F17" s="22">
        <f t="shared" si="1"/>
        <v>501967.23666666669</v>
      </c>
      <c r="G17" s="27"/>
      <c r="H17" s="18" t="s">
        <v>350</v>
      </c>
      <c r="J17" s="23"/>
      <c r="K17" s="24"/>
      <c r="L17" s="24"/>
      <c r="M17" s="24"/>
      <c r="N17" s="5"/>
    </row>
    <row r="18" spans="1:14" x14ac:dyDescent="0.3">
      <c r="A18" s="1">
        <f t="shared" si="0"/>
        <v>4</v>
      </c>
      <c r="B18" s="10"/>
      <c r="C18" s="28" t="s">
        <v>33</v>
      </c>
      <c r="D18" s="29">
        <f>SUM(D12:D17)</f>
        <v>1484521.0500000003</v>
      </c>
      <c r="E18" s="29">
        <f>SUM(E12:E17)</f>
        <v>153468.91666666669</v>
      </c>
      <c r="F18" s="29">
        <f>SUM(F12:F17)</f>
        <v>1637989.9666666668</v>
      </c>
      <c r="G18" s="22"/>
      <c r="H18" s="18"/>
      <c r="J18" s="23"/>
      <c r="K18" s="24"/>
      <c r="L18" s="24"/>
    </row>
    <row r="19" spans="1:14" x14ac:dyDescent="0.3">
      <c r="A19" s="1">
        <f t="shared" si="0"/>
        <v>5</v>
      </c>
      <c r="B19" s="10"/>
      <c r="D19" s="30"/>
      <c r="E19" s="5"/>
      <c r="F19" s="5"/>
      <c r="H19" s="18"/>
      <c r="J19" s="23"/>
    </row>
    <row r="20" spans="1:14" x14ac:dyDescent="0.3">
      <c r="A20" s="1">
        <f t="shared" si="0"/>
        <v>6</v>
      </c>
      <c r="B20" s="10">
        <v>403</v>
      </c>
      <c r="C20" s="31" t="s">
        <v>34</v>
      </c>
      <c r="D20" s="22">
        <v>49226.8</v>
      </c>
      <c r="E20" s="32">
        <f>F20-D20</f>
        <v>0</v>
      </c>
      <c r="F20" s="32">
        <f>D20</f>
        <v>49226.8</v>
      </c>
      <c r="H20" s="18"/>
      <c r="J20" s="23"/>
    </row>
    <row r="21" spans="1:14" x14ac:dyDescent="0.3">
      <c r="A21" s="1">
        <f t="shared" si="0"/>
        <v>7</v>
      </c>
      <c r="B21" s="10" t="s">
        <v>35</v>
      </c>
      <c r="C21" s="33" t="s">
        <v>36</v>
      </c>
      <c r="D21" s="34">
        <v>0</v>
      </c>
      <c r="E21" s="34">
        <v>0</v>
      </c>
      <c r="F21" s="34">
        <v>0</v>
      </c>
      <c r="H21" s="18"/>
      <c r="J21" s="23"/>
    </row>
    <row r="22" spans="1:14" x14ac:dyDescent="0.3">
      <c r="A22" s="1">
        <f t="shared" si="0"/>
        <v>8</v>
      </c>
      <c r="B22" s="10"/>
      <c r="D22" s="5"/>
      <c r="E22" s="5"/>
      <c r="F22" s="5"/>
      <c r="H22" s="18"/>
      <c r="J22" s="23"/>
    </row>
    <row r="23" spans="1:14" x14ac:dyDescent="0.3">
      <c r="A23" s="1">
        <f t="shared" si="0"/>
        <v>9</v>
      </c>
      <c r="B23" s="10">
        <v>408</v>
      </c>
      <c r="C23" s="1" t="s">
        <v>37</v>
      </c>
      <c r="D23" s="5"/>
      <c r="E23" s="5"/>
      <c r="F23" s="5"/>
      <c r="H23" s="18"/>
      <c r="J23" s="23"/>
    </row>
    <row r="24" spans="1:14" x14ac:dyDescent="0.3">
      <c r="A24" s="1">
        <f t="shared" si="0"/>
        <v>10</v>
      </c>
      <c r="B24" s="10"/>
      <c r="C24" s="35" t="s">
        <v>38</v>
      </c>
      <c r="D24" s="22">
        <v>28977.73</v>
      </c>
      <c r="E24" s="22">
        <f>'JEC-Jurczyk-13A'!F12</f>
        <v>0</v>
      </c>
      <c r="F24" s="22">
        <f t="shared" ref="F24" si="2">E24+D24</f>
        <v>28977.73</v>
      </c>
      <c r="H24" s="36"/>
      <c r="J24" s="23"/>
    </row>
    <row r="25" spans="1:14" x14ac:dyDescent="0.3">
      <c r="A25" s="1">
        <f t="shared" si="0"/>
        <v>11</v>
      </c>
      <c r="B25" s="10"/>
      <c r="C25" s="35" t="s">
        <v>39</v>
      </c>
      <c r="D25" s="22">
        <v>7109.28</v>
      </c>
      <c r="E25" s="22">
        <f ca="1">K25*$F$53</f>
        <v>1209.7956646641169</v>
      </c>
      <c r="F25" s="5">
        <f ca="1">D25+E25</f>
        <v>8319.0756646641166</v>
      </c>
      <c r="H25" s="18" t="s">
        <v>351</v>
      </c>
      <c r="J25" s="23"/>
      <c r="K25" s="37">
        <v>5.0000000000000001E-3</v>
      </c>
      <c r="L25" s="37"/>
      <c r="M25" s="38">
        <f ca="1">K25*$F$53</f>
        <v>1209.7956646641169</v>
      </c>
      <c r="N25" s="39">
        <f ca="1">M25-E25</f>
        <v>0</v>
      </c>
    </row>
    <row r="26" spans="1:14" x14ac:dyDescent="0.3">
      <c r="A26" s="1">
        <f t="shared" si="0"/>
        <v>12</v>
      </c>
      <c r="B26" s="10"/>
      <c r="C26" s="35" t="s">
        <v>40</v>
      </c>
      <c r="D26" s="22">
        <v>8705.76</v>
      </c>
      <c r="E26" s="22">
        <f>'10B'!D37</f>
        <v>56.332437333333374</v>
      </c>
      <c r="F26" s="5">
        <f>E26+D26</f>
        <v>8762.0924373333328</v>
      </c>
      <c r="H26" s="18" t="s">
        <v>352</v>
      </c>
      <c r="J26" s="23"/>
      <c r="K26" s="37"/>
      <c r="L26" s="37"/>
    </row>
    <row r="27" spans="1:14" x14ac:dyDescent="0.3">
      <c r="A27" s="1">
        <f t="shared" si="0"/>
        <v>13</v>
      </c>
      <c r="B27" s="10"/>
      <c r="C27" s="35" t="s">
        <v>41</v>
      </c>
      <c r="D27" s="22">
        <v>6814.3</v>
      </c>
      <c r="E27" s="22">
        <f ca="1">K27*$F$53</f>
        <v>1270.2854478973229</v>
      </c>
      <c r="F27" s="5">
        <f ca="1">E27+D27</f>
        <v>8084.5854478973233</v>
      </c>
      <c r="H27" s="18" t="s">
        <v>353</v>
      </c>
      <c r="J27" s="23"/>
      <c r="K27" s="40">
        <v>5.2500000000000003E-3</v>
      </c>
      <c r="L27" s="40"/>
      <c r="M27" s="38">
        <f ca="1">K27*$F$53</f>
        <v>1270.2854478973229</v>
      </c>
      <c r="N27" s="39">
        <f ca="1">M27-E27</f>
        <v>0</v>
      </c>
    </row>
    <row r="28" spans="1:14" x14ac:dyDescent="0.3">
      <c r="A28" s="1">
        <f t="shared" si="0"/>
        <v>14</v>
      </c>
      <c r="B28" s="10"/>
      <c r="C28" s="35" t="s">
        <v>42</v>
      </c>
      <c r="D28" s="22">
        <v>20167.63</v>
      </c>
      <c r="E28" s="22">
        <f>'10B'!D36</f>
        <v>1000.5643988880691</v>
      </c>
      <c r="F28" s="5">
        <f>E28+D28</f>
        <v>21168.19439888807</v>
      </c>
      <c r="H28" s="18" t="s">
        <v>354</v>
      </c>
      <c r="J28" s="23"/>
    </row>
    <row r="29" spans="1:14" x14ac:dyDescent="0.3">
      <c r="A29" s="1">
        <f t="shared" si="0"/>
        <v>15</v>
      </c>
      <c r="B29" s="10"/>
      <c r="C29" s="28" t="s">
        <v>43</v>
      </c>
      <c r="D29" s="30">
        <f>SUM(D24:D28)</f>
        <v>71774.700000000012</v>
      </c>
      <c r="E29" s="30">
        <f ca="1">SUM(E24:E28)</f>
        <v>3536.9779487828428</v>
      </c>
      <c r="F29" s="30">
        <f ca="1">SUM(F24:F28)</f>
        <v>75311.677948782846</v>
      </c>
      <c r="H29" s="18"/>
      <c r="J29" s="23"/>
    </row>
    <row r="30" spans="1:14" x14ac:dyDescent="0.3">
      <c r="A30" s="1">
        <f t="shared" si="0"/>
        <v>16</v>
      </c>
      <c r="B30" s="10"/>
      <c r="D30" s="5"/>
      <c r="E30" s="5"/>
      <c r="F30" s="5"/>
      <c r="H30" s="18"/>
      <c r="J30" s="23"/>
    </row>
    <row r="31" spans="1:14" x14ac:dyDescent="0.3">
      <c r="A31" s="1">
        <f t="shared" si="0"/>
        <v>17</v>
      </c>
      <c r="B31" s="10"/>
      <c r="C31" s="28" t="s">
        <v>44</v>
      </c>
      <c r="D31" s="30">
        <f>SUM(D29,D20,D18)</f>
        <v>1605522.5500000003</v>
      </c>
      <c r="E31" s="30">
        <f ca="1">SUM(E29,E20,E18)</f>
        <v>157005.89461544954</v>
      </c>
      <c r="F31" s="30">
        <f ca="1">SUM(F29,F20,F18)</f>
        <v>1762528.4446154498</v>
      </c>
      <c r="H31" s="18"/>
      <c r="J31" s="23"/>
    </row>
    <row r="32" spans="1:14" x14ac:dyDescent="0.3">
      <c r="A32" s="1">
        <f t="shared" si="0"/>
        <v>18</v>
      </c>
      <c r="B32" s="10"/>
      <c r="D32" s="5"/>
      <c r="E32" s="5"/>
      <c r="F32" s="5"/>
      <c r="H32" s="18"/>
      <c r="J32" s="23"/>
    </row>
    <row r="33" spans="1:14" x14ac:dyDescent="0.3">
      <c r="A33" s="1">
        <f t="shared" si="0"/>
        <v>19</v>
      </c>
      <c r="B33" s="10"/>
      <c r="C33" s="41" t="s">
        <v>45</v>
      </c>
      <c r="D33" s="5"/>
      <c r="E33" s="5"/>
      <c r="F33" s="5"/>
      <c r="G33" s="5"/>
      <c r="H33" s="18"/>
      <c r="J33" s="23"/>
    </row>
    <row r="34" spans="1:14" hidden="1" x14ac:dyDescent="0.3">
      <c r="A34" s="1">
        <f t="shared" si="0"/>
        <v>20</v>
      </c>
      <c r="B34" s="10"/>
      <c r="C34" s="42" t="s">
        <v>46</v>
      </c>
      <c r="D34" s="22">
        <v>0</v>
      </c>
      <c r="E34" s="22"/>
      <c r="F34" s="22">
        <v>0</v>
      </c>
      <c r="G34" s="22"/>
      <c r="H34" s="18"/>
      <c r="J34" s="23"/>
    </row>
    <row r="35" spans="1:14" hidden="1" x14ac:dyDescent="0.3">
      <c r="A35" s="1">
        <f t="shared" si="0"/>
        <v>21</v>
      </c>
      <c r="B35" s="10"/>
      <c r="C35" s="42" t="s">
        <v>47</v>
      </c>
      <c r="D35" s="27">
        <v>0</v>
      </c>
      <c r="E35" s="27"/>
      <c r="F35" s="27">
        <v>0</v>
      </c>
      <c r="G35" s="27"/>
      <c r="H35" s="18"/>
      <c r="J35" s="23"/>
    </row>
    <row r="36" spans="1:14" x14ac:dyDescent="0.3">
      <c r="A36" s="1">
        <f>A33+1</f>
        <v>20</v>
      </c>
      <c r="B36" s="10">
        <v>431</v>
      </c>
      <c r="C36" s="42" t="s">
        <v>48</v>
      </c>
      <c r="D36" s="22">
        <v>17204.580000000002</v>
      </c>
      <c r="E36" s="22">
        <f t="shared" ref="E36:E39" si="3">F36-D36</f>
        <v>-13330.276906458686</v>
      </c>
      <c r="F36" s="22">
        <f>'JEC-Jurczyk-4'!$I$16</f>
        <v>3874.3030935413144</v>
      </c>
      <c r="G36" s="27"/>
      <c r="H36" s="18" t="s">
        <v>367</v>
      </c>
      <c r="J36" s="23"/>
      <c r="L36" s="23"/>
      <c r="M36" s="24"/>
    </row>
    <row r="37" spans="1:14" x14ac:dyDescent="0.3">
      <c r="A37" s="1">
        <f t="shared" si="0"/>
        <v>21</v>
      </c>
      <c r="B37" s="10">
        <v>431</v>
      </c>
      <c r="C37" s="42" t="s">
        <v>50</v>
      </c>
      <c r="D37" s="22">
        <v>20499.61</v>
      </c>
      <c r="E37" s="22">
        <f t="shared" si="3"/>
        <v>0</v>
      </c>
      <c r="F37" s="22">
        <f>D37</f>
        <v>20499.61</v>
      </c>
      <c r="G37" s="27"/>
      <c r="H37" s="18"/>
      <c r="J37" s="23"/>
    </row>
    <row r="38" spans="1:14" x14ac:dyDescent="0.3">
      <c r="A38" s="1">
        <f t="shared" si="0"/>
        <v>22</v>
      </c>
      <c r="B38" s="10">
        <v>431</v>
      </c>
      <c r="C38" s="42" t="s">
        <v>51</v>
      </c>
      <c r="D38" s="22">
        <v>0</v>
      </c>
      <c r="E38" s="22">
        <f t="shared" si="3"/>
        <v>0</v>
      </c>
      <c r="F38" s="22">
        <v>0</v>
      </c>
      <c r="G38" s="27"/>
      <c r="H38" s="18"/>
      <c r="J38" s="23"/>
    </row>
    <row r="39" spans="1:14" x14ac:dyDescent="0.3">
      <c r="A39" s="1">
        <f t="shared" si="0"/>
        <v>23</v>
      </c>
      <c r="B39" s="10"/>
      <c r="C39" s="42" t="s">
        <v>52</v>
      </c>
      <c r="D39" s="22">
        <v>-204077.81000000006</v>
      </c>
      <c r="E39" s="22">
        <f t="shared" si="3"/>
        <v>204077.81000000006</v>
      </c>
      <c r="F39" s="22">
        <v>0</v>
      </c>
      <c r="G39" s="27"/>
      <c r="H39" s="18" t="s">
        <v>49</v>
      </c>
      <c r="J39" s="23"/>
    </row>
    <row r="40" spans="1:14" hidden="1" x14ac:dyDescent="0.3">
      <c r="A40" s="1">
        <f t="shared" si="0"/>
        <v>24</v>
      </c>
      <c r="B40" s="10"/>
      <c r="C40" s="42" t="s">
        <v>53</v>
      </c>
      <c r="D40" s="22">
        <v>0</v>
      </c>
      <c r="E40" s="22">
        <f>'JEC-Jurczyk-16'!$E$27*0</f>
        <v>0</v>
      </c>
      <c r="F40" s="22">
        <f>E40+D40</f>
        <v>0</v>
      </c>
      <c r="G40" s="27"/>
      <c r="H40" s="18" t="s">
        <v>54</v>
      </c>
      <c r="J40" s="23"/>
    </row>
    <row r="41" spans="1:14" x14ac:dyDescent="0.3">
      <c r="A41" s="1">
        <f>A39+1</f>
        <v>24</v>
      </c>
      <c r="B41" s="10"/>
      <c r="C41" s="28" t="s">
        <v>43</v>
      </c>
      <c r="D41" s="43">
        <f>SUM(D36:D40)</f>
        <v>-166373.62000000005</v>
      </c>
      <c r="E41" s="43">
        <f t="shared" ref="E41:F41" si="4">SUM(E36:E40)</f>
        <v>190747.53309354137</v>
      </c>
      <c r="F41" s="43">
        <f t="shared" si="4"/>
        <v>24373.913093541316</v>
      </c>
      <c r="G41" s="44"/>
      <c r="H41" s="18"/>
      <c r="J41" s="23"/>
    </row>
    <row r="42" spans="1:14" x14ac:dyDescent="0.3">
      <c r="A42" s="1">
        <f t="shared" si="0"/>
        <v>25</v>
      </c>
      <c r="B42" s="10"/>
      <c r="C42" s="45"/>
      <c r="D42" s="45"/>
      <c r="E42" s="45"/>
      <c r="F42" s="45"/>
      <c r="G42" s="45"/>
      <c r="H42" s="18"/>
      <c r="J42" s="23"/>
    </row>
    <row r="43" spans="1:14" x14ac:dyDescent="0.3">
      <c r="A43" s="1">
        <f t="shared" si="0"/>
        <v>26</v>
      </c>
      <c r="B43" s="10"/>
      <c r="C43" s="45" t="s">
        <v>55</v>
      </c>
      <c r="D43" s="46"/>
      <c r="E43" s="46"/>
      <c r="F43" s="39"/>
      <c r="H43" s="18"/>
      <c r="J43" s="23"/>
    </row>
    <row r="44" spans="1:14" x14ac:dyDescent="0.3">
      <c r="A44" s="1">
        <f t="shared" si="0"/>
        <v>27</v>
      </c>
      <c r="B44" s="10">
        <v>419</v>
      </c>
      <c r="C44" s="47" t="s">
        <v>56</v>
      </c>
      <c r="D44" s="22">
        <v>-2605.4699999999998</v>
      </c>
      <c r="E44" s="22">
        <v>0</v>
      </c>
      <c r="F44" s="22">
        <f>E44+D44</f>
        <v>-2605.4699999999998</v>
      </c>
      <c r="H44" s="18"/>
      <c r="J44" s="23"/>
    </row>
    <row r="45" spans="1:14" ht="28.8" x14ac:dyDescent="0.3">
      <c r="A45" s="1">
        <f t="shared" si="0"/>
        <v>28</v>
      </c>
      <c r="B45" s="10" t="s">
        <v>57</v>
      </c>
      <c r="C45" s="397" t="s">
        <v>370</v>
      </c>
      <c r="D45" s="22">
        <v>-69888.66</v>
      </c>
      <c r="E45" s="22">
        <v>0</v>
      </c>
      <c r="F45" s="22">
        <f>D45</f>
        <v>-69888.66</v>
      </c>
      <c r="H45" s="18"/>
      <c r="J45" s="23"/>
    </row>
    <row r="46" spans="1:14" x14ac:dyDescent="0.3">
      <c r="A46" s="1">
        <f t="shared" si="0"/>
        <v>29</v>
      </c>
      <c r="B46" s="10" t="s">
        <v>58</v>
      </c>
      <c r="C46" s="47" t="s">
        <v>59</v>
      </c>
      <c r="D46" s="22">
        <v>-107067.45</v>
      </c>
      <c r="E46" s="22">
        <v>0</v>
      </c>
      <c r="F46" s="22">
        <f t="shared" ref="F46" si="5">E46+D46</f>
        <v>-107067.45</v>
      </c>
      <c r="H46" s="18"/>
      <c r="J46" s="23"/>
      <c r="L46" s="23"/>
      <c r="M46" s="24"/>
      <c r="N46" s="5">
        <f>M46-L46</f>
        <v>0</v>
      </c>
    </row>
    <row r="47" spans="1:14" x14ac:dyDescent="0.3">
      <c r="A47" s="1">
        <f t="shared" si="0"/>
        <v>30</v>
      </c>
      <c r="B47" s="10"/>
      <c r="C47" s="48" t="s">
        <v>43</v>
      </c>
      <c r="D47" s="49">
        <f>SUM(D44:D46)</f>
        <v>-179561.58000000002</v>
      </c>
      <c r="E47" s="49">
        <f>SUM(E44:E46)</f>
        <v>0</v>
      </c>
      <c r="F47" s="49">
        <f>SUM(F44:F46)</f>
        <v>-179561.58000000002</v>
      </c>
      <c r="H47" s="18"/>
      <c r="J47" s="23"/>
    </row>
    <row r="48" spans="1:14" ht="15" thickBot="1" x14ac:dyDescent="0.35">
      <c r="A48" s="1">
        <f t="shared" si="0"/>
        <v>31</v>
      </c>
      <c r="B48" s="10"/>
      <c r="C48" s="45"/>
      <c r="D48" s="46"/>
      <c r="E48" s="46"/>
      <c r="F48" s="39"/>
      <c r="H48" s="18"/>
    </row>
    <row r="49" spans="1:8" ht="15" thickTop="1" x14ac:dyDescent="0.3">
      <c r="A49" s="1">
        <f t="shared" si="0"/>
        <v>32</v>
      </c>
      <c r="B49" s="10"/>
      <c r="C49" s="45" t="s">
        <v>60</v>
      </c>
      <c r="D49" s="13" t="str">
        <f>D$9</f>
        <v>Test Year</v>
      </c>
      <c r="E49" s="13"/>
      <c r="F49" s="13" t="str">
        <f>F$9</f>
        <v xml:space="preserve">Rate Year </v>
      </c>
      <c r="G49" s="14"/>
      <c r="H49" s="18"/>
    </row>
    <row r="50" spans="1:8" x14ac:dyDescent="0.3">
      <c r="A50" s="1">
        <f t="shared" si="0"/>
        <v>33</v>
      </c>
      <c r="B50" s="10"/>
      <c r="C50" s="50" t="s">
        <v>61</v>
      </c>
      <c r="D50" s="22">
        <f>ROUNDUP(SUM(D47,D41,D31),0)</f>
        <v>1259588</v>
      </c>
      <c r="E50" s="22">
        <f ca="1">F50-D50</f>
        <v>347752.77770899097</v>
      </c>
      <c r="F50" s="22">
        <f ca="1">SUM(F47,F41,F31)</f>
        <v>1607340.777708991</v>
      </c>
      <c r="G50" s="22"/>
      <c r="H50" s="18"/>
    </row>
    <row r="51" spans="1:8" x14ac:dyDescent="0.3">
      <c r="A51" s="1">
        <f t="shared" si="0"/>
        <v>34</v>
      </c>
      <c r="B51" s="10"/>
      <c r="C51" s="47" t="s">
        <v>62</v>
      </c>
      <c r="D51" s="51">
        <v>1259587.54</v>
      </c>
      <c r="E51" s="27">
        <f>D51-F51</f>
        <v>-105794.10477616754</v>
      </c>
      <c r="F51" s="27">
        <f>'JEC-Jurczyk-6'!F42</f>
        <v>1365381.6447761676</v>
      </c>
      <c r="G51" s="27"/>
      <c r="H51" s="18" t="s">
        <v>368</v>
      </c>
    </row>
    <row r="52" spans="1:8" x14ac:dyDescent="0.3">
      <c r="A52" s="1">
        <f t="shared" si="0"/>
        <v>35</v>
      </c>
      <c r="B52" s="10"/>
      <c r="C52" s="47"/>
      <c r="D52" s="23"/>
      <c r="E52" s="51"/>
      <c r="F52" s="39"/>
      <c r="G52" s="39"/>
      <c r="H52" s="18"/>
    </row>
    <row r="53" spans="1:8" ht="15" thickBot="1" x14ac:dyDescent="0.35">
      <c r="A53" s="1">
        <f t="shared" si="0"/>
        <v>36</v>
      </c>
      <c r="B53" s="10"/>
      <c r="C53" s="52" t="s">
        <v>63</v>
      </c>
      <c r="D53" s="39"/>
      <c r="E53" s="39"/>
      <c r="F53" s="39">
        <f ca="1">F50-F51</f>
        <v>241959.13293282338</v>
      </c>
      <c r="G53" s="39"/>
      <c r="H53" s="18"/>
    </row>
    <row r="54" spans="1:8" ht="15" thickBot="1" x14ac:dyDescent="0.35">
      <c r="A54" s="1">
        <f t="shared" si="0"/>
        <v>37</v>
      </c>
      <c r="B54" s="10"/>
      <c r="C54" s="52" t="s">
        <v>64</v>
      </c>
      <c r="D54" s="51"/>
      <c r="E54" s="51"/>
      <c r="F54" s="53">
        <f ca="1">F53/F51</f>
        <v>0.17720989135787651</v>
      </c>
      <c r="H54" s="18"/>
    </row>
    <row r="55" spans="1:8" x14ac:dyDescent="0.3">
      <c r="B55" s="10"/>
      <c r="C55" s="52"/>
      <c r="D55" s="51"/>
      <c r="E55" s="51"/>
      <c r="F55" s="54"/>
      <c r="G55" s="51"/>
    </row>
    <row r="56" spans="1:8" x14ac:dyDescent="0.3">
      <c r="C56" s="52"/>
      <c r="D56" s="55"/>
      <c r="E56" s="51"/>
      <c r="F56" s="26"/>
    </row>
    <row r="57" spans="1:8" x14ac:dyDescent="0.3">
      <c r="F57" s="56"/>
    </row>
    <row r="58" spans="1:8" x14ac:dyDescent="0.3">
      <c r="D58" s="393"/>
      <c r="E58" s="26"/>
      <c r="F58" s="57"/>
    </row>
    <row r="59" spans="1:8" x14ac:dyDescent="0.3">
      <c r="D59" s="58"/>
    </row>
    <row r="64" spans="1:8" x14ac:dyDescent="0.3">
      <c r="B64" s="10"/>
      <c r="C64" s="47"/>
      <c r="D64" s="5"/>
      <c r="E64" s="5"/>
      <c r="F64" s="39"/>
    </row>
    <row r="65" spans="2:6" x14ac:dyDescent="0.3">
      <c r="B65" s="10"/>
      <c r="C65" s="47"/>
      <c r="D65" s="5"/>
      <c r="E65" s="5"/>
      <c r="F65" s="39"/>
    </row>
    <row r="66" spans="2:6" x14ac:dyDescent="0.3">
      <c r="B66" s="10"/>
      <c r="C66" s="47"/>
      <c r="F66" s="39"/>
    </row>
    <row r="67" spans="2:6" x14ac:dyDescent="0.3">
      <c r="C67" s="47"/>
      <c r="F67" s="58"/>
    </row>
    <row r="68" spans="2:6" x14ac:dyDescent="0.3">
      <c r="F68" s="39"/>
    </row>
  </sheetData>
  <pageMargins left="0.75" right="0.75" top="1" bottom="1" header="0.5" footer="0.5"/>
  <pageSetup scale="74" orientation="portrait" r:id="rId1"/>
  <headerFooter alignWithMargins="0"/>
  <colBreaks count="1" manualBreakCount="1">
    <brk id="8" max="61" man="1"/>
  </colBreaks>
  <ignoredErrors>
    <ignoredError sqref="F45 F25 A41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8BB24-AB47-4568-906F-A64BC8BEC693}">
  <sheetPr>
    <tabColor theme="8" tint="-0.249977111117893"/>
  </sheetPr>
  <dimension ref="A1:J25"/>
  <sheetViews>
    <sheetView view="pageBreakPreview" zoomScale="60" zoomScaleNormal="100" workbookViewId="0">
      <selection activeCell="N45" sqref="N45"/>
    </sheetView>
  </sheetViews>
  <sheetFormatPr defaultRowHeight="14.4" x14ac:dyDescent="0.3"/>
  <cols>
    <col min="2" max="2" width="37.21875" customWidth="1"/>
    <col min="3" max="9" width="9.88671875" customWidth="1"/>
    <col min="10" max="10" width="12.77734375" customWidth="1"/>
  </cols>
  <sheetData>
    <row r="1" spans="1:10" ht="18.600000000000001" thickBot="1" x14ac:dyDescent="0.4">
      <c r="B1" s="2" t="str">
        <f>'JEC-Jurczyk-2'!B1</f>
        <v>Jacksonville Village Electric Utility</v>
      </c>
      <c r="C1" s="1"/>
      <c r="J1" s="4" t="s">
        <v>65</v>
      </c>
    </row>
    <row r="2" spans="1:10" ht="18" x14ac:dyDescent="0.35">
      <c r="B2" s="2" t="str">
        <f>'JEC-Jurczyk-2'!B2</f>
        <v>Rate Case Study</v>
      </c>
      <c r="C2" s="1"/>
    </row>
    <row r="3" spans="1:10" ht="15.6" x14ac:dyDescent="0.3">
      <c r="B3" s="6" t="s">
        <v>66</v>
      </c>
      <c r="C3" s="1"/>
    </row>
    <row r="4" spans="1:10" ht="15.6" x14ac:dyDescent="0.3">
      <c r="B4" s="7" t="s">
        <v>4</v>
      </c>
      <c r="C4" s="8" t="str">
        <f>'JEC-Jurczyk-2'!C4</f>
        <v>12 months ending December 31, 2025</v>
      </c>
    </row>
    <row r="5" spans="1:10" ht="15.6" x14ac:dyDescent="0.3">
      <c r="B5" s="7" t="s">
        <v>6</v>
      </c>
      <c r="C5" s="8" t="str">
        <f>'JEC-Jurczyk-2'!C5</f>
        <v>July 5, 2026 - July 4, 2027</v>
      </c>
    </row>
    <row r="6" spans="1:10" ht="15.6" x14ac:dyDescent="0.3">
      <c r="B6" s="7" t="s">
        <v>8</v>
      </c>
      <c r="C6" s="9">
        <f>'JEC-Jurczyk-2'!C6</f>
        <v>46163</v>
      </c>
    </row>
    <row r="7" spans="1:10" ht="15.6" x14ac:dyDescent="0.3">
      <c r="B7" s="7"/>
      <c r="C7" s="9"/>
    </row>
    <row r="8" spans="1:10" ht="43.2" x14ac:dyDescent="0.3">
      <c r="A8" t="s">
        <v>12</v>
      </c>
      <c r="B8" t="s">
        <v>16</v>
      </c>
      <c r="C8" s="59" t="s">
        <v>67</v>
      </c>
      <c r="D8" s="59" t="s">
        <v>68</v>
      </c>
      <c r="E8" s="59" t="s">
        <v>69</v>
      </c>
      <c r="F8" s="59" t="s">
        <v>70</v>
      </c>
      <c r="G8" s="59" t="s">
        <v>37</v>
      </c>
      <c r="H8" s="59" t="s">
        <v>71</v>
      </c>
      <c r="I8" s="59" t="s">
        <v>72</v>
      </c>
      <c r="J8" s="59" t="s">
        <v>73</v>
      </c>
    </row>
    <row r="9" spans="1:10" ht="7.95" customHeight="1" x14ac:dyDescent="0.3"/>
    <row r="10" spans="1:10" ht="17.399999999999999" customHeight="1" x14ac:dyDescent="0.3">
      <c r="A10">
        <v>1</v>
      </c>
      <c r="B10" t="s">
        <v>74</v>
      </c>
      <c r="C10" s="60">
        <f>'JEC-Jurczyk-2'!E13</f>
        <v>35546</v>
      </c>
      <c r="D10" s="60"/>
      <c r="E10" s="60"/>
      <c r="F10" s="60"/>
      <c r="G10" s="60"/>
      <c r="H10" s="60"/>
      <c r="I10" s="60"/>
      <c r="J10" s="60">
        <f t="shared" ref="J10:J21" si="0">SUM(C10:I10)</f>
        <v>35546</v>
      </c>
    </row>
    <row r="11" spans="1:10" ht="17.399999999999999" customHeight="1" x14ac:dyDescent="0.3">
      <c r="A11">
        <f>A10+1</f>
        <v>2</v>
      </c>
      <c r="B11" t="s">
        <v>75</v>
      </c>
      <c r="C11" s="60"/>
      <c r="D11" s="60"/>
      <c r="E11" s="60"/>
      <c r="F11" s="60">
        <f>'JEC-Jurczyk-10A'!E14+'JEC-Jurczyk-10A'!E13</f>
        <v>12802.826666666675</v>
      </c>
      <c r="G11" s="60"/>
      <c r="H11" s="60"/>
      <c r="I11" s="60"/>
      <c r="J11" s="60">
        <f t="shared" si="0"/>
        <v>12802.826666666675</v>
      </c>
    </row>
    <row r="12" spans="1:10" ht="17.399999999999999" customHeight="1" x14ac:dyDescent="0.3">
      <c r="A12">
        <f t="shared" ref="A12:A22" si="1">A11+1</f>
        <v>3</v>
      </c>
      <c r="B12" t="s">
        <v>360</v>
      </c>
      <c r="C12" s="60"/>
      <c r="D12" s="60">
        <f>'JEC-Jurczyk-11A'!E11</f>
        <v>-87.94999999999709</v>
      </c>
      <c r="E12" s="60"/>
      <c r="F12" s="60">
        <f>'JEC-Jurczyk-11A'!D13</f>
        <v>107141.37999999999</v>
      </c>
      <c r="G12" s="60"/>
      <c r="H12" s="60"/>
      <c r="I12" s="60"/>
      <c r="J12" s="60">
        <f t="shared" si="0"/>
        <v>107053.43</v>
      </c>
    </row>
    <row r="13" spans="1:10" ht="17.399999999999999" customHeight="1" x14ac:dyDescent="0.3">
      <c r="A13">
        <f t="shared" si="1"/>
        <v>4</v>
      </c>
      <c r="B13" t="s">
        <v>76</v>
      </c>
      <c r="C13" s="60"/>
      <c r="D13" s="60"/>
      <c r="E13" s="60"/>
      <c r="F13" s="60">
        <f>'JEC-Jurczyk-12A'!E14</f>
        <v>-1933.3399999999965</v>
      </c>
      <c r="G13" s="60"/>
      <c r="H13" s="60"/>
      <c r="I13" s="60"/>
      <c r="J13" s="60">
        <f t="shared" si="0"/>
        <v>-1933.3399999999965</v>
      </c>
    </row>
    <row r="14" spans="1:10" ht="17.399999999999999" customHeight="1" x14ac:dyDescent="0.3">
      <c r="A14">
        <f t="shared" si="1"/>
        <v>5</v>
      </c>
      <c r="B14" t="s">
        <v>77</v>
      </c>
      <c r="C14" s="60"/>
      <c r="D14" s="60"/>
      <c r="E14" s="60"/>
      <c r="F14" s="60"/>
      <c r="G14" s="60">
        <f ca="1">'JEC-Jurczyk-2'!E27</f>
        <v>1270.2854478973229</v>
      </c>
      <c r="H14" s="60"/>
      <c r="I14" s="60"/>
      <c r="J14" s="60">
        <f t="shared" ca="1" si="0"/>
        <v>1270.2854478973229</v>
      </c>
    </row>
    <row r="15" spans="1:10" ht="17.399999999999999" customHeight="1" x14ac:dyDescent="0.3">
      <c r="A15">
        <f t="shared" si="1"/>
        <v>6</v>
      </c>
      <c r="B15" t="s">
        <v>78</v>
      </c>
      <c r="C15" s="60"/>
      <c r="D15" s="60"/>
      <c r="E15" s="60"/>
      <c r="F15" s="60"/>
      <c r="G15" s="60">
        <f>'10B'!D36</f>
        <v>1000.5643988880691</v>
      </c>
      <c r="H15" s="60"/>
      <c r="I15" s="60"/>
      <c r="J15" s="60">
        <f t="shared" si="0"/>
        <v>1000.5643988880691</v>
      </c>
    </row>
    <row r="16" spans="1:10" ht="17.399999999999999" customHeight="1" x14ac:dyDescent="0.3">
      <c r="A16">
        <f t="shared" si="1"/>
        <v>7</v>
      </c>
      <c r="B16" t="s">
        <v>79</v>
      </c>
      <c r="C16" s="60"/>
      <c r="D16" s="60"/>
      <c r="E16" s="60"/>
      <c r="F16" s="60"/>
      <c r="G16" s="60">
        <f ca="1">'JEC-Jurczyk-2'!E25</f>
        <v>1209.7956646641169</v>
      </c>
      <c r="H16" s="60"/>
      <c r="I16" s="60"/>
      <c r="J16" s="60">
        <f t="shared" ca="1" si="0"/>
        <v>1209.7956646641169</v>
      </c>
    </row>
    <row r="17" spans="1:10" ht="17.399999999999999" customHeight="1" x14ac:dyDescent="0.3">
      <c r="A17">
        <f t="shared" si="1"/>
        <v>8</v>
      </c>
      <c r="B17" t="s">
        <v>80</v>
      </c>
      <c r="C17" s="60"/>
      <c r="D17" s="60"/>
      <c r="E17" s="60"/>
      <c r="F17" s="60"/>
      <c r="G17" s="60">
        <f>'10B'!D37</f>
        <v>56.332437333333374</v>
      </c>
      <c r="H17" s="60"/>
      <c r="I17" s="60"/>
      <c r="J17" s="60">
        <f t="shared" si="0"/>
        <v>56.332437333333374</v>
      </c>
    </row>
    <row r="18" spans="1:10" ht="17.399999999999999" customHeight="1" x14ac:dyDescent="0.3">
      <c r="A18">
        <f t="shared" si="1"/>
        <v>9</v>
      </c>
      <c r="B18" t="s">
        <v>81</v>
      </c>
      <c r="C18" s="60"/>
      <c r="D18" s="60"/>
      <c r="E18" s="60"/>
      <c r="F18" s="60"/>
      <c r="G18" s="60"/>
      <c r="H18" s="60">
        <f>'JEC-Jurczyk-2'!E36</f>
        <v>-13330.276906458686</v>
      </c>
      <c r="I18" s="60"/>
      <c r="J18" s="60">
        <f t="shared" si="0"/>
        <v>-13330.276906458686</v>
      </c>
    </row>
    <row r="19" spans="1:10" ht="17.399999999999999" customHeight="1" x14ac:dyDescent="0.3">
      <c r="A19">
        <f t="shared" si="1"/>
        <v>10</v>
      </c>
      <c r="B19" t="s">
        <v>82</v>
      </c>
      <c r="C19" s="60"/>
      <c r="D19" s="60"/>
      <c r="E19" s="60"/>
      <c r="F19" s="60"/>
      <c r="G19" s="60"/>
      <c r="H19" s="60">
        <f>'JEC-Jurczyk-2'!E39</f>
        <v>204077.81000000006</v>
      </c>
      <c r="I19" s="60"/>
      <c r="J19" s="60">
        <f t="shared" si="0"/>
        <v>204077.81000000006</v>
      </c>
    </row>
    <row r="20" spans="1:10" ht="17.399999999999999" hidden="1" customHeight="1" x14ac:dyDescent="0.3">
      <c r="A20">
        <f t="shared" si="1"/>
        <v>11</v>
      </c>
      <c r="B20" t="s">
        <v>53</v>
      </c>
      <c r="C20" s="60"/>
      <c r="D20" s="60"/>
      <c r="E20" s="60"/>
      <c r="F20" s="60"/>
      <c r="G20" s="60"/>
      <c r="H20" s="60"/>
      <c r="I20" s="60"/>
      <c r="J20" s="60">
        <f t="shared" si="0"/>
        <v>0</v>
      </c>
    </row>
    <row r="21" spans="1:10" ht="17.399999999999999" customHeight="1" x14ac:dyDescent="0.3">
      <c r="A21">
        <v>11</v>
      </c>
      <c r="B21" t="s">
        <v>83</v>
      </c>
      <c r="C21" s="60"/>
      <c r="D21" s="60"/>
      <c r="E21" s="60"/>
      <c r="F21" s="60"/>
      <c r="G21" s="60"/>
      <c r="H21" s="60"/>
      <c r="I21" s="60">
        <f>'JEC-Jurczyk-2'!D51-'JEC-Jurczyk-2'!F51</f>
        <v>-105794.10477616754</v>
      </c>
      <c r="J21" s="60">
        <f t="shared" si="0"/>
        <v>-105794.10477616754</v>
      </c>
    </row>
    <row r="22" spans="1:10" ht="17.399999999999999" customHeight="1" x14ac:dyDescent="0.3">
      <c r="A22">
        <f t="shared" si="1"/>
        <v>12</v>
      </c>
      <c r="B22" s="61" t="s">
        <v>84</v>
      </c>
      <c r="C22" s="62">
        <f t="shared" ref="C22:J22" si="2">SUM(C10:C21)</f>
        <v>35546</v>
      </c>
      <c r="D22" s="62">
        <f t="shared" si="2"/>
        <v>-87.94999999999709</v>
      </c>
      <c r="E22" s="62">
        <f t="shared" si="2"/>
        <v>0</v>
      </c>
      <c r="F22" s="62">
        <f t="shared" si="2"/>
        <v>118010.86666666667</v>
      </c>
      <c r="G22" s="62">
        <f t="shared" ca="1" si="2"/>
        <v>3536.9779487828423</v>
      </c>
      <c r="H22" s="62">
        <f t="shared" si="2"/>
        <v>190747.53309354137</v>
      </c>
      <c r="I22" s="62">
        <f t="shared" si="2"/>
        <v>-105794.10477616754</v>
      </c>
      <c r="J22" s="62">
        <f t="shared" ca="1" si="2"/>
        <v>241959.32293282333</v>
      </c>
    </row>
    <row r="24" spans="1:10" x14ac:dyDescent="0.3">
      <c r="J24" s="63">
        <f ca="1">'JEC-Jurczyk-2'!F53</f>
        <v>241959.13293282338</v>
      </c>
    </row>
    <row r="25" spans="1:10" x14ac:dyDescent="0.3">
      <c r="J25" s="64">
        <f ca="1">J22-J24</f>
        <v>0.18999999994412065</v>
      </c>
    </row>
  </sheetData>
  <pageMargins left="0.7" right="0.7" top="0.75" bottom="0.75" header="0.3" footer="0.3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84DB-6FB9-42BE-BFE3-B53F570380C6}">
  <sheetPr>
    <tabColor theme="8" tint="-0.249977111117893"/>
  </sheetPr>
  <dimension ref="A1:U121"/>
  <sheetViews>
    <sheetView view="pageBreakPreview" zoomScale="60" zoomScaleNormal="100" workbookViewId="0">
      <selection activeCell="K10" sqref="K10:L10"/>
    </sheetView>
  </sheetViews>
  <sheetFormatPr defaultColWidth="8.88671875" defaultRowHeight="14.4" x14ac:dyDescent="0.3"/>
  <cols>
    <col min="1" max="1" width="8.88671875" style="65"/>
    <col min="2" max="2" width="35.44140625" style="65" customWidth="1"/>
    <col min="3" max="5" width="13.33203125" style="65" customWidth="1"/>
    <col min="6" max="6" width="14.88671875" style="65" customWidth="1"/>
    <col min="7" max="7" width="14.109375" style="65" customWidth="1"/>
    <col min="8" max="8" width="13.33203125" style="65" customWidth="1"/>
    <col min="9" max="9" width="17" style="65" customWidth="1"/>
    <col min="10" max="10" width="4.33203125" style="65" customWidth="1"/>
    <col min="11" max="11" width="14.33203125" style="65" bestFit="1" customWidth="1"/>
    <col min="12" max="12" width="12.5546875" style="65" bestFit="1" customWidth="1"/>
    <col min="13" max="13" width="14.33203125" style="65" bestFit="1" customWidth="1"/>
    <col min="14" max="14" width="4.33203125" style="65" customWidth="1"/>
    <col min="15" max="15" width="14.33203125" style="65" bestFit="1" customWidth="1"/>
    <col min="16" max="16" width="12.5546875" style="65" bestFit="1" customWidth="1"/>
    <col min="17" max="17" width="14.33203125" style="65" bestFit="1" customWidth="1"/>
    <col min="18" max="18" width="3.88671875" style="65" customWidth="1"/>
    <col min="19" max="21" width="14.33203125" style="65" bestFit="1" customWidth="1"/>
    <col min="22" max="16384" width="8.88671875" style="65"/>
  </cols>
  <sheetData>
    <row r="1" spans="1:12" ht="18.600000000000001" thickBot="1" x14ac:dyDescent="0.4">
      <c r="B1" s="2" t="str">
        <f>'JEC-Jurczyk-2'!B1</f>
        <v>Jacksonville Village Electric Utility</v>
      </c>
      <c r="I1" s="4" t="s">
        <v>85</v>
      </c>
    </row>
    <row r="2" spans="1:12" ht="18" x14ac:dyDescent="0.35">
      <c r="B2" s="2" t="str">
        <f>'JEC-Jurczyk-2'!B2</f>
        <v>Rate Case Study</v>
      </c>
    </row>
    <row r="3" spans="1:12" ht="15.6" x14ac:dyDescent="0.3">
      <c r="B3" s="6" t="s">
        <v>86</v>
      </c>
    </row>
    <row r="4" spans="1:12" ht="15.6" x14ac:dyDescent="0.3">
      <c r="B4" s="7" t="s">
        <v>4</v>
      </c>
      <c r="C4" s="8" t="str">
        <f>'JEC-Jurczyk-2'!C4</f>
        <v>12 months ending December 31, 2025</v>
      </c>
    </row>
    <row r="5" spans="1:12" ht="15.6" x14ac:dyDescent="0.3">
      <c r="B5" s="7" t="s">
        <v>6</v>
      </c>
      <c r="C5" s="8" t="str">
        <f>'JEC-Jurczyk-2'!C5</f>
        <v>July 5, 2026 - July 4, 2027</v>
      </c>
    </row>
    <row r="6" spans="1:12" ht="15.6" x14ac:dyDescent="0.3">
      <c r="B6" s="7" t="s">
        <v>8</v>
      </c>
      <c r="C6" s="9">
        <f>'JEC-Jurczyk-2'!C6</f>
        <v>46163</v>
      </c>
    </row>
    <row r="9" spans="1:12" ht="60" customHeight="1" x14ac:dyDescent="0.3">
      <c r="B9" s="66" t="s">
        <v>87</v>
      </c>
      <c r="C9" s="66" t="s">
        <v>88</v>
      </c>
      <c r="D9" s="66" t="s">
        <v>89</v>
      </c>
      <c r="E9" s="66" t="s">
        <v>90</v>
      </c>
      <c r="F9" s="66" t="s">
        <v>91</v>
      </c>
      <c r="G9" s="66" t="s">
        <v>92</v>
      </c>
      <c r="H9" s="66" t="s">
        <v>93</v>
      </c>
      <c r="I9" s="66" t="s">
        <v>94</v>
      </c>
    </row>
    <row r="10" spans="1:12" x14ac:dyDescent="0.3">
      <c r="A10" s="65">
        <v>1</v>
      </c>
      <c r="B10" s="65" t="s">
        <v>95</v>
      </c>
      <c r="C10" s="67">
        <f>SUM(C45:C87)</f>
        <v>60766.062188373209</v>
      </c>
      <c r="D10" s="68">
        <v>47270</v>
      </c>
      <c r="E10" s="69">
        <f>D23</f>
        <v>8.5500000000000007E-2</v>
      </c>
      <c r="F10" s="65">
        <v>12</v>
      </c>
      <c r="G10" s="67">
        <f>SUM(C63:C116)</f>
        <v>36099.456983385171</v>
      </c>
      <c r="H10" s="67">
        <f>SUM(C51:C62)</f>
        <v>16792.06483160955</v>
      </c>
      <c r="I10" s="67">
        <f>SUM(D51:D62)</f>
        <v>3874.3030935413144</v>
      </c>
      <c r="K10" s="113"/>
      <c r="L10" s="113"/>
    </row>
    <row r="11" spans="1:12" x14ac:dyDescent="0.3">
      <c r="A11" s="65">
        <f>A10+1</f>
        <v>2</v>
      </c>
      <c r="C11" s="70"/>
      <c r="D11" s="68"/>
      <c r="E11" s="69"/>
      <c r="G11" s="67"/>
      <c r="H11" s="71"/>
      <c r="I11" s="71"/>
    </row>
    <row r="12" spans="1:12" x14ac:dyDescent="0.3">
      <c r="A12" s="65">
        <f t="shared" ref="A12:A16" si="0">A11+1</f>
        <v>3</v>
      </c>
      <c r="C12" s="70"/>
      <c r="E12" s="72"/>
      <c r="G12" s="71"/>
      <c r="H12" s="71"/>
      <c r="I12" s="71"/>
    </row>
    <row r="13" spans="1:12" x14ac:dyDescent="0.3">
      <c r="A13" s="65">
        <f t="shared" si="0"/>
        <v>4</v>
      </c>
      <c r="C13" s="70"/>
      <c r="E13" s="72"/>
      <c r="G13" s="71"/>
      <c r="H13" s="71"/>
      <c r="I13" s="71"/>
    </row>
    <row r="14" spans="1:12" x14ac:dyDescent="0.3">
      <c r="A14" s="65">
        <f t="shared" si="0"/>
        <v>5</v>
      </c>
    </row>
    <row r="15" spans="1:12" x14ac:dyDescent="0.3">
      <c r="A15" s="65">
        <f t="shared" si="0"/>
        <v>6</v>
      </c>
    </row>
    <row r="16" spans="1:12" x14ac:dyDescent="0.3">
      <c r="A16" s="65">
        <f t="shared" si="0"/>
        <v>7</v>
      </c>
      <c r="B16" s="65" t="s">
        <v>96</v>
      </c>
      <c r="C16" s="67">
        <f>SUM(C10:C13)</f>
        <v>60766.062188373209</v>
      </c>
      <c r="H16" s="67">
        <f t="shared" ref="H16" si="1">SUM(H10:H13)</f>
        <v>16792.06483160955</v>
      </c>
      <c r="I16" s="67">
        <f>SUM(I10:I13)</f>
        <v>3874.3030935413144</v>
      </c>
    </row>
    <row r="17" spans="2:21" ht="15" customHeight="1" x14ac:dyDescent="0.3"/>
    <row r="18" spans="2:21" x14ac:dyDescent="0.3">
      <c r="S18" s="65" t="s">
        <v>97</v>
      </c>
    </row>
    <row r="19" spans="2:21" x14ac:dyDescent="0.3">
      <c r="S19" s="67">
        <f>SUM(S31:S87)</f>
        <v>364566.9921365176</v>
      </c>
    </row>
    <row r="21" spans="2:21" x14ac:dyDescent="0.3">
      <c r="G21" s="421" t="s">
        <v>374</v>
      </c>
      <c r="H21" s="421"/>
      <c r="I21" s="421"/>
    </row>
    <row r="22" spans="2:21" x14ac:dyDescent="0.3">
      <c r="B22" s="73"/>
      <c r="C22" s="422" t="s">
        <v>98</v>
      </c>
      <c r="D22" s="423"/>
      <c r="E22" s="424"/>
      <c r="G22" s="422" t="s">
        <v>99</v>
      </c>
      <c r="H22" s="423"/>
      <c r="I22" s="424"/>
      <c r="K22" s="422"/>
      <c r="L22" s="423"/>
      <c r="M22" s="424"/>
      <c r="O22" s="422"/>
      <c r="P22" s="423"/>
      <c r="Q22" s="424"/>
      <c r="S22" s="418" t="s">
        <v>100</v>
      </c>
      <c r="T22" s="419"/>
      <c r="U22" s="420"/>
    </row>
    <row r="23" spans="2:21" x14ac:dyDescent="0.3">
      <c r="B23" s="74"/>
      <c r="C23" s="75"/>
      <c r="D23" s="76">
        <v>8.5500000000000007E-2</v>
      </c>
      <c r="E23" s="77"/>
      <c r="G23" s="75"/>
      <c r="H23" s="76">
        <v>5.5E-2</v>
      </c>
      <c r="I23" s="77"/>
      <c r="K23" s="75"/>
      <c r="L23" s="78"/>
      <c r="M23" s="77"/>
      <c r="O23" s="75"/>
      <c r="P23" s="78"/>
      <c r="Q23" s="77"/>
      <c r="S23" s="79"/>
      <c r="T23" s="80"/>
      <c r="U23" s="81"/>
    </row>
    <row r="24" spans="2:21" x14ac:dyDescent="0.3">
      <c r="B24" s="82"/>
      <c r="C24" s="83" t="s">
        <v>101</v>
      </c>
      <c r="D24" s="84" t="s">
        <v>102</v>
      </c>
      <c r="E24" s="85" t="s">
        <v>103</v>
      </c>
      <c r="G24" s="83" t="s">
        <v>101</v>
      </c>
      <c r="H24" s="84" t="s">
        <v>102</v>
      </c>
      <c r="I24" s="85" t="s">
        <v>103</v>
      </c>
      <c r="K24" s="83"/>
      <c r="L24" s="84"/>
      <c r="M24" s="85"/>
      <c r="O24" s="83"/>
      <c r="P24" s="84"/>
      <c r="Q24" s="85"/>
      <c r="S24" s="86" t="s">
        <v>101</v>
      </c>
      <c r="T24" s="87" t="s">
        <v>102</v>
      </c>
      <c r="U24" s="88" t="s">
        <v>103</v>
      </c>
    </row>
    <row r="25" spans="2:21" x14ac:dyDescent="0.3">
      <c r="B25" s="89"/>
      <c r="C25" s="90"/>
      <c r="D25" s="91"/>
      <c r="E25" s="92"/>
      <c r="G25" s="93"/>
      <c r="H25" s="94"/>
      <c r="I25" s="95"/>
      <c r="K25" s="93"/>
      <c r="L25" s="96"/>
      <c r="M25" s="95"/>
      <c r="O25" s="93"/>
      <c r="P25" s="96"/>
      <c r="Q25" s="95"/>
      <c r="S25" s="97"/>
      <c r="T25" s="98"/>
      <c r="U25" s="99"/>
    </row>
    <row r="26" spans="2:21" x14ac:dyDescent="0.3">
      <c r="B26" s="100">
        <v>45444</v>
      </c>
      <c r="C26" s="93">
        <v>1126.5473270959055</v>
      </c>
      <c r="D26" s="93">
        <v>595.65</v>
      </c>
      <c r="E26" s="95">
        <f>C26+D26</f>
        <v>1722.1973270959056</v>
      </c>
      <c r="G26" s="93"/>
      <c r="H26" s="96"/>
      <c r="I26" s="95"/>
      <c r="K26" s="93"/>
      <c r="L26" s="96"/>
      <c r="M26" s="95"/>
      <c r="O26" s="93"/>
      <c r="P26" s="96"/>
      <c r="Q26" s="95"/>
      <c r="S26" s="97">
        <f t="shared" ref="S26:T87" si="2">C26+G26+K26+O26</f>
        <v>1126.5473270959055</v>
      </c>
      <c r="T26" s="98">
        <f t="shared" si="2"/>
        <v>595.65</v>
      </c>
      <c r="U26" s="99">
        <f>S26+T26</f>
        <v>1722.1973270959056</v>
      </c>
    </row>
    <row r="27" spans="2:21" x14ac:dyDescent="0.3">
      <c r="B27" s="100">
        <v>45474</v>
      </c>
      <c r="C27" s="93">
        <v>1134.5739768014639</v>
      </c>
      <c r="D27" s="93">
        <v>587.62335029444171</v>
      </c>
      <c r="E27" s="95">
        <f t="shared" ref="E27:E85" si="3">C27+D27</f>
        <v>1722.1973270959056</v>
      </c>
      <c r="G27" s="93"/>
      <c r="H27" s="96"/>
      <c r="I27" s="95"/>
      <c r="K27" s="93"/>
      <c r="L27" s="96"/>
      <c r="M27" s="95"/>
      <c r="O27" s="93"/>
      <c r="P27" s="96"/>
      <c r="Q27" s="95"/>
      <c r="S27" s="97">
        <f t="shared" si="2"/>
        <v>1134.5739768014639</v>
      </c>
      <c r="T27" s="98">
        <f t="shared" si="2"/>
        <v>587.62335029444171</v>
      </c>
      <c r="U27" s="99">
        <f t="shared" ref="U27:U87" si="4">S27+T27</f>
        <v>1722.1973270959056</v>
      </c>
    </row>
    <row r="28" spans="2:21" x14ac:dyDescent="0.3">
      <c r="B28" s="100">
        <v>45505</v>
      </c>
      <c r="C28" s="93">
        <v>1142.6578163861743</v>
      </c>
      <c r="D28" s="93">
        <v>579.5395107097313</v>
      </c>
      <c r="E28" s="95">
        <f t="shared" si="3"/>
        <v>1722.1973270959056</v>
      </c>
      <c r="G28" s="93"/>
      <c r="H28" s="96"/>
      <c r="I28" s="95"/>
      <c r="K28" s="93"/>
      <c r="L28" s="96"/>
      <c r="M28" s="95"/>
      <c r="O28" s="93"/>
      <c r="P28" s="96"/>
      <c r="Q28" s="95"/>
      <c r="S28" s="97">
        <f t="shared" si="2"/>
        <v>1142.6578163861743</v>
      </c>
      <c r="T28" s="98">
        <f t="shared" si="2"/>
        <v>579.5395107097313</v>
      </c>
      <c r="U28" s="99">
        <f t="shared" si="4"/>
        <v>1722.1973270959056</v>
      </c>
    </row>
    <row r="29" spans="2:21" x14ac:dyDescent="0.3">
      <c r="B29" s="100">
        <v>45536</v>
      </c>
      <c r="C29" s="93">
        <v>1150.7992533279257</v>
      </c>
      <c r="D29" s="93">
        <v>571.39807376797978</v>
      </c>
      <c r="E29" s="95">
        <f t="shared" si="3"/>
        <v>1722.1973270959056</v>
      </c>
      <c r="G29" s="93"/>
      <c r="H29" s="96"/>
      <c r="I29" s="95"/>
      <c r="K29" s="93"/>
      <c r="L29" s="96"/>
      <c r="M29" s="95"/>
      <c r="O29" s="93"/>
      <c r="P29" s="96"/>
      <c r="Q29" s="95"/>
      <c r="S29" s="97">
        <f t="shared" si="2"/>
        <v>1150.7992533279257</v>
      </c>
      <c r="T29" s="98">
        <f t="shared" si="2"/>
        <v>571.39807376797978</v>
      </c>
      <c r="U29" s="99">
        <f t="shared" si="4"/>
        <v>1722.1973270959056</v>
      </c>
    </row>
    <row r="30" spans="2:21" x14ac:dyDescent="0.3">
      <c r="B30" s="100">
        <v>45566</v>
      </c>
      <c r="C30" s="93">
        <v>1158.9986980078875</v>
      </c>
      <c r="D30" s="93">
        <v>563.19862908801827</v>
      </c>
      <c r="E30" s="95">
        <f t="shared" si="3"/>
        <v>1722.1973270959056</v>
      </c>
      <c r="G30" s="93"/>
      <c r="H30" s="96"/>
      <c r="I30" s="95"/>
      <c r="K30" s="93"/>
      <c r="L30" s="96"/>
      <c r="M30" s="95"/>
      <c r="O30" s="93"/>
      <c r="P30" s="96"/>
      <c r="Q30" s="95"/>
      <c r="S30" s="97">
        <f t="shared" si="2"/>
        <v>1158.9986980078875</v>
      </c>
      <c r="T30" s="98">
        <f t="shared" si="2"/>
        <v>563.19862908801827</v>
      </c>
      <c r="U30" s="99">
        <f t="shared" si="4"/>
        <v>1722.1973270959056</v>
      </c>
    </row>
    <row r="31" spans="2:21" x14ac:dyDescent="0.3">
      <c r="B31" s="100">
        <v>45597</v>
      </c>
      <c r="C31" s="93">
        <v>1167.2565637311936</v>
      </c>
      <c r="D31" s="93">
        <v>554.9407633647121</v>
      </c>
      <c r="E31" s="95">
        <f t="shared" si="3"/>
        <v>1722.1973270959056</v>
      </c>
      <c r="G31" s="93"/>
      <c r="H31" s="96"/>
      <c r="I31" s="95"/>
      <c r="K31" s="93"/>
      <c r="L31" s="96"/>
      <c r="M31" s="95"/>
      <c r="O31" s="93"/>
      <c r="P31" s="96"/>
      <c r="Q31" s="95"/>
      <c r="S31" s="93">
        <f t="shared" si="2"/>
        <v>1167.2565637311936</v>
      </c>
      <c r="T31" s="96">
        <f t="shared" si="2"/>
        <v>554.9407633647121</v>
      </c>
      <c r="U31" s="95">
        <f t="shared" si="4"/>
        <v>1722.1973270959056</v>
      </c>
    </row>
    <row r="32" spans="2:21" x14ac:dyDescent="0.3">
      <c r="B32" s="100">
        <v>45627</v>
      </c>
      <c r="C32" s="93">
        <v>1175.5732667477782</v>
      </c>
      <c r="D32" s="93">
        <v>546.62406034812739</v>
      </c>
      <c r="E32" s="95">
        <f t="shared" si="3"/>
        <v>1722.1973270959056</v>
      </c>
      <c r="G32" s="93"/>
      <c r="H32" s="96"/>
      <c r="I32" s="95"/>
      <c r="K32" s="93"/>
      <c r="L32" s="96"/>
      <c r="M32" s="95"/>
      <c r="O32" s="93"/>
      <c r="P32" s="96"/>
      <c r="Q32" s="95"/>
      <c r="S32" s="97">
        <f t="shared" si="2"/>
        <v>1175.5732667477782</v>
      </c>
      <c r="T32" s="98">
        <f t="shared" si="2"/>
        <v>546.62406034812739</v>
      </c>
      <c r="U32" s="99">
        <f t="shared" si="4"/>
        <v>1722.1973270959056</v>
      </c>
    </row>
    <row r="33" spans="2:21" x14ac:dyDescent="0.3">
      <c r="B33" s="100">
        <v>45658</v>
      </c>
      <c r="C33" s="93">
        <v>1183.9492262733561</v>
      </c>
      <c r="D33" s="93">
        <v>538.24810082254953</v>
      </c>
      <c r="E33" s="95">
        <f t="shared" si="3"/>
        <v>1722.1973270959056</v>
      </c>
      <c r="F33" s="113"/>
      <c r="G33" s="93"/>
      <c r="H33" s="96"/>
      <c r="I33" s="95"/>
      <c r="K33" s="93"/>
      <c r="L33" s="96"/>
      <c r="M33" s="95"/>
      <c r="O33" s="93"/>
      <c r="P33" s="96"/>
      <c r="Q33" s="95"/>
      <c r="S33" s="97">
        <f t="shared" si="2"/>
        <v>1183.9492262733561</v>
      </c>
      <c r="T33" s="98">
        <f t="shared" si="2"/>
        <v>538.24810082254953</v>
      </c>
      <c r="U33" s="99">
        <f t="shared" si="4"/>
        <v>1722.1973270959056</v>
      </c>
    </row>
    <row r="34" spans="2:21" x14ac:dyDescent="0.3">
      <c r="B34" s="100">
        <v>45689</v>
      </c>
      <c r="C34" s="93">
        <v>1192.3848645105536</v>
      </c>
      <c r="D34" s="93">
        <v>529.81246258535191</v>
      </c>
      <c r="E34" s="95">
        <f t="shared" si="3"/>
        <v>1722.1973270959056</v>
      </c>
      <c r="G34" s="93"/>
      <c r="H34" s="96"/>
      <c r="I34" s="95"/>
      <c r="K34" s="93"/>
      <c r="L34" s="96"/>
      <c r="M34" s="95"/>
      <c r="O34" s="93"/>
      <c r="P34" s="96"/>
      <c r="Q34" s="95"/>
      <c r="S34" s="93">
        <f t="shared" si="2"/>
        <v>1192.3848645105536</v>
      </c>
      <c r="T34" s="96">
        <f t="shared" si="2"/>
        <v>529.81246258535191</v>
      </c>
      <c r="U34" s="95">
        <f t="shared" si="4"/>
        <v>1722.1973270959056</v>
      </c>
    </row>
    <row r="35" spans="2:21" x14ac:dyDescent="0.3">
      <c r="B35" s="100">
        <v>45717</v>
      </c>
      <c r="C35" s="93">
        <v>1200.8806066701914</v>
      </c>
      <c r="D35" s="93">
        <v>521.31672042571415</v>
      </c>
      <c r="E35" s="95">
        <f t="shared" si="3"/>
        <v>1722.1973270959056</v>
      </c>
      <c r="G35" s="93"/>
      <c r="H35" s="96"/>
      <c r="I35" s="95"/>
      <c r="K35" s="93"/>
      <c r="L35" s="96"/>
      <c r="M35" s="95"/>
      <c r="O35" s="93"/>
      <c r="P35" s="96"/>
      <c r="Q35" s="95"/>
      <c r="S35" s="97">
        <f t="shared" si="2"/>
        <v>1200.8806066701914</v>
      </c>
      <c r="T35" s="98">
        <f t="shared" si="2"/>
        <v>521.31672042571415</v>
      </c>
      <c r="U35" s="99">
        <f t="shared" si="4"/>
        <v>1722.1973270959056</v>
      </c>
    </row>
    <row r="36" spans="2:21" x14ac:dyDescent="0.3">
      <c r="B36" s="100">
        <v>45748</v>
      </c>
      <c r="C36" s="93">
        <v>1209.4368809927166</v>
      </c>
      <c r="D36" s="93">
        <v>512.760446103189</v>
      </c>
      <c r="E36" s="95">
        <f t="shared" si="3"/>
        <v>1722.1973270959056</v>
      </c>
      <c r="G36" s="93"/>
      <c r="H36" s="96"/>
      <c r="I36" s="95"/>
      <c r="K36" s="93"/>
      <c r="L36" s="96"/>
      <c r="M36" s="95"/>
      <c r="O36" s="93"/>
      <c r="P36" s="96"/>
      <c r="Q36" s="95"/>
      <c r="S36" s="97">
        <f t="shared" si="2"/>
        <v>1209.4368809927166</v>
      </c>
      <c r="T36" s="98">
        <f t="shared" si="2"/>
        <v>512.760446103189</v>
      </c>
      <c r="U36" s="99">
        <f t="shared" si="4"/>
        <v>1722.1973270959056</v>
      </c>
    </row>
    <row r="37" spans="2:21" x14ac:dyDescent="0.3">
      <c r="B37" s="100">
        <v>45778</v>
      </c>
      <c r="C37" s="93">
        <v>1218.0541187697897</v>
      </c>
      <c r="D37" s="93">
        <v>504.14320832611594</v>
      </c>
      <c r="E37" s="95">
        <f t="shared" si="3"/>
        <v>1722.1973270959056</v>
      </c>
      <c r="G37" s="93"/>
      <c r="H37" s="96"/>
      <c r="I37" s="95"/>
      <c r="K37" s="93"/>
      <c r="L37" s="96"/>
      <c r="M37" s="95"/>
      <c r="O37" s="93"/>
      <c r="P37" s="96"/>
      <c r="Q37" s="95"/>
      <c r="S37" s="97">
        <f t="shared" si="2"/>
        <v>1218.0541187697897</v>
      </c>
      <c r="T37" s="98">
        <f t="shared" si="2"/>
        <v>504.14320832611594</v>
      </c>
      <c r="U37" s="99">
        <f t="shared" si="4"/>
        <v>1722.1973270959056</v>
      </c>
    </row>
    <row r="38" spans="2:21" x14ac:dyDescent="0.3">
      <c r="B38" s="100">
        <v>45809</v>
      </c>
      <c r="C38" s="93">
        <v>1226.7327543660244</v>
      </c>
      <c r="D38" s="93">
        <v>495.46457272988113</v>
      </c>
      <c r="E38" s="95">
        <f t="shared" si="3"/>
        <v>1722.1973270959056</v>
      </c>
      <c r="G38" s="93"/>
      <c r="H38" s="96"/>
      <c r="I38" s="95"/>
      <c r="K38" s="93"/>
      <c r="L38" s="96"/>
      <c r="M38" s="95"/>
      <c r="O38" s="93"/>
      <c r="P38" s="96"/>
      <c r="Q38" s="95"/>
      <c r="S38" s="97">
        <f t="shared" si="2"/>
        <v>1226.7327543660244</v>
      </c>
      <c r="T38" s="98">
        <f t="shared" si="2"/>
        <v>495.46457272988113</v>
      </c>
      <c r="U38" s="99">
        <f t="shared" si="4"/>
        <v>1722.1973270959056</v>
      </c>
    </row>
    <row r="39" spans="2:21" x14ac:dyDescent="0.3">
      <c r="B39" s="100">
        <v>45839</v>
      </c>
      <c r="C39" s="93">
        <v>1235.4732252408824</v>
      </c>
      <c r="D39" s="93">
        <v>486.72410185502326</v>
      </c>
      <c r="E39" s="95">
        <f t="shared" si="3"/>
        <v>1722.1973270959056</v>
      </c>
      <c r="G39" s="93"/>
      <c r="H39" s="96"/>
      <c r="I39" s="95"/>
      <c r="K39" s="93"/>
      <c r="L39" s="96"/>
      <c r="M39" s="95"/>
      <c r="O39" s="93"/>
      <c r="P39" s="96"/>
      <c r="Q39" s="95"/>
      <c r="S39" s="97">
        <f t="shared" si="2"/>
        <v>1235.4732252408824</v>
      </c>
      <c r="T39" s="98">
        <f t="shared" si="2"/>
        <v>486.72410185502326</v>
      </c>
      <c r="U39" s="99">
        <f t="shared" si="4"/>
        <v>1722.1973270959056</v>
      </c>
    </row>
    <row r="40" spans="2:21" x14ac:dyDescent="0.3">
      <c r="B40" s="100">
        <v>45870</v>
      </c>
      <c r="C40" s="93">
        <v>1244.2759719707237</v>
      </c>
      <c r="D40" s="93">
        <v>477.92135512518189</v>
      </c>
      <c r="E40" s="95">
        <f t="shared" si="3"/>
        <v>1722.1973270959056</v>
      </c>
      <c r="G40" s="93"/>
      <c r="H40" s="96"/>
      <c r="I40" s="95"/>
      <c r="K40" s="93"/>
      <c r="L40" s="96"/>
      <c r="M40" s="95"/>
      <c r="O40" s="93"/>
      <c r="P40" s="96"/>
      <c r="Q40" s="95"/>
      <c r="S40" s="97">
        <f t="shared" si="2"/>
        <v>1244.2759719707237</v>
      </c>
      <c r="T40" s="98">
        <f t="shared" si="2"/>
        <v>477.92135512518189</v>
      </c>
      <c r="U40" s="99">
        <f t="shared" si="4"/>
        <v>1722.1973270959056</v>
      </c>
    </row>
    <row r="41" spans="2:21" x14ac:dyDescent="0.3">
      <c r="B41" s="100">
        <v>45901</v>
      </c>
      <c r="C41" s="93">
        <v>1253.1414382710152</v>
      </c>
      <c r="D41" s="93">
        <v>469.05588882489047</v>
      </c>
      <c r="E41" s="95">
        <f t="shared" si="3"/>
        <v>1722.1973270959056</v>
      </c>
      <c r="G41" s="412">
        <v>0</v>
      </c>
      <c r="H41" s="413">
        <v>2782.49</v>
      </c>
      <c r="I41" s="413">
        <v>2782.49</v>
      </c>
      <c r="K41" s="93"/>
      <c r="L41" s="96"/>
      <c r="M41" s="95"/>
      <c r="O41" s="93"/>
      <c r="P41" s="96"/>
      <c r="Q41" s="95"/>
      <c r="S41" s="97">
        <f t="shared" si="2"/>
        <v>1253.1414382710152</v>
      </c>
      <c r="T41" s="98">
        <f t="shared" si="2"/>
        <v>3251.5458888248904</v>
      </c>
      <c r="U41" s="99">
        <f t="shared" si="4"/>
        <v>4504.6873270959059</v>
      </c>
    </row>
    <row r="42" spans="2:21" x14ac:dyDescent="0.3">
      <c r="B42" s="100">
        <v>45931</v>
      </c>
      <c r="C42" s="93">
        <v>1262.0700710186961</v>
      </c>
      <c r="D42" s="93">
        <v>460.12725607720955</v>
      </c>
      <c r="E42" s="95">
        <f t="shared" si="3"/>
        <v>1722.1973270959056</v>
      </c>
      <c r="G42" s="412">
        <v>0</v>
      </c>
      <c r="H42" s="413">
        <v>2875.24</v>
      </c>
      <c r="I42" s="413">
        <v>2875.24</v>
      </c>
      <c r="K42" s="93"/>
      <c r="L42" s="96"/>
      <c r="M42" s="95"/>
      <c r="O42" s="93"/>
      <c r="P42" s="96"/>
      <c r="Q42" s="95"/>
      <c r="S42" s="97">
        <f t="shared" si="2"/>
        <v>1262.0700710186961</v>
      </c>
      <c r="T42" s="98">
        <f t="shared" si="2"/>
        <v>3335.3672560772093</v>
      </c>
      <c r="U42" s="99">
        <f t="shared" si="4"/>
        <v>4597.4373270959059</v>
      </c>
    </row>
    <row r="43" spans="2:21" x14ac:dyDescent="0.3">
      <c r="B43" s="100">
        <v>45962</v>
      </c>
      <c r="C43" s="93">
        <v>1271.0623202747042</v>
      </c>
      <c r="D43" s="93">
        <v>451.13500682120133</v>
      </c>
      <c r="E43" s="95">
        <f t="shared" si="3"/>
        <v>1722.1973270959056</v>
      </c>
      <c r="G43" s="412">
        <v>0</v>
      </c>
      <c r="H43" s="413">
        <v>2782.49</v>
      </c>
      <c r="I43" s="413">
        <v>2782.49</v>
      </c>
      <c r="K43" s="93"/>
      <c r="L43" s="96"/>
      <c r="M43" s="95"/>
      <c r="O43" s="93"/>
      <c r="P43" s="96"/>
      <c r="Q43" s="95"/>
      <c r="S43" s="97">
        <f t="shared" si="2"/>
        <v>1271.0623202747042</v>
      </c>
      <c r="T43" s="98">
        <f t="shared" si="2"/>
        <v>3233.6250068212012</v>
      </c>
      <c r="U43" s="99">
        <f t="shared" si="4"/>
        <v>4504.6873270959059</v>
      </c>
    </row>
    <row r="44" spans="2:21" x14ac:dyDescent="0.3">
      <c r="B44" s="100">
        <v>45992</v>
      </c>
      <c r="C44" s="93">
        <v>1280.1186393066616</v>
      </c>
      <c r="D44" s="93">
        <v>442.07868778924404</v>
      </c>
      <c r="E44" s="95">
        <f t="shared" si="3"/>
        <v>1722.1973270959056</v>
      </c>
      <c r="G44" s="412">
        <v>0</v>
      </c>
      <c r="H44" s="413">
        <v>2875.24</v>
      </c>
      <c r="I44" s="413">
        <v>2875.24</v>
      </c>
      <c r="K44" s="93"/>
      <c r="L44" s="96"/>
      <c r="M44" s="95"/>
      <c r="O44" s="93"/>
      <c r="P44" s="96"/>
      <c r="Q44" s="95"/>
      <c r="S44" s="97">
        <f t="shared" si="2"/>
        <v>1280.1186393066616</v>
      </c>
      <c r="T44" s="98">
        <f t="shared" si="2"/>
        <v>3317.318687789244</v>
      </c>
      <c r="U44" s="99">
        <f t="shared" si="4"/>
        <v>4597.4373270959059</v>
      </c>
    </row>
    <row r="45" spans="2:21" x14ac:dyDescent="0.3">
      <c r="B45" s="100">
        <v>46023</v>
      </c>
      <c r="C45" s="93">
        <v>1289.2394846117215</v>
      </c>
      <c r="D45" s="93">
        <v>432.95784248418414</v>
      </c>
      <c r="E45" s="95">
        <f t="shared" si="3"/>
        <v>1722.1973270959056</v>
      </c>
      <c r="G45" s="412">
        <v>0</v>
      </c>
      <c r="H45" s="413">
        <v>2875.24</v>
      </c>
      <c r="I45" s="414">
        <v>11307.02</v>
      </c>
      <c r="K45" s="93"/>
      <c r="L45" s="96"/>
      <c r="M45" s="95"/>
      <c r="O45" s="93"/>
      <c r="P45" s="96"/>
      <c r="Q45" s="95"/>
      <c r="S45" s="97">
        <f t="shared" si="2"/>
        <v>1289.2394846117215</v>
      </c>
      <c r="T45" s="98">
        <f t="shared" si="2"/>
        <v>3308.1978424841841</v>
      </c>
      <c r="U45" s="99">
        <f t="shared" si="4"/>
        <v>4597.4373270959059</v>
      </c>
    </row>
    <row r="46" spans="2:21" x14ac:dyDescent="0.3">
      <c r="B46" s="100">
        <v>46054</v>
      </c>
      <c r="C46" s="93">
        <v>1298.4253159395801</v>
      </c>
      <c r="D46" s="93">
        <v>423.77201115632562</v>
      </c>
      <c r="E46" s="95">
        <f t="shared" si="3"/>
        <v>1722.1973270959056</v>
      </c>
      <c r="G46" s="412">
        <v>0</v>
      </c>
      <c r="H46" s="413">
        <v>2596.9899999999998</v>
      </c>
      <c r="I46" s="414">
        <v>10992.7</v>
      </c>
      <c r="K46" s="93"/>
      <c r="L46" s="96"/>
      <c r="M46" s="95"/>
      <c r="O46" s="93"/>
      <c r="P46" s="96"/>
      <c r="Q46" s="95"/>
      <c r="S46" s="97">
        <f t="shared" si="2"/>
        <v>1298.4253159395801</v>
      </c>
      <c r="T46" s="98">
        <f t="shared" si="2"/>
        <v>3020.7620111563256</v>
      </c>
      <c r="U46" s="99">
        <f t="shared" si="4"/>
        <v>4319.1873270959059</v>
      </c>
    </row>
    <row r="47" spans="2:21" x14ac:dyDescent="0.3">
      <c r="B47" s="100">
        <v>46082</v>
      </c>
      <c r="C47" s="93">
        <v>1307.6765963156495</v>
      </c>
      <c r="D47" s="93">
        <v>414.52073078025609</v>
      </c>
      <c r="E47" s="95">
        <f t="shared" si="3"/>
        <v>1722.1973270959056</v>
      </c>
      <c r="G47" s="412">
        <v>0</v>
      </c>
      <c r="H47" s="413">
        <v>2875.24</v>
      </c>
      <c r="I47" s="414">
        <v>11227.15</v>
      </c>
      <c r="K47" s="93"/>
      <c r="L47" s="96"/>
      <c r="M47" s="95"/>
      <c r="O47" s="93"/>
      <c r="P47" s="96"/>
      <c r="Q47" s="95"/>
      <c r="S47" s="97">
        <f t="shared" si="2"/>
        <v>1307.6765963156495</v>
      </c>
      <c r="T47" s="98">
        <f t="shared" si="2"/>
        <v>3289.7607307802559</v>
      </c>
      <c r="U47" s="99">
        <f t="shared" si="4"/>
        <v>4597.4373270959059</v>
      </c>
    </row>
    <row r="48" spans="2:21" x14ac:dyDescent="0.3">
      <c r="B48" s="100">
        <v>46113</v>
      </c>
      <c r="C48" s="93">
        <v>1316.9937920643986</v>
      </c>
      <c r="D48" s="93">
        <v>405.20353503150704</v>
      </c>
      <c r="E48" s="95">
        <f t="shared" si="3"/>
        <v>1722.1973270959056</v>
      </c>
      <c r="G48" s="412">
        <v>0</v>
      </c>
      <c r="H48" s="413">
        <v>2782.49</v>
      </c>
      <c r="I48" s="414">
        <v>11098.33</v>
      </c>
      <c r="K48" s="93"/>
      <c r="L48" s="96"/>
      <c r="M48" s="95"/>
      <c r="O48" s="93"/>
      <c r="P48" s="96"/>
      <c r="Q48" s="95"/>
      <c r="S48" s="97">
        <f t="shared" si="2"/>
        <v>1316.9937920643986</v>
      </c>
      <c r="T48" s="98">
        <f t="shared" si="2"/>
        <v>3187.6935350315071</v>
      </c>
      <c r="U48" s="99">
        <f t="shared" si="4"/>
        <v>4504.6873270959059</v>
      </c>
    </row>
    <row r="49" spans="2:21" x14ac:dyDescent="0.3">
      <c r="B49" s="100">
        <v>46143</v>
      </c>
      <c r="C49" s="93">
        <v>1326.3773728328574</v>
      </c>
      <c r="D49" s="93">
        <v>395.8199542630482</v>
      </c>
      <c r="E49" s="95">
        <f t="shared" si="3"/>
        <v>1722.1973270959056</v>
      </c>
      <c r="G49" s="412">
        <v>0</v>
      </c>
      <c r="H49" s="413">
        <v>2875.24</v>
      </c>
      <c r="I49" s="414">
        <v>11147.29</v>
      </c>
      <c r="K49" s="93"/>
      <c r="L49" s="96"/>
      <c r="M49" s="95"/>
      <c r="O49" s="93"/>
      <c r="P49" s="96"/>
      <c r="Q49" s="95"/>
      <c r="S49" s="97">
        <f t="shared" si="2"/>
        <v>1326.3773728328574</v>
      </c>
      <c r="T49" s="98">
        <f t="shared" si="2"/>
        <v>3271.059954263048</v>
      </c>
      <c r="U49" s="99">
        <f t="shared" si="4"/>
        <v>4597.4373270959059</v>
      </c>
    </row>
    <row r="50" spans="2:21" x14ac:dyDescent="0.3">
      <c r="B50" s="100">
        <v>46174</v>
      </c>
      <c r="C50" s="93">
        <v>1335.8278116142915</v>
      </c>
      <c r="D50" s="93">
        <v>386.36951548161409</v>
      </c>
      <c r="E50" s="95">
        <f t="shared" si="3"/>
        <v>1722.1973270959056</v>
      </c>
      <c r="G50" s="412">
        <v>0</v>
      </c>
      <c r="H50" s="413">
        <v>2782.49</v>
      </c>
      <c r="I50" s="414">
        <v>11021.04</v>
      </c>
      <c r="K50" s="93"/>
      <c r="L50" s="96"/>
      <c r="M50" s="95"/>
      <c r="O50" s="93"/>
      <c r="P50" s="96"/>
      <c r="Q50" s="95"/>
      <c r="S50" s="97">
        <f t="shared" si="2"/>
        <v>1335.8278116142915</v>
      </c>
      <c r="T50" s="98">
        <f t="shared" si="2"/>
        <v>3168.8595154816139</v>
      </c>
      <c r="U50" s="99">
        <f t="shared" si="4"/>
        <v>4504.6873270959059</v>
      </c>
    </row>
    <row r="51" spans="2:21" x14ac:dyDescent="0.3">
      <c r="B51" s="101">
        <v>46204</v>
      </c>
      <c r="C51" s="102">
        <v>1345.3455847720434</v>
      </c>
      <c r="D51" s="102">
        <v>376.85174232386225</v>
      </c>
      <c r="E51" s="103">
        <f t="shared" si="3"/>
        <v>1722.1973270959056</v>
      </c>
      <c r="F51" s="104"/>
      <c r="G51" s="415">
        <v>0</v>
      </c>
      <c r="H51" s="416">
        <v>2875.24</v>
      </c>
      <c r="I51" s="417">
        <v>11307.02</v>
      </c>
      <c r="K51" s="93"/>
      <c r="L51" s="96"/>
      <c r="M51" s="95"/>
      <c r="O51" s="93"/>
      <c r="P51" s="96"/>
      <c r="Q51" s="95"/>
      <c r="S51" s="97">
        <f t="shared" si="2"/>
        <v>1345.3455847720434</v>
      </c>
      <c r="T51" s="98">
        <f t="shared" si="2"/>
        <v>3252.091742323862</v>
      </c>
      <c r="U51" s="99">
        <f t="shared" si="4"/>
        <v>4597.4373270959059</v>
      </c>
    </row>
    <row r="52" spans="2:21" x14ac:dyDescent="0.3">
      <c r="B52" s="101">
        <v>46235</v>
      </c>
      <c r="C52" s="102">
        <v>1354.9311720635442</v>
      </c>
      <c r="D52" s="102">
        <v>367.26615503236144</v>
      </c>
      <c r="E52" s="103">
        <f t="shared" si="3"/>
        <v>1722.1973270959056</v>
      </c>
      <c r="F52" s="104"/>
      <c r="G52" s="415">
        <v>0</v>
      </c>
      <c r="H52" s="416">
        <v>2560.92</v>
      </c>
      <c r="I52" s="417">
        <v>10992.7</v>
      </c>
      <c r="K52" s="93"/>
      <c r="L52" s="96"/>
      <c r="M52" s="95"/>
      <c r="O52" s="93"/>
      <c r="P52" s="96"/>
      <c r="Q52" s="95"/>
      <c r="S52" s="97">
        <f t="shared" si="2"/>
        <v>1354.9311720635442</v>
      </c>
      <c r="T52" s="98">
        <f t="shared" si="2"/>
        <v>2928.1861550323615</v>
      </c>
      <c r="U52" s="99">
        <f t="shared" si="4"/>
        <v>4283.1173270959061</v>
      </c>
    </row>
    <row r="53" spans="2:21" x14ac:dyDescent="0.3">
      <c r="B53" s="101">
        <v>46266</v>
      </c>
      <c r="C53" s="102">
        <v>1364.585056664497</v>
      </c>
      <c r="D53" s="102">
        <v>357.61227043140866</v>
      </c>
      <c r="E53" s="103">
        <f t="shared" si="3"/>
        <v>1722.1973270959056</v>
      </c>
      <c r="F53" s="104"/>
      <c r="G53" s="415">
        <v>0</v>
      </c>
      <c r="H53" s="416">
        <v>2795.37</v>
      </c>
      <c r="I53" s="417">
        <v>11227.15</v>
      </c>
      <c r="K53" s="93"/>
      <c r="L53" s="96"/>
      <c r="M53" s="95"/>
      <c r="O53" s="93"/>
      <c r="P53" s="96"/>
      <c r="Q53" s="95"/>
      <c r="S53" s="97">
        <f t="shared" si="2"/>
        <v>1364.585056664497</v>
      </c>
      <c r="T53" s="98">
        <f t="shared" si="2"/>
        <v>3152.9822704314083</v>
      </c>
      <c r="U53" s="99">
        <f t="shared" si="4"/>
        <v>4517.5673270959051</v>
      </c>
    </row>
    <row r="54" spans="2:21" x14ac:dyDescent="0.3">
      <c r="B54" s="101">
        <v>46296</v>
      </c>
      <c r="C54" s="102">
        <v>1374.3077251932314</v>
      </c>
      <c r="D54" s="102">
        <v>347.8896019026742</v>
      </c>
      <c r="E54" s="103">
        <f t="shared" si="3"/>
        <v>1722.1973270959056</v>
      </c>
      <c r="F54" s="104"/>
      <c r="G54" s="415">
        <v>8431.7800000000007</v>
      </c>
      <c r="H54" s="416">
        <v>2666.55</v>
      </c>
      <c r="I54" s="417">
        <v>11098.33</v>
      </c>
      <c r="K54" s="93"/>
      <c r="L54" s="96"/>
      <c r="M54" s="95"/>
      <c r="O54" s="93"/>
      <c r="P54" s="96"/>
      <c r="Q54" s="95"/>
      <c r="S54" s="97">
        <f t="shared" si="2"/>
        <v>9806.0877251932325</v>
      </c>
      <c r="T54" s="98">
        <f t="shared" si="2"/>
        <v>3014.4396019026744</v>
      </c>
      <c r="U54" s="99">
        <f t="shared" si="4"/>
        <v>12820.527327095908</v>
      </c>
    </row>
    <row r="55" spans="2:21" x14ac:dyDescent="0.3">
      <c r="B55" s="101">
        <v>46327</v>
      </c>
      <c r="C55" s="102">
        <v>1384.0996677352332</v>
      </c>
      <c r="D55" s="102">
        <v>338.09765936067237</v>
      </c>
      <c r="E55" s="103">
        <f t="shared" si="3"/>
        <v>1722.1973270959056</v>
      </c>
      <c r="F55" s="104"/>
      <c r="G55" s="415">
        <v>8431.7800000000007</v>
      </c>
      <c r="H55" s="416">
        <v>2715.51</v>
      </c>
      <c r="I55" s="417">
        <v>11147.29</v>
      </c>
      <c r="K55" s="93"/>
      <c r="L55" s="96"/>
      <c r="M55" s="95"/>
      <c r="O55" s="93"/>
      <c r="P55" s="96"/>
      <c r="Q55" s="95"/>
      <c r="S55" s="97">
        <f t="shared" si="2"/>
        <v>9815.8796677352329</v>
      </c>
      <c r="T55" s="98">
        <f t="shared" si="2"/>
        <v>3053.6076593606726</v>
      </c>
      <c r="U55" s="99">
        <f t="shared" si="4"/>
        <v>12869.487327095905</v>
      </c>
    </row>
    <row r="56" spans="2:21" x14ac:dyDescent="0.3">
      <c r="B56" s="101">
        <v>46357</v>
      </c>
      <c r="C56" s="102">
        <v>1393.9613778678467</v>
      </c>
      <c r="D56" s="102">
        <v>328.23594922805887</v>
      </c>
      <c r="E56" s="103">
        <f t="shared" si="3"/>
        <v>1722.1973270959056</v>
      </c>
      <c r="F56" s="104"/>
      <c r="G56" s="415">
        <v>8431.7800000000007</v>
      </c>
      <c r="H56" s="416">
        <v>2589.2600000000002</v>
      </c>
      <c r="I56" s="417">
        <v>11021.04</v>
      </c>
      <c r="K56" s="93"/>
      <c r="L56" s="96"/>
      <c r="M56" s="95"/>
      <c r="O56" s="93"/>
      <c r="P56" s="96"/>
      <c r="Q56" s="95"/>
      <c r="S56" s="97">
        <f t="shared" si="2"/>
        <v>9825.7413778678474</v>
      </c>
      <c r="T56" s="98">
        <f t="shared" si="2"/>
        <v>2917.4959492280591</v>
      </c>
      <c r="U56" s="99">
        <f t="shared" si="4"/>
        <v>12743.237327095907</v>
      </c>
    </row>
    <row r="57" spans="2:21" x14ac:dyDescent="0.3">
      <c r="B57" s="101">
        <v>46388</v>
      </c>
      <c r="C57" s="102">
        <v>1403.8933526851552</v>
      </c>
      <c r="D57" s="102">
        <v>318.30397441075041</v>
      </c>
      <c r="E57" s="103">
        <f t="shared" si="3"/>
        <v>1722.1973270959056</v>
      </c>
      <c r="F57" s="104"/>
      <c r="G57" s="415">
        <v>8431.7800000000007</v>
      </c>
      <c r="H57" s="416">
        <v>2635.64</v>
      </c>
      <c r="I57" s="417">
        <v>11067.42</v>
      </c>
      <c r="K57" s="93"/>
      <c r="L57" s="96"/>
      <c r="M57" s="95"/>
      <c r="O57" s="93"/>
      <c r="P57" s="96"/>
      <c r="Q57" s="95"/>
      <c r="S57" s="97">
        <f t="shared" si="2"/>
        <v>9835.6733526851567</v>
      </c>
      <c r="T57" s="98">
        <f t="shared" si="2"/>
        <v>2953.9439744107503</v>
      </c>
      <c r="U57" s="99">
        <f t="shared" si="4"/>
        <v>12789.617327095908</v>
      </c>
    </row>
    <row r="58" spans="2:21" x14ac:dyDescent="0.3">
      <c r="B58" s="101">
        <v>46419</v>
      </c>
      <c r="C58" s="102">
        <v>1413.896092823037</v>
      </c>
      <c r="D58" s="102">
        <v>308.30123427286873</v>
      </c>
      <c r="E58" s="103">
        <f t="shared" si="3"/>
        <v>1722.1973270959056</v>
      </c>
      <c r="F58" s="104"/>
      <c r="G58" s="415">
        <v>8431.7800000000007</v>
      </c>
      <c r="H58" s="416">
        <v>2595.6999999999998</v>
      </c>
      <c r="I58" s="417">
        <v>11027.48</v>
      </c>
      <c r="K58" s="93"/>
      <c r="L58" s="96"/>
      <c r="M58" s="95"/>
      <c r="O58" s="93"/>
      <c r="P58" s="96"/>
      <c r="Q58" s="95"/>
      <c r="S58" s="97">
        <f t="shared" si="2"/>
        <v>9845.6760928230378</v>
      </c>
      <c r="T58" s="98">
        <f t="shared" si="2"/>
        <v>2904.0012342728687</v>
      </c>
      <c r="U58" s="99">
        <f t="shared" si="4"/>
        <v>12749.677327095906</v>
      </c>
    </row>
    <row r="59" spans="2:21" x14ac:dyDescent="0.3">
      <c r="B59" s="101">
        <v>46447</v>
      </c>
      <c r="C59" s="102">
        <v>1423.970102484401</v>
      </c>
      <c r="D59" s="102">
        <v>298.2272246115046</v>
      </c>
      <c r="E59" s="103">
        <f t="shared" si="3"/>
        <v>1722.1973270959056</v>
      </c>
      <c r="F59" s="104"/>
      <c r="G59" s="415">
        <v>8431.7800000000007</v>
      </c>
      <c r="H59" s="416">
        <v>2473.33</v>
      </c>
      <c r="I59" s="417">
        <v>10905.11</v>
      </c>
      <c r="K59" s="93"/>
      <c r="L59" s="96"/>
      <c r="M59" s="95"/>
      <c r="O59" s="93"/>
      <c r="P59" s="96"/>
      <c r="Q59" s="95"/>
      <c r="S59" s="97">
        <f t="shared" si="2"/>
        <v>9855.7501024844023</v>
      </c>
      <c r="T59" s="98">
        <f t="shared" si="2"/>
        <v>2771.5572246115044</v>
      </c>
      <c r="U59" s="99">
        <f t="shared" si="4"/>
        <v>12627.307327095907</v>
      </c>
    </row>
    <row r="60" spans="2:21" x14ac:dyDescent="0.3">
      <c r="B60" s="101">
        <v>46478</v>
      </c>
      <c r="C60" s="102">
        <v>1434.1158894646023</v>
      </c>
      <c r="D60" s="102">
        <v>288.08143763130323</v>
      </c>
      <c r="E60" s="103">
        <f t="shared" si="3"/>
        <v>1722.1973270959056</v>
      </c>
      <c r="F60" s="104"/>
      <c r="G60" s="415">
        <v>8431.7800000000007</v>
      </c>
      <c r="H60" s="416">
        <v>2515.84</v>
      </c>
      <c r="I60" s="417">
        <v>10947.62</v>
      </c>
      <c r="K60" s="93"/>
      <c r="L60" s="96"/>
      <c r="M60" s="95"/>
      <c r="O60" s="93"/>
      <c r="P60" s="96"/>
      <c r="Q60" s="95"/>
      <c r="S60" s="97">
        <f t="shared" si="2"/>
        <v>9865.8958894646021</v>
      </c>
      <c r="T60" s="98">
        <f t="shared" si="2"/>
        <v>2803.9214376313034</v>
      </c>
      <c r="U60" s="99">
        <f t="shared" si="4"/>
        <v>12669.817327095905</v>
      </c>
    </row>
    <row r="61" spans="2:21" x14ac:dyDescent="0.3">
      <c r="B61" s="101">
        <v>46508</v>
      </c>
      <c r="C61" s="102">
        <v>1444.3339651770377</v>
      </c>
      <c r="D61" s="102">
        <v>277.86336191886795</v>
      </c>
      <c r="E61" s="103">
        <f t="shared" si="3"/>
        <v>1722.1973270959056</v>
      </c>
      <c r="F61" s="104"/>
      <c r="G61" s="415">
        <v>8431.7800000000007</v>
      </c>
      <c r="H61" s="416">
        <v>2396.0300000000002</v>
      </c>
      <c r="I61" s="417">
        <v>10827.81</v>
      </c>
      <c r="K61" s="93"/>
      <c r="L61" s="96"/>
      <c r="M61" s="95"/>
      <c r="O61" s="93"/>
      <c r="P61" s="96"/>
      <c r="Q61" s="95"/>
      <c r="S61" s="97">
        <f t="shared" si="2"/>
        <v>9876.1139651770391</v>
      </c>
      <c r="T61" s="98">
        <f t="shared" si="2"/>
        <v>2673.8933619188683</v>
      </c>
      <c r="U61" s="99">
        <f t="shared" si="4"/>
        <v>12550.007327095907</v>
      </c>
    </row>
    <row r="62" spans="2:21" x14ac:dyDescent="0.3">
      <c r="B62" s="101">
        <v>46539</v>
      </c>
      <c r="C62" s="102">
        <v>1454.6248446789241</v>
      </c>
      <c r="D62" s="102">
        <v>267.57248241698153</v>
      </c>
      <c r="E62" s="103">
        <f t="shared" si="3"/>
        <v>1722.1973270959056</v>
      </c>
      <c r="F62" s="104"/>
      <c r="G62" s="415">
        <v>8431.7800000000007</v>
      </c>
      <c r="H62" s="416">
        <v>2435.9699999999998</v>
      </c>
      <c r="I62" s="417">
        <v>10867.75</v>
      </c>
      <c r="K62" s="93"/>
      <c r="L62" s="96"/>
      <c r="M62" s="95"/>
      <c r="O62" s="93"/>
      <c r="P62" s="96"/>
      <c r="Q62" s="95"/>
      <c r="S62" s="97">
        <f t="shared" si="2"/>
        <v>9886.4048446789238</v>
      </c>
      <c r="T62" s="98">
        <f t="shared" si="2"/>
        <v>2703.5424824169813</v>
      </c>
      <c r="U62" s="99">
        <f t="shared" si="4"/>
        <v>12589.947327095906</v>
      </c>
    </row>
    <row r="63" spans="2:21" x14ac:dyDescent="0.3">
      <c r="B63" s="100">
        <v>46569</v>
      </c>
      <c r="C63" s="93">
        <v>1464.9890466972615</v>
      </c>
      <c r="D63" s="93">
        <v>257.20828039864421</v>
      </c>
      <c r="E63" s="95">
        <f t="shared" si="3"/>
        <v>1722.1973270959056</v>
      </c>
      <c r="G63" s="412">
        <v>8431.7800000000007</v>
      </c>
      <c r="H63" s="413">
        <v>2396.0300000000002</v>
      </c>
      <c r="I63" s="414">
        <v>10827.81</v>
      </c>
      <c r="K63" s="93"/>
      <c r="L63" s="96"/>
      <c r="M63" s="95"/>
      <c r="O63" s="93"/>
      <c r="P63" s="96"/>
      <c r="Q63" s="95"/>
      <c r="S63" s="97">
        <f t="shared" si="2"/>
        <v>9896.7690466972617</v>
      </c>
      <c r="T63" s="98">
        <f t="shared" si="2"/>
        <v>2653.2382803986443</v>
      </c>
      <c r="U63" s="99">
        <f t="shared" si="4"/>
        <v>12550.007327095906</v>
      </c>
    </row>
    <row r="64" spans="2:21" x14ac:dyDescent="0.3">
      <c r="B64" s="100">
        <v>46600</v>
      </c>
      <c r="C64" s="93">
        <v>1475.4270936549794</v>
      </c>
      <c r="D64" s="93">
        <v>246.77023344092618</v>
      </c>
      <c r="E64" s="95">
        <f t="shared" si="3"/>
        <v>1722.1973270959056</v>
      </c>
      <c r="G64" s="412">
        <v>8431.7800000000007</v>
      </c>
      <c r="H64" s="413">
        <v>2128.09</v>
      </c>
      <c r="I64" s="414">
        <v>10559.87</v>
      </c>
      <c r="K64" s="93"/>
      <c r="L64" s="96"/>
      <c r="M64" s="95"/>
      <c r="O64" s="93"/>
      <c r="P64" s="96"/>
      <c r="Q64" s="95"/>
      <c r="S64" s="97">
        <f t="shared" si="2"/>
        <v>9907.2070936549808</v>
      </c>
      <c r="T64" s="98">
        <f t="shared" si="2"/>
        <v>2374.8602334409261</v>
      </c>
      <c r="U64" s="99">
        <f t="shared" si="4"/>
        <v>12282.067327095907</v>
      </c>
    </row>
    <row r="65" spans="2:21" x14ac:dyDescent="0.3">
      <c r="B65" s="100">
        <v>46631</v>
      </c>
      <c r="C65" s="93">
        <v>1485.9395116972712</v>
      </c>
      <c r="D65" s="93">
        <v>236.25781539863445</v>
      </c>
      <c r="E65" s="95">
        <f t="shared" si="3"/>
        <v>1722.1973270959056</v>
      </c>
      <c r="G65" s="412">
        <v>8431.7800000000007</v>
      </c>
      <c r="H65" s="413">
        <v>2316.17</v>
      </c>
      <c r="I65" s="414">
        <v>10747.95</v>
      </c>
      <c r="K65" s="93"/>
      <c r="L65" s="96"/>
      <c r="M65" s="95"/>
      <c r="O65" s="93"/>
      <c r="P65" s="96"/>
      <c r="Q65" s="95"/>
      <c r="S65" s="97">
        <f t="shared" si="2"/>
        <v>9917.7195116972725</v>
      </c>
      <c r="T65" s="98">
        <f t="shared" si="2"/>
        <v>2552.4278153986347</v>
      </c>
      <c r="U65" s="99">
        <f t="shared" si="4"/>
        <v>12470.147327095907</v>
      </c>
    </row>
    <row r="66" spans="2:21" x14ac:dyDescent="0.3">
      <c r="B66" s="100">
        <v>46661</v>
      </c>
      <c r="C66" s="93">
        <v>1496.5268307181143</v>
      </c>
      <c r="D66" s="93">
        <v>225.67049637779141</v>
      </c>
      <c r="E66" s="95">
        <f t="shared" si="3"/>
        <v>1722.1973270959056</v>
      </c>
      <c r="G66" s="412">
        <v>8431.7800000000007</v>
      </c>
      <c r="H66" s="413">
        <v>2202.81</v>
      </c>
      <c r="I66" s="414">
        <v>10634.59</v>
      </c>
      <c r="K66" s="93"/>
      <c r="L66" s="96"/>
      <c r="M66" s="95"/>
      <c r="O66" s="93"/>
      <c r="P66" s="96"/>
      <c r="Q66" s="95"/>
      <c r="S66" s="97">
        <f t="shared" si="2"/>
        <v>9928.3068307181147</v>
      </c>
      <c r="T66" s="98">
        <f t="shared" si="2"/>
        <v>2428.4804963777915</v>
      </c>
      <c r="U66" s="99">
        <f t="shared" si="4"/>
        <v>12356.787327095906</v>
      </c>
    </row>
    <row r="67" spans="2:21" x14ac:dyDescent="0.3">
      <c r="B67" s="100">
        <v>46692</v>
      </c>
      <c r="C67" s="93">
        <v>1507.1895843869809</v>
      </c>
      <c r="D67" s="93">
        <v>215.00774270892484</v>
      </c>
      <c r="E67" s="95">
        <f t="shared" si="3"/>
        <v>1722.1973270959056</v>
      </c>
      <c r="G67" s="412">
        <v>8431.7800000000007</v>
      </c>
      <c r="H67" s="413">
        <v>2236.3000000000002</v>
      </c>
      <c r="I67" s="414">
        <v>10668.08</v>
      </c>
      <c r="K67" s="93"/>
      <c r="L67" s="96"/>
      <c r="M67" s="95"/>
      <c r="O67" s="93"/>
      <c r="P67" s="96"/>
      <c r="Q67" s="95"/>
      <c r="S67" s="97">
        <f t="shared" si="2"/>
        <v>9938.9695843869813</v>
      </c>
      <c r="T67" s="98">
        <f t="shared" si="2"/>
        <v>2451.3077427089252</v>
      </c>
      <c r="U67" s="99">
        <f t="shared" si="4"/>
        <v>12390.277327095906</v>
      </c>
    </row>
    <row r="68" spans="2:21" x14ac:dyDescent="0.3">
      <c r="B68" s="100">
        <v>46722</v>
      </c>
      <c r="C68" s="93">
        <v>1517.928310175738</v>
      </c>
      <c r="D68" s="93">
        <v>204.26901692016759</v>
      </c>
      <c r="E68" s="95">
        <f t="shared" si="3"/>
        <v>1722.1973270959056</v>
      </c>
      <c r="G68" s="412">
        <v>8431.7800000000007</v>
      </c>
      <c r="H68" s="413">
        <v>2125.52</v>
      </c>
      <c r="I68" s="414">
        <v>10557.3</v>
      </c>
      <c r="K68" s="93"/>
      <c r="L68" s="96"/>
      <c r="M68" s="95"/>
      <c r="O68" s="93"/>
      <c r="P68" s="96"/>
      <c r="Q68" s="95"/>
      <c r="S68" s="97">
        <f t="shared" si="2"/>
        <v>9949.708310175738</v>
      </c>
      <c r="T68" s="98">
        <f t="shared" si="2"/>
        <v>2329.7890169201673</v>
      </c>
      <c r="U68" s="99">
        <f t="shared" si="4"/>
        <v>12279.497327095905</v>
      </c>
    </row>
    <row r="69" spans="2:21" x14ac:dyDescent="0.3">
      <c r="B69" s="100">
        <v>46753</v>
      </c>
      <c r="C69" s="93">
        <v>1528.7435493857402</v>
      </c>
      <c r="D69" s="93">
        <v>193.45377771016544</v>
      </c>
      <c r="E69" s="95">
        <f t="shared" si="3"/>
        <v>1722.1973270959056</v>
      </c>
      <c r="G69" s="412">
        <v>8431.7800000000007</v>
      </c>
      <c r="H69" s="413">
        <v>2156.4299999999998</v>
      </c>
      <c r="I69" s="414">
        <v>10588.21</v>
      </c>
      <c r="K69" s="93"/>
      <c r="L69" s="96"/>
      <c r="M69" s="95"/>
      <c r="O69" s="93"/>
      <c r="P69" s="96"/>
      <c r="Q69" s="95"/>
      <c r="S69" s="97">
        <f t="shared" si="2"/>
        <v>9960.5235493857399</v>
      </c>
      <c r="T69" s="98">
        <f t="shared" si="2"/>
        <v>2349.8837777101653</v>
      </c>
      <c r="U69" s="99">
        <f t="shared" si="4"/>
        <v>12310.407327095905</v>
      </c>
    </row>
    <row r="70" spans="2:21" x14ac:dyDescent="0.3">
      <c r="B70" s="100">
        <v>46784</v>
      </c>
      <c r="C70" s="93">
        <v>1539.6358471751137</v>
      </c>
      <c r="D70" s="93">
        <v>182.56147992079204</v>
      </c>
      <c r="E70" s="95">
        <f t="shared" si="3"/>
        <v>1722.1973270959056</v>
      </c>
      <c r="G70" s="412">
        <v>8431.7800000000007</v>
      </c>
      <c r="H70" s="413">
        <v>2116.5</v>
      </c>
      <c r="I70" s="414">
        <v>10548.28</v>
      </c>
      <c r="K70" s="93"/>
      <c r="L70" s="96"/>
      <c r="M70" s="95"/>
      <c r="O70" s="93"/>
      <c r="P70" s="96"/>
      <c r="Q70" s="95"/>
      <c r="S70" s="97">
        <f t="shared" si="2"/>
        <v>9971.4158471751143</v>
      </c>
      <c r="T70" s="98">
        <f t="shared" si="2"/>
        <v>2299.061479920792</v>
      </c>
      <c r="U70" s="99">
        <f t="shared" si="4"/>
        <v>12270.477327095907</v>
      </c>
    </row>
    <row r="71" spans="2:21" x14ac:dyDescent="0.3">
      <c r="B71" s="100">
        <v>46813</v>
      </c>
      <c r="C71" s="93">
        <v>1550.6057525862361</v>
      </c>
      <c r="D71" s="93">
        <v>171.59157450966939</v>
      </c>
      <c r="E71" s="95">
        <f t="shared" si="3"/>
        <v>1722.1973270959056</v>
      </c>
      <c r="G71" s="412">
        <v>8431.7800000000007</v>
      </c>
      <c r="H71" s="413">
        <v>2009.58</v>
      </c>
      <c r="I71" s="414">
        <v>10441.36</v>
      </c>
      <c r="K71" s="93"/>
      <c r="L71" s="96"/>
      <c r="M71" s="95"/>
      <c r="O71" s="93"/>
      <c r="P71" s="96"/>
      <c r="Q71" s="95"/>
      <c r="S71" s="97">
        <f t="shared" si="2"/>
        <v>9982.3857525862368</v>
      </c>
      <c r="T71" s="98">
        <f t="shared" si="2"/>
        <v>2181.1715745096694</v>
      </c>
      <c r="U71" s="99">
        <f t="shared" si="4"/>
        <v>12163.557327095907</v>
      </c>
    </row>
    <row r="72" spans="2:21" x14ac:dyDescent="0.3">
      <c r="B72" s="100">
        <v>46844</v>
      </c>
      <c r="C72" s="93">
        <v>1561.6538185734132</v>
      </c>
      <c r="D72" s="93">
        <v>160.54350852249246</v>
      </c>
      <c r="E72" s="95">
        <f t="shared" si="3"/>
        <v>1722.1973270959056</v>
      </c>
      <c r="G72" s="412">
        <v>8431.7800000000007</v>
      </c>
      <c r="H72" s="413">
        <v>2036.63</v>
      </c>
      <c r="I72" s="414">
        <v>10468.41</v>
      </c>
      <c r="K72" s="93"/>
      <c r="L72" s="96"/>
      <c r="M72" s="95"/>
      <c r="O72" s="93"/>
      <c r="P72" s="96"/>
      <c r="Q72" s="95"/>
      <c r="S72" s="97">
        <f t="shared" si="2"/>
        <v>9993.4338185734141</v>
      </c>
      <c r="T72" s="98">
        <f t="shared" si="2"/>
        <v>2197.1735085224927</v>
      </c>
      <c r="U72" s="99">
        <f t="shared" si="4"/>
        <v>12190.607327095906</v>
      </c>
    </row>
    <row r="73" spans="2:21" x14ac:dyDescent="0.3">
      <c r="B73" s="100">
        <v>46874</v>
      </c>
      <c r="C73" s="93">
        <v>1572.7806020307487</v>
      </c>
      <c r="D73" s="93">
        <v>149.4167250651569</v>
      </c>
      <c r="E73" s="95">
        <f t="shared" si="3"/>
        <v>1722.1973270959056</v>
      </c>
      <c r="G73" s="412">
        <v>8431.7800000000007</v>
      </c>
      <c r="H73" s="413">
        <v>1932.29</v>
      </c>
      <c r="I73" s="414">
        <v>10364.07</v>
      </c>
      <c r="K73" s="93"/>
      <c r="L73" s="96"/>
      <c r="M73" s="95"/>
      <c r="O73" s="93"/>
      <c r="P73" s="96"/>
      <c r="Q73" s="95"/>
      <c r="S73" s="97">
        <f t="shared" si="2"/>
        <v>10004.56060203075</v>
      </c>
      <c r="T73" s="98">
        <f t="shared" si="2"/>
        <v>2081.7067250651567</v>
      </c>
      <c r="U73" s="99">
        <f t="shared" si="4"/>
        <v>12086.267327095906</v>
      </c>
    </row>
    <row r="74" spans="2:21" x14ac:dyDescent="0.3">
      <c r="B74" s="100">
        <v>46905</v>
      </c>
      <c r="C74" s="93">
        <v>1583.9866638202179</v>
      </c>
      <c r="D74" s="93">
        <v>138.21066327568781</v>
      </c>
      <c r="E74" s="95">
        <f t="shared" si="3"/>
        <v>1722.1973270959056</v>
      </c>
      <c r="G74" s="412">
        <v>8431.7800000000007</v>
      </c>
      <c r="H74" s="413">
        <v>1956.76</v>
      </c>
      <c r="I74" s="414">
        <v>10388.540000000001</v>
      </c>
      <c r="K74" s="93"/>
      <c r="L74" s="96"/>
      <c r="M74" s="95"/>
      <c r="O74" s="93"/>
      <c r="P74" s="96"/>
      <c r="Q74" s="95"/>
      <c r="S74" s="97">
        <f t="shared" si="2"/>
        <v>10015.766663820219</v>
      </c>
      <c r="T74" s="98">
        <f t="shared" si="2"/>
        <v>2094.9706632756879</v>
      </c>
      <c r="U74" s="99">
        <f t="shared" si="4"/>
        <v>12110.737327095907</v>
      </c>
    </row>
    <row r="75" spans="2:21" x14ac:dyDescent="0.3">
      <c r="B75" s="100">
        <v>46935</v>
      </c>
      <c r="C75" s="93">
        <v>1595.2725687999368</v>
      </c>
      <c r="D75" s="93">
        <v>126.92475829596874</v>
      </c>
      <c r="E75" s="95">
        <f t="shared" si="3"/>
        <v>1722.1973270959056</v>
      </c>
      <c r="G75" s="412">
        <v>8431.7800000000007</v>
      </c>
      <c r="H75" s="413">
        <v>1916.83</v>
      </c>
      <c r="I75" s="414">
        <v>10348.61</v>
      </c>
      <c r="K75" s="93"/>
      <c r="L75" s="96"/>
      <c r="M75" s="95"/>
      <c r="O75" s="93"/>
      <c r="P75" s="96"/>
      <c r="Q75" s="95"/>
      <c r="S75" s="97">
        <f t="shared" si="2"/>
        <v>10027.052568799938</v>
      </c>
      <c r="T75" s="98">
        <f t="shared" si="2"/>
        <v>2043.7547582959687</v>
      </c>
      <c r="U75" s="99">
        <f t="shared" si="4"/>
        <v>12070.807327095907</v>
      </c>
    </row>
    <row r="76" spans="2:21" x14ac:dyDescent="0.3">
      <c r="B76" s="100">
        <v>46966</v>
      </c>
      <c r="C76" s="93">
        <v>1606.6388858526363</v>
      </c>
      <c r="D76" s="93">
        <v>115.5584412432692</v>
      </c>
      <c r="E76" s="95">
        <f t="shared" si="3"/>
        <v>1722.1973270959056</v>
      </c>
      <c r="G76" s="412">
        <v>8431.7800000000007</v>
      </c>
      <c r="H76" s="413">
        <v>1695.26</v>
      </c>
      <c r="I76" s="414">
        <v>10127.040000000001</v>
      </c>
      <c r="K76" s="93"/>
      <c r="L76" s="96"/>
      <c r="M76" s="95"/>
      <c r="O76" s="93"/>
      <c r="P76" s="96"/>
      <c r="Q76" s="95"/>
      <c r="S76" s="97">
        <f t="shared" si="2"/>
        <v>10038.418885852638</v>
      </c>
      <c r="T76" s="98">
        <f t="shared" si="2"/>
        <v>1810.8184412432693</v>
      </c>
      <c r="U76" s="99">
        <f t="shared" si="4"/>
        <v>11849.237327095907</v>
      </c>
    </row>
    <row r="77" spans="2:21" x14ac:dyDescent="0.3">
      <c r="B77" s="100">
        <v>46997</v>
      </c>
      <c r="C77" s="93">
        <v>1618.0861879143365</v>
      </c>
      <c r="D77" s="93">
        <v>104.11113918156916</v>
      </c>
      <c r="E77" s="95">
        <f t="shared" si="3"/>
        <v>1722.1973270959056</v>
      </c>
      <c r="G77" s="412">
        <v>8431.7800000000007</v>
      </c>
      <c r="H77" s="413">
        <v>1836.96</v>
      </c>
      <c r="I77" s="414">
        <v>10268.74</v>
      </c>
      <c r="K77" s="93"/>
      <c r="L77" s="96"/>
      <c r="M77" s="95"/>
      <c r="O77" s="93"/>
      <c r="P77" s="96"/>
      <c r="Q77" s="95"/>
      <c r="S77" s="97">
        <f t="shared" si="2"/>
        <v>10049.866187914336</v>
      </c>
      <c r="T77" s="98">
        <f t="shared" si="2"/>
        <v>1941.0711391815692</v>
      </c>
      <c r="U77" s="99">
        <f t="shared" si="4"/>
        <v>11990.937327095906</v>
      </c>
    </row>
    <row r="78" spans="2:21" x14ac:dyDescent="0.3">
      <c r="B78" s="100">
        <v>47027</v>
      </c>
      <c r="C78" s="93">
        <v>1629.6150520032261</v>
      </c>
      <c r="D78" s="93">
        <v>92.582275092679524</v>
      </c>
      <c r="E78" s="95">
        <f t="shared" si="3"/>
        <v>1722.1973270959056</v>
      </c>
      <c r="G78" s="412">
        <v>8431.7800000000007</v>
      </c>
      <c r="H78" s="413">
        <v>1739.06</v>
      </c>
      <c r="I78" s="414">
        <v>10170.84</v>
      </c>
      <c r="K78" s="93"/>
      <c r="L78" s="96"/>
      <c r="M78" s="95"/>
      <c r="O78" s="93"/>
      <c r="P78" s="96"/>
      <c r="Q78" s="95"/>
      <c r="S78" s="97">
        <f t="shared" si="2"/>
        <v>10061.395052003227</v>
      </c>
      <c r="T78" s="98">
        <f t="shared" si="2"/>
        <v>1831.6422750926795</v>
      </c>
      <c r="U78" s="99">
        <f t="shared" si="4"/>
        <v>11893.037327095906</v>
      </c>
    </row>
    <row r="79" spans="2:21" x14ac:dyDescent="0.3">
      <c r="B79" s="100">
        <v>47058</v>
      </c>
      <c r="C79" s="93">
        <v>1641.2260592487492</v>
      </c>
      <c r="D79" s="93">
        <v>80.971267847156525</v>
      </c>
      <c r="E79" s="95">
        <f t="shared" si="3"/>
        <v>1722.1973270959056</v>
      </c>
      <c r="G79" s="412">
        <v>8431.7800000000007</v>
      </c>
      <c r="H79" s="413">
        <v>1757.09</v>
      </c>
      <c r="I79" s="414">
        <v>10188.870000000001</v>
      </c>
      <c r="K79" s="93"/>
      <c r="L79" s="96"/>
      <c r="M79" s="95"/>
      <c r="O79" s="93"/>
      <c r="P79" s="96"/>
      <c r="Q79" s="95"/>
      <c r="S79" s="97">
        <f t="shared" si="2"/>
        <v>10073.00605924875</v>
      </c>
      <c r="T79" s="98">
        <f t="shared" si="2"/>
        <v>1838.0612678471564</v>
      </c>
      <c r="U79" s="99">
        <f t="shared" si="4"/>
        <v>11911.067327095907</v>
      </c>
    </row>
    <row r="80" spans="2:21" x14ac:dyDescent="0.3">
      <c r="B80" s="100">
        <v>47088</v>
      </c>
      <c r="C80" s="93">
        <v>1652.9197949208965</v>
      </c>
      <c r="D80" s="93">
        <v>69.277532175009185</v>
      </c>
      <c r="E80" s="95">
        <f t="shared" si="3"/>
        <v>1722.1973270959056</v>
      </c>
      <c r="G80" s="412">
        <v>8431.7800000000007</v>
      </c>
      <c r="H80" s="413">
        <v>1661.77</v>
      </c>
      <c r="I80" s="414">
        <v>10093.549999999999</v>
      </c>
      <c r="K80" s="93"/>
      <c r="L80" s="96"/>
      <c r="M80" s="95"/>
      <c r="O80" s="93"/>
      <c r="P80" s="96"/>
      <c r="Q80" s="95"/>
      <c r="S80" s="97">
        <f t="shared" si="2"/>
        <v>10084.699794920896</v>
      </c>
      <c r="T80" s="98">
        <f t="shared" si="2"/>
        <v>1731.0475321750091</v>
      </c>
      <c r="U80" s="99">
        <f t="shared" si="4"/>
        <v>11815.747327095905</v>
      </c>
    </row>
    <row r="81" spans="2:21" x14ac:dyDescent="0.3">
      <c r="B81" s="100">
        <v>47119</v>
      </c>
      <c r="C81" s="93">
        <v>1664.6968484597078</v>
      </c>
      <c r="D81" s="93">
        <v>57.500478636197791</v>
      </c>
      <c r="E81" s="95">
        <f t="shared" si="3"/>
        <v>1722.1973270959056</v>
      </c>
      <c r="G81" s="412">
        <v>8431.7800000000007</v>
      </c>
      <c r="H81" s="413">
        <v>1677.23</v>
      </c>
      <c r="I81" s="414">
        <v>10109.01</v>
      </c>
      <c r="K81" s="93"/>
      <c r="L81" s="96"/>
      <c r="M81" s="95"/>
      <c r="O81" s="93"/>
      <c r="P81" s="96"/>
      <c r="Q81" s="95"/>
      <c r="S81" s="97">
        <f t="shared" si="2"/>
        <v>10096.476848459708</v>
      </c>
      <c r="T81" s="98">
        <f t="shared" si="2"/>
        <v>1734.7304786361979</v>
      </c>
      <c r="U81" s="99">
        <f t="shared" si="4"/>
        <v>11831.207327095906</v>
      </c>
    </row>
    <row r="82" spans="2:21" x14ac:dyDescent="0.3">
      <c r="B82" s="100">
        <v>47150</v>
      </c>
      <c r="C82" s="93">
        <v>1676.5578135049832</v>
      </c>
      <c r="D82" s="93">
        <v>45.639513590922377</v>
      </c>
      <c r="E82" s="95">
        <f t="shared" si="3"/>
        <v>1722.1973270959056</v>
      </c>
      <c r="G82" s="412">
        <v>8431.7800000000007</v>
      </c>
      <c r="H82" s="413">
        <v>1637.29</v>
      </c>
      <c r="I82" s="414">
        <v>10069.07</v>
      </c>
      <c r="K82" s="93"/>
      <c r="L82" s="96"/>
      <c r="M82" s="95"/>
      <c r="O82" s="93"/>
      <c r="P82" s="96"/>
      <c r="Q82" s="95"/>
      <c r="S82" s="97">
        <f t="shared" si="2"/>
        <v>10108.337813504984</v>
      </c>
      <c r="T82" s="98">
        <f t="shared" si="2"/>
        <v>1682.9295135909224</v>
      </c>
      <c r="U82" s="99">
        <f t="shared" si="4"/>
        <v>11791.267327095906</v>
      </c>
    </row>
    <row r="83" spans="2:21" x14ac:dyDescent="0.3">
      <c r="B83" s="100">
        <v>47178</v>
      </c>
      <c r="C83" s="93">
        <v>1688.5032879262062</v>
      </c>
      <c r="D83" s="93">
        <v>33.694039169699366</v>
      </c>
      <c r="E83" s="95">
        <f t="shared" si="3"/>
        <v>1722.1973270959056</v>
      </c>
      <c r="G83" s="412">
        <v>8431.7800000000007</v>
      </c>
      <c r="H83" s="413">
        <v>1545.83</v>
      </c>
      <c r="I83" s="414">
        <v>9977.61</v>
      </c>
      <c r="K83" s="93"/>
      <c r="L83" s="96"/>
      <c r="M83" s="95"/>
      <c r="O83" s="93"/>
      <c r="P83" s="96"/>
      <c r="Q83" s="95"/>
      <c r="S83" s="97">
        <f t="shared" si="2"/>
        <v>10120.283287926206</v>
      </c>
      <c r="T83" s="98">
        <f t="shared" si="2"/>
        <v>1579.5240391696993</v>
      </c>
      <c r="U83" s="99">
        <f t="shared" si="4"/>
        <v>11699.807327095905</v>
      </c>
    </row>
    <row r="84" spans="2:21" x14ac:dyDescent="0.3">
      <c r="B84" s="100">
        <v>47209</v>
      </c>
      <c r="C84" s="93">
        <v>1700.5338738526805</v>
      </c>
      <c r="D84" s="93">
        <v>21.663453243225145</v>
      </c>
      <c r="E84" s="95">
        <f t="shared" si="3"/>
        <v>1722.1973270959056</v>
      </c>
      <c r="G84" s="412">
        <v>8431.7800000000007</v>
      </c>
      <c r="H84" s="413">
        <v>1557.42</v>
      </c>
      <c r="I84" s="414">
        <v>9989.2000000000007</v>
      </c>
      <c r="K84" s="93"/>
      <c r="L84" s="96"/>
      <c r="M84" s="95"/>
      <c r="O84" s="93"/>
      <c r="P84" s="96"/>
      <c r="Q84" s="95"/>
      <c r="S84" s="97">
        <f t="shared" si="2"/>
        <v>10132.313873852681</v>
      </c>
      <c r="T84" s="98">
        <f t="shared" si="2"/>
        <v>1579.0834532432252</v>
      </c>
      <c r="U84" s="99">
        <f t="shared" si="4"/>
        <v>11711.397327095907</v>
      </c>
    </row>
    <row r="85" spans="2:21" x14ac:dyDescent="0.3">
      <c r="B85" s="100">
        <v>47239</v>
      </c>
      <c r="C85" s="93">
        <v>1340</v>
      </c>
      <c r="D85" s="93">
        <v>0</v>
      </c>
      <c r="E85" s="95">
        <f t="shared" si="3"/>
        <v>1340</v>
      </c>
      <c r="G85" s="412">
        <v>8431.7800000000007</v>
      </c>
      <c r="H85" s="413">
        <v>1468.54</v>
      </c>
      <c r="I85" s="414">
        <v>9900.32</v>
      </c>
      <c r="K85" s="93"/>
      <c r="L85" s="96"/>
      <c r="M85" s="95"/>
      <c r="O85" s="93"/>
      <c r="P85" s="96"/>
      <c r="Q85" s="95"/>
      <c r="S85" s="97">
        <f t="shared" si="2"/>
        <v>9771.7800000000007</v>
      </c>
      <c r="T85" s="98">
        <f t="shared" si="2"/>
        <v>1468.54</v>
      </c>
      <c r="U85" s="99">
        <f t="shared" si="4"/>
        <v>11240.32</v>
      </c>
    </row>
    <row r="86" spans="2:21" x14ac:dyDescent="0.3">
      <c r="B86" s="100" t="s">
        <v>104</v>
      </c>
      <c r="C86" s="93">
        <v>0</v>
      </c>
      <c r="D86" s="93">
        <v>0</v>
      </c>
      <c r="E86" s="95"/>
      <c r="G86" s="412">
        <v>8431.7800000000007</v>
      </c>
      <c r="H86" s="413">
        <v>1477.56</v>
      </c>
      <c r="I86" s="414">
        <v>9909.34</v>
      </c>
      <c r="K86" s="93"/>
      <c r="L86" s="96"/>
      <c r="M86" s="95"/>
      <c r="O86" s="93"/>
      <c r="P86" s="96"/>
      <c r="Q86" s="95"/>
      <c r="S86" s="97">
        <f t="shared" si="2"/>
        <v>8431.7800000000007</v>
      </c>
      <c r="T86" s="98">
        <f t="shared" si="2"/>
        <v>1477.56</v>
      </c>
      <c r="U86" s="99">
        <f t="shared" si="4"/>
        <v>9909.34</v>
      </c>
    </row>
    <row r="87" spans="2:21" x14ac:dyDescent="0.3">
      <c r="B87" s="100" t="s">
        <v>105</v>
      </c>
      <c r="C87" s="93">
        <v>0</v>
      </c>
      <c r="D87" s="93">
        <v>0</v>
      </c>
      <c r="E87" s="95"/>
      <c r="G87" s="412">
        <v>8431.7800000000007</v>
      </c>
      <c r="H87" s="413">
        <v>1437.62</v>
      </c>
      <c r="I87" s="414">
        <v>9869.4</v>
      </c>
      <c r="K87" s="93"/>
      <c r="L87" s="96"/>
      <c r="M87" s="95"/>
      <c r="O87" s="93"/>
      <c r="P87" s="96"/>
      <c r="Q87" s="95"/>
      <c r="S87" s="97">
        <f t="shared" si="2"/>
        <v>8431.7800000000007</v>
      </c>
      <c r="T87" s="98">
        <f t="shared" si="2"/>
        <v>1437.62</v>
      </c>
      <c r="U87" s="99">
        <f t="shared" si="4"/>
        <v>9869.4000000000015</v>
      </c>
    </row>
    <row r="88" spans="2:21" x14ac:dyDescent="0.3">
      <c r="B88" s="100" t="s">
        <v>106</v>
      </c>
      <c r="C88" s="93"/>
      <c r="D88" s="93"/>
      <c r="E88" s="95"/>
      <c r="G88" s="412">
        <v>8431.7800000000007</v>
      </c>
      <c r="H88" s="413">
        <v>1252.43</v>
      </c>
      <c r="I88" s="414">
        <v>9684.2099999999991</v>
      </c>
      <c r="K88" s="93"/>
      <c r="L88" s="96"/>
      <c r="M88" s="95"/>
      <c r="O88" s="93"/>
      <c r="P88" s="96"/>
      <c r="Q88" s="95"/>
      <c r="S88" s="97"/>
      <c r="T88" s="98"/>
      <c r="U88" s="99"/>
    </row>
    <row r="89" spans="2:21" x14ac:dyDescent="0.3">
      <c r="B89" s="100" t="s">
        <v>107</v>
      </c>
      <c r="C89" s="93"/>
      <c r="D89" s="93"/>
      <c r="E89" s="95"/>
      <c r="G89" s="412">
        <v>8431.7800000000007</v>
      </c>
      <c r="H89" s="413">
        <v>1357.75</v>
      </c>
      <c r="I89" s="414">
        <v>9789.5300000000007</v>
      </c>
      <c r="K89" s="93"/>
      <c r="L89" s="96"/>
      <c r="M89" s="95"/>
      <c r="O89" s="93"/>
      <c r="P89" s="96"/>
      <c r="Q89" s="95"/>
      <c r="S89" s="97"/>
      <c r="T89" s="98"/>
      <c r="U89" s="99"/>
    </row>
    <row r="90" spans="2:21" x14ac:dyDescent="0.3">
      <c r="B90" s="100" t="s">
        <v>108</v>
      </c>
      <c r="C90" s="93"/>
      <c r="D90" s="93"/>
      <c r="E90" s="95"/>
      <c r="G90" s="412">
        <v>8431.7800000000007</v>
      </c>
      <c r="H90" s="413">
        <v>1275.31</v>
      </c>
      <c r="I90" s="414">
        <v>9707.09</v>
      </c>
      <c r="K90" s="93"/>
      <c r="L90" s="96"/>
      <c r="M90" s="95"/>
      <c r="O90" s="93"/>
      <c r="P90" s="96"/>
      <c r="Q90" s="95"/>
      <c r="S90" s="97"/>
      <c r="T90" s="98"/>
      <c r="U90" s="99"/>
    </row>
    <row r="91" spans="2:21" x14ac:dyDescent="0.3">
      <c r="B91" s="100" t="s">
        <v>109</v>
      </c>
      <c r="C91" s="93"/>
      <c r="D91" s="93"/>
      <c r="E91" s="95"/>
      <c r="G91" s="412">
        <v>8431.7800000000007</v>
      </c>
      <c r="H91" s="413">
        <v>1277.8900000000001</v>
      </c>
      <c r="I91" s="414">
        <v>9709.67</v>
      </c>
      <c r="K91" s="93"/>
      <c r="L91" s="96"/>
      <c r="M91" s="95"/>
      <c r="O91" s="93"/>
      <c r="P91" s="96"/>
      <c r="Q91" s="95"/>
      <c r="S91" s="97"/>
      <c r="T91" s="98"/>
      <c r="U91" s="99"/>
    </row>
    <row r="92" spans="2:21" x14ac:dyDescent="0.3">
      <c r="B92" s="100" t="s">
        <v>110</v>
      </c>
      <c r="C92" s="93"/>
      <c r="D92" s="93"/>
      <c r="E92" s="95"/>
      <c r="G92" s="412">
        <v>8431.7800000000007</v>
      </c>
      <c r="H92" s="413">
        <v>1198.02</v>
      </c>
      <c r="I92" s="414">
        <v>9629.7999999999993</v>
      </c>
      <c r="K92" s="93"/>
      <c r="L92" s="96"/>
      <c r="M92" s="95"/>
      <c r="O92" s="93"/>
      <c r="P92" s="96"/>
      <c r="Q92" s="95"/>
      <c r="S92" s="97"/>
      <c r="T92" s="98"/>
      <c r="U92" s="99"/>
    </row>
    <row r="93" spans="2:21" x14ac:dyDescent="0.3">
      <c r="B93" s="100" t="s">
        <v>111</v>
      </c>
      <c r="C93" s="93"/>
      <c r="D93" s="93"/>
      <c r="E93" s="95"/>
      <c r="G93" s="412">
        <v>8431.7800000000007</v>
      </c>
      <c r="H93" s="413">
        <v>1198.02</v>
      </c>
      <c r="I93" s="414">
        <v>9629.7999999999993</v>
      </c>
      <c r="K93" s="93"/>
      <c r="L93" s="96"/>
      <c r="M93" s="95"/>
      <c r="O93" s="93"/>
      <c r="P93" s="96"/>
      <c r="Q93" s="95"/>
      <c r="S93" s="97"/>
      <c r="T93" s="98"/>
      <c r="U93" s="99"/>
    </row>
    <row r="94" spans="2:21" x14ac:dyDescent="0.3">
      <c r="B94" s="100" t="s">
        <v>112</v>
      </c>
      <c r="C94" s="93"/>
      <c r="D94" s="93"/>
      <c r="E94" s="95"/>
      <c r="G94" s="412">
        <v>8431.7800000000007</v>
      </c>
      <c r="H94" s="413">
        <v>1158.0899999999999</v>
      </c>
      <c r="I94" s="414">
        <v>9589.8700000000008</v>
      </c>
      <c r="K94" s="93"/>
      <c r="L94" s="96"/>
      <c r="M94" s="95"/>
      <c r="O94" s="93"/>
      <c r="P94" s="96"/>
      <c r="Q94" s="95"/>
      <c r="S94" s="97"/>
      <c r="T94" s="98"/>
      <c r="U94" s="99"/>
    </row>
    <row r="95" spans="2:21" x14ac:dyDescent="0.3">
      <c r="B95" s="100" t="s">
        <v>113</v>
      </c>
      <c r="C95" s="93"/>
      <c r="D95" s="93"/>
      <c r="E95" s="95"/>
      <c r="G95" s="412">
        <v>8431.7800000000007</v>
      </c>
      <c r="H95" s="413">
        <v>1082.08</v>
      </c>
      <c r="I95" s="414">
        <v>9513.86</v>
      </c>
      <c r="K95" s="93"/>
      <c r="L95" s="96"/>
      <c r="M95" s="95"/>
      <c r="O95" s="93"/>
      <c r="P95" s="96"/>
      <c r="Q95" s="95"/>
      <c r="S95" s="97"/>
      <c r="T95" s="98"/>
      <c r="U95" s="99"/>
    </row>
    <row r="96" spans="2:21" x14ac:dyDescent="0.3">
      <c r="B96" s="100" t="s">
        <v>114</v>
      </c>
      <c r="C96" s="93"/>
      <c r="D96" s="93"/>
      <c r="E96" s="95"/>
      <c r="G96" s="412">
        <v>8431.7800000000007</v>
      </c>
      <c r="H96" s="413">
        <v>1078.22</v>
      </c>
      <c r="I96" s="414">
        <v>9510</v>
      </c>
      <c r="K96" s="93"/>
      <c r="L96" s="96"/>
      <c r="M96" s="95"/>
      <c r="O96" s="93"/>
      <c r="P96" s="96"/>
      <c r="Q96" s="95"/>
      <c r="S96" s="97"/>
      <c r="T96" s="98"/>
      <c r="U96" s="99"/>
    </row>
    <row r="97" spans="2:21" x14ac:dyDescent="0.3">
      <c r="B97" s="100" t="s">
        <v>115</v>
      </c>
      <c r="C97" s="93"/>
      <c r="D97" s="93"/>
      <c r="E97" s="95"/>
      <c r="G97" s="412">
        <v>8431.7800000000007</v>
      </c>
      <c r="H97" s="413">
        <v>1004.79</v>
      </c>
      <c r="I97" s="414">
        <v>9436.57</v>
      </c>
      <c r="K97" s="93"/>
      <c r="L97" s="96"/>
      <c r="M97" s="95"/>
      <c r="O97" s="93"/>
      <c r="P97" s="96"/>
      <c r="Q97" s="95"/>
      <c r="S97" s="97"/>
      <c r="T97" s="98"/>
      <c r="U97" s="99"/>
    </row>
    <row r="98" spans="2:21" x14ac:dyDescent="0.3">
      <c r="B98" s="100" t="s">
        <v>116</v>
      </c>
      <c r="C98" s="93"/>
      <c r="D98" s="93"/>
      <c r="E98" s="95"/>
      <c r="G98" s="412">
        <v>8431.7800000000007</v>
      </c>
      <c r="H98" s="413">
        <v>998.35</v>
      </c>
      <c r="I98" s="414">
        <v>9430.1299999999992</v>
      </c>
      <c r="K98" s="93"/>
      <c r="L98" s="96"/>
      <c r="M98" s="95"/>
      <c r="O98" s="93"/>
      <c r="P98" s="96"/>
      <c r="Q98" s="95"/>
      <c r="S98" s="97"/>
      <c r="T98" s="98"/>
      <c r="U98" s="99"/>
    </row>
    <row r="99" spans="2:21" x14ac:dyDescent="0.3">
      <c r="B99" s="100" t="s">
        <v>117</v>
      </c>
      <c r="C99" s="93"/>
      <c r="D99" s="93"/>
      <c r="E99" s="95"/>
      <c r="G99" s="412">
        <v>8431.7800000000007</v>
      </c>
      <c r="H99" s="413">
        <v>958.42</v>
      </c>
      <c r="I99" s="414">
        <v>9390.2000000000007</v>
      </c>
      <c r="K99" s="93"/>
      <c r="L99" s="96"/>
      <c r="M99" s="95"/>
      <c r="O99" s="93"/>
      <c r="P99" s="96"/>
      <c r="Q99" s="95"/>
      <c r="S99" s="97"/>
      <c r="T99" s="98"/>
      <c r="U99" s="99"/>
    </row>
    <row r="100" spans="2:21" x14ac:dyDescent="0.3">
      <c r="B100" s="100" t="s">
        <v>118</v>
      </c>
      <c r="C100" s="93"/>
      <c r="D100" s="93"/>
      <c r="E100" s="95"/>
      <c r="G100" s="412">
        <v>8431.7800000000007</v>
      </c>
      <c r="H100" s="413">
        <v>829.6</v>
      </c>
      <c r="I100" s="414">
        <v>9261.3799999999992</v>
      </c>
      <c r="K100" s="93"/>
      <c r="L100" s="96"/>
      <c r="M100" s="95"/>
      <c r="O100" s="93"/>
      <c r="P100" s="96"/>
      <c r="Q100" s="95"/>
      <c r="S100" s="97"/>
      <c r="T100" s="98"/>
      <c r="U100" s="99"/>
    </row>
    <row r="101" spans="2:21" x14ac:dyDescent="0.3">
      <c r="B101" s="100" t="s">
        <v>119</v>
      </c>
      <c r="C101" s="93"/>
      <c r="D101" s="93"/>
      <c r="E101" s="95"/>
      <c r="G101" s="412">
        <v>8431.7800000000007</v>
      </c>
      <c r="H101" s="413">
        <v>878.55</v>
      </c>
      <c r="I101" s="414">
        <v>9310.33</v>
      </c>
      <c r="K101" s="93"/>
      <c r="L101" s="96"/>
      <c r="M101" s="95"/>
      <c r="O101" s="93"/>
      <c r="P101" s="96"/>
      <c r="Q101" s="95"/>
      <c r="S101" s="97"/>
      <c r="T101" s="98"/>
      <c r="U101" s="99"/>
    </row>
    <row r="102" spans="2:21" x14ac:dyDescent="0.3">
      <c r="B102" s="100" t="s">
        <v>120</v>
      </c>
      <c r="C102" s="93"/>
      <c r="D102" s="93"/>
      <c r="E102" s="95"/>
      <c r="G102" s="412">
        <v>8431.7800000000007</v>
      </c>
      <c r="H102" s="413">
        <v>811.56</v>
      </c>
      <c r="I102" s="414">
        <v>9243.34</v>
      </c>
      <c r="K102" s="93"/>
      <c r="L102" s="96"/>
      <c r="M102" s="95"/>
      <c r="O102" s="93"/>
      <c r="P102" s="96"/>
      <c r="Q102" s="95"/>
      <c r="S102" s="97"/>
      <c r="T102" s="98"/>
      <c r="U102" s="99"/>
    </row>
    <row r="103" spans="2:21" x14ac:dyDescent="0.3">
      <c r="B103" s="100" t="s">
        <v>121</v>
      </c>
      <c r="C103" s="93"/>
      <c r="D103" s="93"/>
      <c r="E103" s="95"/>
      <c r="G103" s="412">
        <v>8431.7800000000007</v>
      </c>
      <c r="H103" s="413">
        <v>818.68</v>
      </c>
      <c r="I103" s="414">
        <v>9250.4599999999991</v>
      </c>
      <c r="K103" s="93"/>
      <c r="L103" s="96"/>
      <c r="M103" s="95"/>
      <c r="O103" s="93"/>
      <c r="P103" s="96"/>
      <c r="Q103" s="95"/>
      <c r="S103" s="97"/>
      <c r="T103" s="98"/>
      <c r="U103" s="99"/>
    </row>
    <row r="104" spans="2:21" x14ac:dyDescent="0.3">
      <c r="B104" s="100" t="s">
        <v>122</v>
      </c>
      <c r="C104" s="93"/>
      <c r="D104" s="93"/>
      <c r="E104" s="95"/>
      <c r="G104" s="412">
        <v>8431.7800000000007</v>
      </c>
      <c r="H104" s="413">
        <v>734.27</v>
      </c>
      <c r="I104" s="414">
        <v>9166.0499999999993</v>
      </c>
      <c r="K104" s="93"/>
      <c r="L104" s="96"/>
      <c r="M104" s="95"/>
      <c r="O104" s="93"/>
      <c r="P104" s="96"/>
      <c r="Q104" s="95"/>
      <c r="S104" s="97"/>
      <c r="T104" s="98"/>
      <c r="U104" s="99"/>
    </row>
    <row r="105" spans="2:21" x14ac:dyDescent="0.3">
      <c r="B105" s="100" t="s">
        <v>123</v>
      </c>
      <c r="C105" s="93"/>
      <c r="D105" s="93"/>
      <c r="E105" s="95"/>
      <c r="G105" s="412">
        <v>8431.7800000000007</v>
      </c>
      <c r="H105" s="413">
        <v>718.81</v>
      </c>
      <c r="I105" s="414">
        <v>9150.59</v>
      </c>
      <c r="K105" s="93"/>
      <c r="L105" s="96"/>
      <c r="M105" s="95"/>
      <c r="O105" s="93"/>
      <c r="P105" s="96"/>
      <c r="Q105" s="95"/>
      <c r="S105" s="97"/>
      <c r="T105" s="98"/>
      <c r="U105" s="99"/>
    </row>
    <row r="106" spans="2:21" x14ac:dyDescent="0.3">
      <c r="B106" s="100" t="s">
        <v>124</v>
      </c>
      <c r="C106" s="93"/>
      <c r="D106" s="93"/>
      <c r="E106" s="95"/>
      <c r="G106" s="412">
        <v>8431.7800000000007</v>
      </c>
      <c r="H106" s="413">
        <v>678.88</v>
      </c>
      <c r="I106" s="414">
        <v>9110.66</v>
      </c>
      <c r="K106" s="93"/>
      <c r="L106" s="96"/>
      <c r="M106" s="95"/>
      <c r="O106" s="93"/>
      <c r="P106" s="96"/>
      <c r="Q106" s="95"/>
      <c r="S106" s="97"/>
      <c r="T106" s="98"/>
      <c r="U106" s="99"/>
    </row>
    <row r="107" spans="2:21" x14ac:dyDescent="0.3">
      <c r="B107" s="100" t="s">
        <v>125</v>
      </c>
      <c r="C107" s="93"/>
      <c r="D107" s="93"/>
      <c r="E107" s="95"/>
      <c r="G107" s="412">
        <v>8431.7800000000007</v>
      </c>
      <c r="H107" s="413">
        <v>618.33000000000004</v>
      </c>
      <c r="I107" s="414">
        <v>9050.11</v>
      </c>
      <c r="K107" s="93"/>
      <c r="L107" s="96"/>
      <c r="M107" s="95"/>
      <c r="O107" s="93"/>
      <c r="P107" s="96"/>
      <c r="Q107" s="95"/>
      <c r="S107" s="97"/>
      <c r="T107" s="98"/>
      <c r="U107" s="99"/>
    </row>
    <row r="108" spans="2:21" x14ac:dyDescent="0.3">
      <c r="B108" s="100" t="s">
        <v>126</v>
      </c>
      <c r="C108" s="93"/>
      <c r="D108" s="93"/>
      <c r="E108" s="95"/>
      <c r="G108" s="412">
        <v>8431.7800000000007</v>
      </c>
      <c r="H108" s="413">
        <v>599.01</v>
      </c>
      <c r="I108" s="414">
        <v>9030.7900000000009</v>
      </c>
      <c r="K108" s="93"/>
      <c r="L108" s="96"/>
      <c r="M108" s="95"/>
      <c r="O108" s="93"/>
      <c r="P108" s="96"/>
      <c r="Q108" s="95"/>
      <c r="S108" s="97"/>
      <c r="T108" s="98"/>
      <c r="U108" s="99"/>
    </row>
    <row r="109" spans="2:21" x14ac:dyDescent="0.3">
      <c r="B109" s="100" t="s">
        <v>127</v>
      </c>
      <c r="C109" s="93"/>
      <c r="D109" s="93"/>
      <c r="E109" s="95"/>
      <c r="G109" s="412">
        <v>8431.7800000000007</v>
      </c>
      <c r="H109" s="413">
        <v>541.04</v>
      </c>
      <c r="I109" s="414">
        <v>8972.82</v>
      </c>
      <c r="K109" s="93"/>
      <c r="L109" s="96"/>
      <c r="M109" s="95"/>
      <c r="O109" s="93"/>
      <c r="P109" s="96"/>
      <c r="Q109" s="95"/>
      <c r="S109" s="97"/>
      <c r="T109" s="98"/>
      <c r="U109" s="99"/>
    </row>
    <row r="110" spans="2:21" x14ac:dyDescent="0.3">
      <c r="B110" s="100" t="s">
        <v>128</v>
      </c>
      <c r="C110" s="93"/>
      <c r="D110" s="93"/>
      <c r="E110" s="95"/>
      <c r="G110" s="412">
        <v>8431.7800000000007</v>
      </c>
      <c r="H110" s="413">
        <v>519.14</v>
      </c>
      <c r="I110" s="414">
        <v>8950.92</v>
      </c>
      <c r="K110" s="93"/>
      <c r="L110" s="96"/>
      <c r="M110" s="95"/>
      <c r="O110" s="93"/>
      <c r="P110" s="96"/>
      <c r="Q110" s="95"/>
      <c r="S110" s="97"/>
      <c r="T110" s="98"/>
      <c r="U110" s="99"/>
    </row>
    <row r="111" spans="2:21" x14ac:dyDescent="0.3">
      <c r="B111" s="100" t="s">
        <v>129</v>
      </c>
      <c r="C111" s="93"/>
      <c r="D111" s="93"/>
      <c r="E111" s="95"/>
      <c r="G111" s="412">
        <v>8431.7800000000007</v>
      </c>
      <c r="H111" s="413">
        <v>479.21</v>
      </c>
      <c r="I111" s="414">
        <v>8910.99</v>
      </c>
      <c r="K111" s="93"/>
      <c r="L111" s="96"/>
      <c r="M111" s="95"/>
      <c r="O111" s="93"/>
      <c r="P111" s="96"/>
      <c r="Q111" s="95"/>
      <c r="S111" s="97"/>
      <c r="T111" s="98"/>
      <c r="U111" s="99"/>
    </row>
    <row r="112" spans="2:21" x14ac:dyDescent="0.3">
      <c r="B112" s="100" t="s">
        <v>130</v>
      </c>
      <c r="C112" s="93"/>
      <c r="D112" s="93"/>
      <c r="E112" s="95"/>
      <c r="G112" s="412">
        <v>8431.7800000000007</v>
      </c>
      <c r="H112" s="413">
        <v>396.77</v>
      </c>
      <c r="I112" s="414">
        <v>8828.5499999999993</v>
      </c>
      <c r="K112" s="93"/>
      <c r="L112" s="96"/>
      <c r="M112" s="95"/>
      <c r="O112" s="93"/>
      <c r="P112" s="96"/>
      <c r="Q112" s="95"/>
      <c r="S112" s="97"/>
      <c r="T112" s="98"/>
      <c r="U112" s="99"/>
    </row>
    <row r="113" spans="2:21" x14ac:dyDescent="0.3">
      <c r="B113" s="100" t="s">
        <v>131</v>
      </c>
      <c r="C113" s="93"/>
      <c r="D113" s="93"/>
      <c r="E113" s="95"/>
      <c r="G113" s="412">
        <v>8431.7800000000007</v>
      </c>
      <c r="H113" s="413">
        <v>399.34</v>
      </c>
      <c r="I113" s="414">
        <v>8831.1200000000008</v>
      </c>
      <c r="K113" s="93"/>
      <c r="L113" s="96"/>
      <c r="M113" s="95"/>
      <c r="O113" s="93"/>
      <c r="P113" s="96"/>
      <c r="Q113" s="95"/>
      <c r="S113" s="97"/>
      <c r="T113" s="98"/>
      <c r="U113" s="99"/>
    </row>
    <row r="114" spans="2:21" x14ac:dyDescent="0.3">
      <c r="B114" s="100" t="s">
        <v>132</v>
      </c>
      <c r="C114" s="93"/>
      <c r="D114" s="93"/>
      <c r="E114" s="95"/>
      <c r="G114" s="412">
        <v>8431.7800000000007</v>
      </c>
      <c r="H114" s="413">
        <v>347.81</v>
      </c>
      <c r="I114" s="414">
        <v>8779.59</v>
      </c>
      <c r="K114" s="93"/>
      <c r="L114" s="96"/>
      <c r="M114" s="95"/>
      <c r="O114" s="93"/>
      <c r="P114" s="96"/>
      <c r="Q114" s="95"/>
      <c r="S114" s="97"/>
      <c r="T114" s="98"/>
      <c r="U114" s="99"/>
    </row>
    <row r="115" spans="2:21" x14ac:dyDescent="0.3">
      <c r="B115" s="100" t="s">
        <v>133</v>
      </c>
      <c r="C115" s="93"/>
      <c r="D115" s="93"/>
      <c r="E115" s="95"/>
      <c r="G115" s="412">
        <v>8431.7800000000007</v>
      </c>
      <c r="H115" s="413">
        <v>319.47000000000003</v>
      </c>
      <c r="I115" s="414">
        <v>8751.25</v>
      </c>
      <c r="K115" s="93"/>
      <c r="L115" s="96"/>
      <c r="M115" s="95"/>
      <c r="O115" s="93"/>
      <c r="P115" s="96"/>
      <c r="Q115" s="95"/>
      <c r="S115" s="97"/>
      <c r="T115" s="98"/>
      <c r="U115" s="99"/>
    </row>
    <row r="116" spans="2:21" x14ac:dyDescent="0.3">
      <c r="B116" s="100" t="s">
        <v>134</v>
      </c>
      <c r="C116" s="93"/>
      <c r="D116" s="93"/>
      <c r="E116" s="95"/>
      <c r="G116" s="412">
        <v>8431.7800000000007</v>
      </c>
      <c r="H116" s="413">
        <v>270.52</v>
      </c>
      <c r="I116" s="414">
        <v>8702.2999999999993</v>
      </c>
      <c r="K116" s="93"/>
      <c r="L116" s="96"/>
      <c r="M116" s="95"/>
      <c r="O116" s="93"/>
      <c r="P116" s="96"/>
      <c r="Q116" s="95"/>
      <c r="S116" s="97"/>
      <c r="T116" s="98"/>
      <c r="U116" s="99"/>
    </row>
    <row r="117" spans="2:21" x14ac:dyDescent="0.3">
      <c r="B117" s="100"/>
      <c r="C117" s="93"/>
      <c r="D117" s="93"/>
      <c r="E117" s="95"/>
      <c r="G117" s="412">
        <v>8431.7800000000007</v>
      </c>
      <c r="H117" s="413">
        <v>239.61</v>
      </c>
      <c r="I117" s="414">
        <v>8671.39</v>
      </c>
      <c r="K117" s="93"/>
      <c r="L117" s="96"/>
      <c r="M117" s="95"/>
      <c r="O117" s="93"/>
      <c r="P117" s="96"/>
      <c r="Q117" s="95"/>
      <c r="S117" s="97"/>
      <c r="T117" s="98"/>
      <c r="U117" s="99"/>
    </row>
    <row r="118" spans="2:21" x14ac:dyDescent="0.3">
      <c r="C118" s="106">
        <f>SUM(C25:C88)</f>
        <v>83600.049208136828</v>
      </c>
      <c r="D118" s="107">
        <f>SUM(D25:D88)</f>
        <v>19349.59309052155</v>
      </c>
      <c r="E118" s="108">
        <f>SUM(E25:E88)</f>
        <v>102949.64229865831</v>
      </c>
      <c r="G118" s="106">
        <f>SUM(G25:G116)</f>
        <v>531202.14000000083</v>
      </c>
      <c r="H118" s="106">
        <f t="shared" ref="H118:I118" si="5">SUM(H25:H116)</f>
        <v>130180.43999999996</v>
      </c>
      <c r="I118" s="106">
        <f t="shared" si="5"/>
        <v>736683.76</v>
      </c>
      <c r="K118" s="109"/>
      <c r="L118" s="109"/>
      <c r="M118" s="110"/>
      <c r="O118" s="106"/>
      <c r="P118" s="106"/>
      <c r="Q118" s="108"/>
      <c r="S118" s="111">
        <f>SUM(S25:S88)</f>
        <v>370280.56920813699</v>
      </c>
      <c r="T118" s="111">
        <f>SUM(T25:T88)</f>
        <v>125729.67309052152</v>
      </c>
      <c r="U118" s="112">
        <f>SUM(U25:U88)</f>
        <v>496010.24229865847</v>
      </c>
    </row>
    <row r="120" spans="2:21" x14ac:dyDescent="0.3">
      <c r="D120" s="113"/>
      <c r="Q120" s="113"/>
      <c r="U120" s="113"/>
    </row>
    <row r="121" spans="2:21" x14ac:dyDescent="0.3">
      <c r="Q121" s="113"/>
      <c r="U121" s="113"/>
    </row>
  </sheetData>
  <mergeCells count="6">
    <mergeCell ref="S22:U22"/>
    <mergeCell ref="G21:I21"/>
    <mergeCell ref="C22:E22"/>
    <mergeCell ref="G22:I22"/>
    <mergeCell ref="K22:M22"/>
    <mergeCell ref="O22:Q22"/>
  </mergeCells>
  <pageMargins left="0.25" right="0.25" top="0.75" bottom="0.75" header="0.3" footer="0.3"/>
  <pageSetup scale="90" orientation="landscape" r:id="rId1"/>
  <ignoredErrors>
    <ignoredError sqref="G10:I10 C10 G12:I12 G118:I118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03D1-58F6-455D-A6A9-C9111334EB3B}">
  <sheetPr>
    <tabColor theme="8" tint="-0.249977111117893"/>
  </sheetPr>
  <dimension ref="A1:G38"/>
  <sheetViews>
    <sheetView view="pageBreakPreview" zoomScale="60" zoomScaleNormal="100" workbookViewId="0">
      <selection activeCell="L34" sqref="L34"/>
    </sheetView>
  </sheetViews>
  <sheetFormatPr defaultColWidth="8.88671875" defaultRowHeight="15.6" x14ac:dyDescent="0.3"/>
  <cols>
    <col min="1" max="1" width="8.88671875" style="361"/>
    <col min="2" max="2" width="40.109375" style="361" customWidth="1"/>
    <col min="3" max="3" width="11.6640625" style="361" customWidth="1"/>
    <col min="4" max="6" width="15.88671875" style="361" customWidth="1"/>
    <col min="7" max="7" width="18" style="361" customWidth="1"/>
    <col min="8" max="8" width="8.88671875" style="361"/>
    <col min="9" max="9" width="16.33203125" style="361" customWidth="1"/>
    <col min="10" max="10" width="14.33203125" style="361" customWidth="1"/>
    <col min="11" max="11" width="16.44140625" style="361" customWidth="1"/>
    <col min="12" max="12" width="17.109375" style="361" customWidth="1"/>
    <col min="13" max="13" width="12.33203125" style="361" bestFit="1" customWidth="1"/>
    <col min="14" max="15" width="8.88671875" style="361"/>
    <col min="16" max="16" width="39" style="361" customWidth="1"/>
    <col min="17" max="17" width="8.88671875" style="361"/>
    <col min="18" max="21" width="14.6640625" style="361" customWidth="1"/>
    <col min="22" max="16384" width="8.88671875" style="361"/>
  </cols>
  <sheetData>
    <row r="1" spans="1:7" ht="16.2" thickBot="1" x14ac:dyDescent="0.35">
      <c r="B1" s="362" t="str">
        <f>'JEC-Jurczyk-2'!B1</f>
        <v>Jacksonville Village Electric Utility</v>
      </c>
      <c r="C1" s="330"/>
      <c r="G1" s="319" t="s">
        <v>135</v>
      </c>
    </row>
    <row r="2" spans="1:7" x14ac:dyDescent="0.3">
      <c r="B2" s="362" t="str">
        <f>'JEC-Jurczyk-2'!B2</f>
        <v>Rate Case Study</v>
      </c>
      <c r="C2" s="330"/>
    </row>
    <row r="3" spans="1:7" x14ac:dyDescent="0.3">
      <c r="B3" s="6" t="s">
        <v>136</v>
      </c>
      <c r="C3" s="330"/>
    </row>
    <row r="4" spans="1:7" x14ac:dyDescent="0.3">
      <c r="B4" s="7" t="s">
        <v>4</v>
      </c>
      <c r="C4" s="8" t="str">
        <f>'JEC-Jurczyk-2'!C4</f>
        <v>12 months ending December 31, 2025</v>
      </c>
    </row>
    <row r="5" spans="1:7" x14ac:dyDescent="0.3">
      <c r="B5" s="7" t="s">
        <v>6</v>
      </c>
      <c r="C5" s="8" t="str">
        <f>'JEC-Jurczyk-2'!C5</f>
        <v>July 5, 2026 - July 4, 2027</v>
      </c>
    </row>
    <row r="6" spans="1:7" x14ac:dyDescent="0.3">
      <c r="B6" s="7" t="s">
        <v>8</v>
      </c>
      <c r="C6" s="9">
        <f>'JEC-Jurczyk-2'!C6</f>
        <v>46163</v>
      </c>
    </row>
    <row r="8" spans="1:7" x14ac:dyDescent="0.3">
      <c r="A8" s="361" t="s">
        <v>12</v>
      </c>
      <c r="B8" s="344" t="s">
        <v>137</v>
      </c>
      <c r="C8" s="363"/>
      <c r="D8" s="364" t="s">
        <v>138</v>
      </c>
      <c r="E8" s="364" t="s">
        <v>138</v>
      </c>
      <c r="F8" s="364" t="s">
        <v>138</v>
      </c>
      <c r="G8" s="365" t="s">
        <v>138</v>
      </c>
    </row>
    <row r="9" spans="1:7" x14ac:dyDescent="0.3">
      <c r="B9" s="366"/>
      <c r="D9" s="345" t="s">
        <v>101</v>
      </c>
      <c r="E9" s="345" t="s">
        <v>71</v>
      </c>
      <c r="F9" s="345" t="s">
        <v>139</v>
      </c>
      <c r="G9" s="346" t="s">
        <v>140</v>
      </c>
    </row>
    <row r="10" spans="1:7" x14ac:dyDescent="0.3">
      <c r="A10" s="361">
        <v>1</v>
      </c>
      <c r="B10" s="366" t="str">
        <f>'JEC-Jurczyk-4'!B10</f>
        <v>Community Bank Bucket Truck</v>
      </c>
      <c r="C10" s="347">
        <v>1</v>
      </c>
      <c r="D10" s="367">
        <f>'JEC-Jurczyk-4'!H10</f>
        <v>16792.06483160955</v>
      </c>
      <c r="E10" s="367">
        <f>'JEC-Jurczyk-4'!I10</f>
        <v>3874.3030935413144</v>
      </c>
      <c r="F10" s="367">
        <f>E10+D10</f>
        <v>20666.367925150866</v>
      </c>
      <c r="G10" s="368">
        <f>F10*C10</f>
        <v>20666.367925150866</v>
      </c>
    </row>
    <row r="11" spans="1:7" x14ac:dyDescent="0.3">
      <c r="A11" s="361">
        <f t="shared" ref="A11:A38" si="0">A10+1</f>
        <v>2</v>
      </c>
      <c r="B11" s="366">
        <f>'JEC-Jurczyk-4'!B11</f>
        <v>0</v>
      </c>
      <c r="C11" s="347">
        <v>1</v>
      </c>
      <c r="D11" s="367">
        <f>'JEC-Jurczyk-4'!H11</f>
        <v>0</v>
      </c>
      <c r="E11" s="367">
        <f>'JEC-Jurczyk-4'!I11</f>
        <v>0</v>
      </c>
      <c r="F11" s="367">
        <f>E11+D11</f>
        <v>0</v>
      </c>
      <c r="G11" s="368">
        <f>F11*C11</f>
        <v>0</v>
      </c>
    </row>
    <row r="12" spans="1:7" x14ac:dyDescent="0.3">
      <c r="A12" s="361">
        <f t="shared" si="0"/>
        <v>3</v>
      </c>
      <c r="B12" s="366">
        <f>'JEC-Jurczyk-4'!B12</f>
        <v>0</v>
      </c>
      <c r="C12" s="347">
        <v>1</v>
      </c>
      <c r="D12" s="367">
        <f>'JEC-Jurczyk-4'!K31</f>
        <v>0</v>
      </c>
      <c r="E12" s="367">
        <f>'JEC-Jurczyk-4'!L31</f>
        <v>0</v>
      </c>
      <c r="F12" s="367">
        <f>E12+D12</f>
        <v>0</v>
      </c>
      <c r="G12" s="368">
        <f>F12*C12</f>
        <v>0</v>
      </c>
    </row>
    <row r="13" spans="1:7" x14ac:dyDescent="0.3">
      <c r="A13" s="361">
        <f t="shared" si="0"/>
        <v>4</v>
      </c>
      <c r="B13" s="366">
        <f>'JEC-Jurczyk-4'!B13</f>
        <v>0</v>
      </c>
      <c r="C13" s="347">
        <v>1</v>
      </c>
      <c r="D13" s="367">
        <f>'JEC-Jurczyk-4'!O31</f>
        <v>0</v>
      </c>
      <c r="E13" s="367">
        <f>'JEC-Jurczyk-4'!P31</f>
        <v>0</v>
      </c>
      <c r="F13" s="367">
        <f>E13+D13</f>
        <v>0</v>
      </c>
      <c r="G13" s="368">
        <f>F13*C13</f>
        <v>0</v>
      </c>
    </row>
    <row r="14" spans="1:7" x14ac:dyDescent="0.3">
      <c r="A14" s="361">
        <f t="shared" si="0"/>
        <v>5</v>
      </c>
      <c r="B14" s="366"/>
      <c r="G14" s="369"/>
    </row>
    <row r="15" spans="1:7" x14ac:dyDescent="0.3">
      <c r="A15" s="361">
        <f t="shared" si="0"/>
        <v>6</v>
      </c>
      <c r="B15" s="348" t="s">
        <v>141</v>
      </c>
      <c r="D15" s="370">
        <f>SUM(D10:D13)</f>
        <v>16792.06483160955</v>
      </c>
      <c r="E15" s="370">
        <f>SUM(E10:E13)</f>
        <v>3874.3030935413144</v>
      </c>
      <c r="F15" s="370">
        <f>SUM(F10:F13)</f>
        <v>20666.367925150866</v>
      </c>
      <c r="G15" s="368">
        <f>SUM(G10:G13)</f>
        <v>20666.367925150866</v>
      </c>
    </row>
    <row r="16" spans="1:7" x14ac:dyDescent="0.3">
      <c r="A16" s="361">
        <f t="shared" si="0"/>
        <v>7</v>
      </c>
      <c r="B16" s="348" t="s">
        <v>142</v>
      </c>
      <c r="D16" s="370"/>
      <c r="E16" s="370"/>
      <c r="F16" s="370"/>
      <c r="G16" s="368"/>
    </row>
    <row r="17" spans="1:7" x14ac:dyDescent="0.3">
      <c r="A17" s="361">
        <f t="shared" si="0"/>
        <v>8</v>
      </c>
      <c r="B17" s="348" t="s">
        <v>143</v>
      </c>
      <c r="D17" s="370"/>
      <c r="E17" s="370"/>
      <c r="F17" s="370"/>
      <c r="G17" s="368">
        <f>'JEC-Jurczyk-2'!F36</f>
        <v>3874.3030935413144</v>
      </c>
    </row>
    <row r="18" spans="1:7" x14ac:dyDescent="0.3">
      <c r="A18" s="361">
        <f t="shared" si="0"/>
        <v>9</v>
      </c>
      <c r="B18" s="348" t="s">
        <v>144</v>
      </c>
      <c r="D18" s="370"/>
      <c r="E18" s="370"/>
      <c r="F18" s="370"/>
      <c r="G18" s="371">
        <f>'JEC-Jurczyk-2'!F20</f>
        <v>49226.8</v>
      </c>
    </row>
    <row r="19" spans="1:7" x14ac:dyDescent="0.3">
      <c r="A19" s="361">
        <f t="shared" si="0"/>
        <v>10</v>
      </c>
      <c r="B19" s="348"/>
      <c r="D19" s="370"/>
      <c r="E19" s="370"/>
      <c r="F19" s="370"/>
      <c r="G19" s="372"/>
    </row>
    <row r="20" spans="1:7" x14ac:dyDescent="0.3">
      <c r="A20" s="361">
        <f t="shared" si="0"/>
        <v>11</v>
      </c>
      <c r="B20" s="348" t="s">
        <v>145</v>
      </c>
      <c r="D20" s="370"/>
      <c r="E20" s="370"/>
      <c r="F20" s="370"/>
      <c r="G20" s="368">
        <v>0</v>
      </c>
    </row>
    <row r="21" spans="1:7" x14ac:dyDescent="0.3">
      <c r="A21" s="361">
        <f t="shared" si="0"/>
        <v>12</v>
      </c>
      <c r="B21" s="366"/>
      <c r="G21" s="369"/>
    </row>
    <row r="22" spans="1:7" x14ac:dyDescent="0.3">
      <c r="A22" s="361">
        <f t="shared" si="0"/>
        <v>13</v>
      </c>
      <c r="B22" s="349" t="s">
        <v>146</v>
      </c>
      <c r="G22" s="373">
        <f>G17+G20</f>
        <v>3874.3030935413144</v>
      </c>
    </row>
    <row r="23" spans="1:7" x14ac:dyDescent="0.3">
      <c r="A23" s="361">
        <f t="shared" si="0"/>
        <v>14</v>
      </c>
      <c r="B23" s="366"/>
      <c r="G23" s="369"/>
    </row>
    <row r="24" spans="1:7" x14ac:dyDescent="0.3">
      <c r="A24" s="361">
        <f t="shared" si="0"/>
        <v>15</v>
      </c>
      <c r="B24" s="350" t="s">
        <v>147</v>
      </c>
      <c r="C24" s="374"/>
      <c r="D24" s="374"/>
      <c r="E24" s="374"/>
      <c r="F24" s="374"/>
      <c r="G24" s="375">
        <f>G22/G17</f>
        <v>1</v>
      </c>
    </row>
    <row r="25" spans="1:7" x14ac:dyDescent="0.3">
      <c r="A25" s="361">
        <f t="shared" si="0"/>
        <v>16</v>
      </c>
    </row>
    <row r="26" spans="1:7" x14ac:dyDescent="0.3">
      <c r="A26" s="361">
        <f t="shared" si="0"/>
        <v>17</v>
      </c>
      <c r="B26" s="376"/>
      <c r="C26" s="376"/>
      <c r="D26" s="376"/>
      <c r="E26" s="376"/>
      <c r="F26" s="376"/>
      <c r="G26" s="376"/>
    </row>
    <row r="27" spans="1:7" x14ac:dyDescent="0.3">
      <c r="A27" s="361">
        <f t="shared" si="0"/>
        <v>18</v>
      </c>
      <c r="B27" s="351" t="s">
        <v>148</v>
      </c>
      <c r="C27" s="377"/>
      <c r="D27" s="377"/>
      <c r="E27" s="377"/>
      <c r="F27" s="377"/>
      <c r="G27" s="378">
        <f>G22</f>
        <v>3874.3030935413144</v>
      </c>
    </row>
    <row r="28" spans="1:7" x14ac:dyDescent="0.3">
      <c r="A28" s="361">
        <f t="shared" si="0"/>
        <v>19</v>
      </c>
      <c r="B28" s="352" t="s">
        <v>149</v>
      </c>
      <c r="C28" s="379"/>
      <c r="D28" s="379"/>
      <c r="E28" s="379"/>
      <c r="F28" s="379"/>
      <c r="G28" s="380">
        <f>G22/G17</f>
        <v>1</v>
      </c>
    </row>
    <row r="29" spans="1:7" x14ac:dyDescent="0.3">
      <c r="A29" s="361">
        <f t="shared" si="0"/>
        <v>20</v>
      </c>
    </row>
    <row r="30" spans="1:7" x14ac:dyDescent="0.3">
      <c r="A30" s="361">
        <f t="shared" si="0"/>
        <v>21</v>
      </c>
      <c r="B30" s="353" t="s">
        <v>150</v>
      </c>
      <c r="C30" s="377"/>
      <c r="D30" s="377"/>
      <c r="E30" s="377"/>
      <c r="F30" s="377"/>
      <c r="G30" s="381">
        <f>'JEC-Jurczyk-2'!F39+'JEC-Jurczyk-2'!F36+'JEC-Jurczyk-2'!F20</f>
        <v>53101.103093541315</v>
      </c>
    </row>
    <row r="31" spans="1:7" x14ac:dyDescent="0.3">
      <c r="A31" s="361">
        <f t="shared" si="0"/>
        <v>22</v>
      </c>
      <c r="B31" s="354" t="s">
        <v>139</v>
      </c>
      <c r="C31" s="382"/>
      <c r="D31" s="382"/>
      <c r="E31" s="382"/>
      <c r="F31" s="382"/>
      <c r="G31" s="383">
        <f>D15+E15</f>
        <v>20666.367925150866</v>
      </c>
    </row>
    <row r="32" spans="1:7" x14ac:dyDescent="0.3">
      <c r="A32" s="361">
        <f t="shared" si="0"/>
        <v>23</v>
      </c>
      <c r="B32" s="355" t="s">
        <v>151</v>
      </c>
      <c r="C32" s="379"/>
      <c r="D32" s="356"/>
      <c r="E32" s="379"/>
      <c r="F32" s="379"/>
      <c r="G32" s="384">
        <f>G30/G31</f>
        <v>2.5694453561391182</v>
      </c>
    </row>
    <row r="33" spans="1:7" x14ac:dyDescent="0.3">
      <c r="A33" s="361">
        <f t="shared" si="0"/>
        <v>24</v>
      </c>
    </row>
    <row r="34" spans="1:7" x14ac:dyDescent="0.3">
      <c r="A34" s="361">
        <f t="shared" si="0"/>
        <v>25</v>
      </c>
    </row>
    <row r="35" spans="1:7" x14ac:dyDescent="0.3">
      <c r="A35" s="361">
        <f t="shared" si="0"/>
        <v>26</v>
      </c>
      <c r="B35" s="351" t="s">
        <v>152</v>
      </c>
      <c r="C35" s="377"/>
      <c r="D35" s="377"/>
      <c r="E35" s="377"/>
      <c r="F35" s="377"/>
      <c r="G35" s="385">
        <f>G30-G31+78228</f>
        <v>110662.73516839044</v>
      </c>
    </row>
    <row r="36" spans="1:7" x14ac:dyDescent="0.3">
      <c r="A36" s="361">
        <f t="shared" si="0"/>
        <v>27</v>
      </c>
      <c r="B36" s="357" t="s">
        <v>153</v>
      </c>
      <c r="C36" s="382"/>
      <c r="D36" s="382"/>
      <c r="E36" s="382"/>
      <c r="F36" s="386">
        <f>('JEC-Jurczyk-2'!F18)/365*60</f>
        <v>269258.6246575343</v>
      </c>
      <c r="G36" s="358"/>
    </row>
    <row r="37" spans="1:7" x14ac:dyDescent="0.3">
      <c r="A37" s="361">
        <f t="shared" si="0"/>
        <v>28</v>
      </c>
      <c r="B37" s="352" t="s">
        <v>154</v>
      </c>
      <c r="C37" s="379"/>
      <c r="D37" s="356"/>
      <c r="E37" s="379"/>
      <c r="F37" s="379"/>
      <c r="G37" s="387">
        <f>G35/F36</f>
        <v>0.41099049402462257</v>
      </c>
    </row>
    <row r="38" spans="1:7" x14ac:dyDescent="0.3">
      <c r="A38" s="361">
        <f t="shared" si="0"/>
        <v>29</v>
      </c>
      <c r="B38" s="359" t="s">
        <v>155</v>
      </c>
      <c r="C38" s="382"/>
      <c r="D38" s="360"/>
      <c r="E38" s="382"/>
      <c r="F38" s="382"/>
      <c r="G38" s="388">
        <f>G35/(F36/60)</f>
        <v>24.659429641477356</v>
      </c>
    </row>
  </sheetData>
  <pageMargins left="0.25" right="0.25" top="0.75" bottom="0.75" header="0.3" footer="0.3"/>
  <pageSetup scale="8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6DC35-89CF-42C0-A4F6-AE3AF2F55905}">
  <sheetPr>
    <tabColor theme="8" tint="-0.249977111117893"/>
    <pageSetUpPr fitToPage="1"/>
  </sheetPr>
  <dimension ref="A1:M55"/>
  <sheetViews>
    <sheetView tabSelected="1" topLeftCell="A4" workbookViewId="0">
      <selection activeCell="J11" sqref="J11"/>
    </sheetView>
  </sheetViews>
  <sheetFormatPr defaultColWidth="9.109375" defaultRowHeight="13.8" x14ac:dyDescent="0.3"/>
  <cols>
    <col min="1" max="1" width="7.44140625" style="114" customWidth="1"/>
    <col min="2" max="2" width="46.6640625" style="114" customWidth="1"/>
    <col min="3" max="3" width="13.44140625" style="120" customWidth="1"/>
    <col min="4" max="4" width="9.33203125" style="121" customWidth="1"/>
    <col min="5" max="5" width="13.88671875" style="120" customWidth="1"/>
    <col min="6" max="6" width="11.6640625" style="114" customWidth="1"/>
    <col min="7" max="7" width="11.5546875" style="114" customWidth="1"/>
    <col min="8" max="8" width="7.6640625" style="121" customWidth="1"/>
    <col min="9" max="9" width="15.33203125" style="114" customWidth="1"/>
    <col min="10" max="10" width="12" style="114" customWidth="1"/>
    <col min="11" max="11" width="11.44140625" style="114" customWidth="1"/>
    <col min="12" max="12" width="9.109375" style="114"/>
    <col min="13" max="13" width="11.6640625" style="114" customWidth="1"/>
    <col min="14" max="16384" width="9.109375" style="114"/>
  </cols>
  <sheetData>
    <row r="1" spans="1:11" ht="18.600000000000001" thickBot="1" x14ac:dyDescent="0.4">
      <c r="B1" s="2" t="s">
        <v>156</v>
      </c>
      <c r="C1" s="115"/>
      <c r="D1" s="116"/>
      <c r="E1" s="115"/>
      <c r="H1" s="116"/>
      <c r="J1" s="4" t="s">
        <v>157</v>
      </c>
    </row>
    <row r="2" spans="1:11" ht="18" x14ac:dyDescent="0.35">
      <c r="B2" s="2" t="s">
        <v>2</v>
      </c>
      <c r="C2" s="118"/>
      <c r="D2" s="119"/>
      <c r="E2" s="118"/>
      <c r="H2" s="119"/>
    </row>
    <row r="3" spans="1:11" ht="15.6" x14ac:dyDescent="0.3">
      <c r="B3" s="6" t="s">
        <v>158</v>
      </c>
    </row>
    <row r="4" spans="1:11" ht="15.6" x14ac:dyDescent="0.3">
      <c r="B4" s="7" t="s">
        <v>4</v>
      </c>
      <c r="C4" s="8" t="str">
        <f>'JEC-Jurczyk-2'!C4</f>
        <v>12 months ending December 31, 2025</v>
      </c>
      <c r="D4" s="122"/>
      <c r="E4" s="123"/>
      <c r="H4" s="122"/>
    </row>
    <row r="5" spans="1:11" ht="15.6" x14ac:dyDescent="0.3">
      <c r="B5" s="7" t="s">
        <v>6</v>
      </c>
      <c r="C5" s="8" t="str">
        <f>'JEC-Jurczyk-2'!C5</f>
        <v>July 5, 2026 - July 4, 2027</v>
      </c>
      <c r="D5" s="122"/>
      <c r="E5" s="123"/>
      <c r="H5" s="122"/>
    </row>
    <row r="6" spans="1:11" ht="15.6" x14ac:dyDescent="0.3">
      <c r="B6" s="7" t="s">
        <v>8</v>
      </c>
      <c r="C6" s="9">
        <f>'JEC-Jurczyk-2'!C6</f>
        <v>46163</v>
      </c>
      <c r="D6" s="122"/>
      <c r="E6" s="123"/>
      <c r="H6" s="122"/>
    </row>
    <row r="7" spans="1:11" ht="42" thickBot="1" x14ac:dyDescent="0.35">
      <c r="D7" s="124" t="s">
        <v>159</v>
      </c>
      <c r="E7" s="125">
        <v>45901</v>
      </c>
      <c r="F7" s="126"/>
      <c r="G7" s="126"/>
      <c r="H7" s="127"/>
      <c r="I7" s="126"/>
      <c r="J7" s="126"/>
    </row>
    <row r="8" spans="1:11" ht="14.4" thickTop="1" x14ac:dyDescent="0.3">
      <c r="B8" s="128"/>
      <c r="C8" s="129" t="s">
        <v>160</v>
      </c>
      <c r="D8" s="130"/>
      <c r="E8" s="131">
        <v>2025</v>
      </c>
      <c r="F8" s="121" t="s">
        <v>160</v>
      </c>
      <c r="G8" s="121" t="s">
        <v>161</v>
      </c>
      <c r="H8" s="130"/>
      <c r="I8" s="121" t="s">
        <v>162</v>
      </c>
      <c r="J8" s="121" t="s">
        <v>163</v>
      </c>
    </row>
    <row r="9" spans="1:11" s="135" customFormat="1" x14ac:dyDescent="0.3">
      <c r="B9" s="136" t="s">
        <v>14</v>
      </c>
      <c r="C9" s="137" t="s">
        <v>164</v>
      </c>
      <c r="D9" s="136" t="s">
        <v>165</v>
      </c>
      <c r="E9" s="137" t="s">
        <v>166</v>
      </c>
      <c r="F9" s="136" t="s">
        <v>72</v>
      </c>
      <c r="G9" s="136" t="s">
        <v>164</v>
      </c>
      <c r="H9" s="136" t="s">
        <v>165</v>
      </c>
      <c r="I9" s="136" t="s">
        <v>72</v>
      </c>
      <c r="J9" s="136" t="s">
        <v>167</v>
      </c>
      <c r="K9" s="135" t="s">
        <v>168</v>
      </c>
    </row>
    <row r="10" spans="1:11" x14ac:dyDescent="0.3">
      <c r="A10" s="114">
        <v>1</v>
      </c>
      <c r="B10" s="134" t="s">
        <v>169</v>
      </c>
      <c r="C10" s="138"/>
      <c r="D10" s="139"/>
      <c r="E10" s="140"/>
      <c r="F10" s="134"/>
      <c r="G10" s="134"/>
      <c r="H10" s="139"/>
      <c r="I10" s="134"/>
      <c r="J10" s="134"/>
    </row>
    <row r="11" spans="1:11" x14ac:dyDescent="0.3">
      <c r="A11" s="114">
        <f>A10+1</f>
        <v>2</v>
      </c>
      <c r="B11" s="141" t="s">
        <v>170</v>
      </c>
      <c r="C11" s="142">
        <v>11.2</v>
      </c>
      <c r="D11" s="143" t="s">
        <v>171</v>
      </c>
      <c r="E11" s="144">
        <v>8120</v>
      </c>
      <c r="F11" s="145">
        <f>E11*C11</f>
        <v>90944</v>
      </c>
      <c r="G11" s="146">
        <f ca="1">C11*(1+J11)</f>
        <v>13.184750783208218</v>
      </c>
      <c r="H11" s="143" t="s">
        <v>171</v>
      </c>
      <c r="I11" s="145">
        <f ca="1">G11*E11</f>
        <v>107060.17635965072</v>
      </c>
      <c r="J11" s="147">
        <f ca="1">'JEC-Jurczyk-2'!F54</f>
        <v>0.17720989135787651</v>
      </c>
      <c r="K11" s="430">
        <f t="shared" ref="K11" ca="1" si="0">IFERROR(I11/F11-1,0)</f>
        <v>0.17720989135787657</v>
      </c>
    </row>
    <row r="12" spans="1:11" x14ac:dyDescent="0.3">
      <c r="A12" s="114">
        <f t="shared" ref="A12:A42" si="1">A11+1</f>
        <v>3</v>
      </c>
      <c r="B12" s="141" t="s">
        <v>172</v>
      </c>
      <c r="C12" s="151">
        <v>0.10871</v>
      </c>
      <c r="D12" s="143" t="s">
        <v>173</v>
      </c>
      <c r="E12" s="144">
        <v>1187459</v>
      </c>
      <c r="F12" s="145">
        <f>E12*C12</f>
        <v>129088.66789</v>
      </c>
      <c r="G12" s="152">
        <f ca="1">C12*(1+J12)</f>
        <v>0.12797448728951477</v>
      </c>
      <c r="H12" s="143" t="s">
        <v>173</v>
      </c>
      <c r="I12" s="145">
        <f ca="1">G12*E12</f>
        <v>151964.45670231993</v>
      </c>
      <c r="J12" s="147">
        <f ca="1">$J$11</f>
        <v>0.17720989135787651</v>
      </c>
      <c r="K12" s="148">
        <f ca="1">IFERROR(I12/F12-1,0)</f>
        <v>0.17720989135787679</v>
      </c>
    </row>
    <row r="13" spans="1:11" ht="14.4" x14ac:dyDescent="0.3">
      <c r="A13" s="114">
        <f t="shared" si="1"/>
        <v>4</v>
      </c>
      <c r="B13" s="141" t="s">
        <v>174</v>
      </c>
      <c r="C13" s="151">
        <v>0.26135999999999998</v>
      </c>
      <c r="D13" s="143" t="s">
        <v>173</v>
      </c>
      <c r="E13" s="153">
        <v>3227818</v>
      </c>
      <c r="F13" s="145">
        <f>E13*C13</f>
        <v>843622.51247999992</v>
      </c>
      <c r="G13" s="152">
        <f ca="1">C13*(1+J13)</f>
        <v>0.30767557720529459</v>
      </c>
      <c r="H13" s="143" t="s">
        <v>173</v>
      </c>
      <c r="I13" s="145">
        <f ca="1">G13*E13</f>
        <v>993120.76626363955</v>
      </c>
      <c r="J13" s="147">
        <f t="shared" ref="J13:J15" ca="1" si="2">$J$11</f>
        <v>0.17720989135787651</v>
      </c>
      <c r="K13" s="148">
        <f t="shared" ref="K13:K15" ca="1" si="3">IFERROR(I13/F13-1,0)</f>
        <v>0.17720989135787657</v>
      </c>
    </row>
    <row r="14" spans="1:11" hidden="1" x14ac:dyDescent="0.3">
      <c r="A14" s="114">
        <f t="shared" si="1"/>
        <v>5</v>
      </c>
      <c r="B14" s="141" t="s">
        <v>175</v>
      </c>
      <c r="C14" s="154">
        <v>0</v>
      </c>
      <c r="D14" s="121" t="s">
        <v>176</v>
      </c>
      <c r="E14" s="155"/>
      <c r="F14" s="156"/>
      <c r="H14" s="121" t="s">
        <v>176</v>
      </c>
      <c r="I14" s="145">
        <f>G14*E14</f>
        <v>0</v>
      </c>
      <c r="J14" s="147">
        <f t="shared" ca="1" si="2"/>
        <v>0.17720989135787651</v>
      </c>
      <c r="K14" s="148">
        <f t="shared" si="3"/>
        <v>0</v>
      </c>
    </row>
    <row r="15" spans="1:11" hidden="1" x14ac:dyDescent="0.3">
      <c r="A15" s="114">
        <f t="shared" si="1"/>
        <v>6</v>
      </c>
      <c r="B15" s="141" t="s">
        <v>177</v>
      </c>
      <c r="C15" s="157">
        <v>1</v>
      </c>
      <c r="D15" s="158"/>
      <c r="E15" s="155">
        <v>0</v>
      </c>
      <c r="F15" s="159">
        <f>E15</f>
        <v>0</v>
      </c>
      <c r="G15" s="160"/>
      <c r="H15" s="158"/>
      <c r="I15" s="161">
        <f ca="1">F15*(1+J15)</f>
        <v>0</v>
      </c>
      <c r="J15" s="147">
        <f t="shared" ca="1" si="2"/>
        <v>0.17720989135787651</v>
      </c>
      <c r="K15" s="148">
        <f t="shared" ca="1" si="3"/>
        <v>0</v>
      </c>
    </row>
    <row r="16" spans="1:11" x14ac:dyDescent="0.3">
      <c r="A16" s="114">
        <f t="shared" si="1"/>
        <v>7</v>
      </c>
      <c r="B16" s="134" t="s">
        <v>178</v>
      </c>
      <c r="C16" s="138"/>
      <c r="D16" s="139"/>
      <c r="E16" s="162"/>
      <c r="F16" s="163"/>
      <c r="G16" s="134"/>
      <c r="H16" s="139"/>
      <c r="I16" s="134"/>
      <c r="J16" s="164"/>
      <c r="K16" s="133"/>
    </row>
    <row r="17" spans="1:13" x14ac:dyDescent="0.3">
      <c r="A17" s="114">
        <f t="shared" si="1"/>
        <v>8</v>
      </c>
      <c r="B17" s="141" t="s">
        <v>170</v>
      </c>
      <c r="C17" s="142">
        <v>9.57</v>
      </c>
      <c r="D17" s="143" t="s">
        <v>171</v>
      </c>
      <c r="E17" s="144">
        <v>623</v>
      </c>
      <c r="F17" s="145">
        <f>E17*C17</f>
        <v>5962.1100000000006</v>
      </c>
      <c r="G17" s="146">
        <f ca="1">C17*(1+J17)</f>
        <v>11.265898660294878</v>
      </c>
      <c r="H17" s="143" t="s">
        <v>171</v>
      </c>
      <c r="I17" s="145">
        <f ca="1">G17*E17</f>
        <v>7018.6548653637092</v>
      </c>
      <c r="J17" s="147">
        <f t="shared" ref="J17:J21" ca="1" si="4">$J$11</f>
        <v>0.17720989135787651</v>
      </c>
      <c r="K17" s="148">
        <f t="shared" ref="K17:K21" ca="1" si="5">IFERROR(I17/F17-1,0)</f>
        <v>0.17720989135787635</v>
      </c>
    </row>
    <row r="18" spans="1:13" x14ac:dyDescent="0.3">
      <c r="A18" s="114">
        <f t="shared" si="1"/>
        <v>9</v>
      </c>
      <c r="B18" s="141" t="s">
        <v>179</v>
      </c>
      <c r="C18" s="151">
        <v>0.23174</v>
      </c>
      <c r="D18" s="143" t="s">
        <v>173</v>
      </c>
      <c r="E18" s="144">
        <v>893907</v>
      </c>
      <c r="F18" s="145">
        <f>E18*C18</f>
        <v>207154.00818</v>
      </c>
      <c r="G18" s="152">
        <f ca="1">ROUNDDOWN(C18*(1+J18),4)</f>
        <v>0.27279999999999999</v>
      </c>
      <c r="H18" s="143" t="s">
        <v>173</v>
      </c>
      <c r="I18" s="145">
        <f ca="1">G18*E18</f>
        <v>243857.8296</v>
      </c>
      <c r="J18" s="147">
        <f t="shared" ca="1" si="4"/>
        <v>0.17720989135787651</v>
      </c>
      <c r="K18" s="148">
        <f t="shared" ca="1" si="5"/>
        <v>0.17718132389747132</v>
      </c>
      <c r="M18" s="152"/>
    </row>
    <row r="19" spans="1:13" hidden="1" x14ac:dyDescent="0.3">
      <c r="A19" s="114">
        <f t="shared" si="1"/>
        <v>10</v>
      </c>
      <c r="B19" s="141" t="s">
        <v>175</v>
      </c>
      <c r="C19" s="154">
        <v>0</v>
      </c>
      <c r="D19" s="121" t="s">
        <v>176</v>
      </c>
      <c r="E19" s="155"/>
      <c r="F19" s="156"/>
      <c r="H19" s="121" t="s">
        <v>176</v>
      </c>
      <c r="I19" s="145">
        <f>G19*E19</f>
        <v>0</v>
      </c>
      <c r="J19" s="147">
        <f t="shared" ca="1" si="4"/>
        <v>0.17720989135787651</v>
      </c>
      <c r="K19" s="148">
        <f t="shared" si="5"/>
        <v>0</v>
      </c>
    </row>
    <row r="20" spans="1:13" hidden="1" x14ac:dyDescent="0.3">
      <c r="A20" s="114">
        <f t="shared" si="1"/>
        <v>11</v>
      </c>
      <c r="B20" s="141" t="s">
        <v>180</v>
      </c>
      <c r="C20" s="165">
        <v>1</v>
      </c>
      <c r="E20" s="155"/>
      <c r="F20" s="156">
        <f>E20</f>
        <v>0</v>
      </c>
      <c r="I20" s="145">
        <f>G20*E20</f>
        <v>0</v>
      </c>
      <c r="J20" s="147">
        <f t="shared" ca="1" si="4"/>
        <v>0.17720989135787651</v>
      </c>
      <c r="K20" s="148">
        <f t="shared" si="5"/>
        <v>0</v>
      </c>
    </row>
    <row r="21" spans="1:13" hidden="1" x14ac:dyDescent="0.3">
      <c r="A21" s="114">
        <f t="shared" si="1"/>
        <v>12</v>
      </c>
      <c r="B21" s="141" t="s">
        <v>177</v>
      </c>
      <c r="C21" s="157">
        <v>1</v>
      </c>
      <c r="D21" s="158"/>
      <c r="E21" s="155">
        <v>0</v>
      </c>
      <c r="F21" s="159">
        <f>E21</f>
        <v>0</v>
      </c>
      <c r="G21" s="160"/>
      <c r="H21" s="158"/>
      <c r="I21" s="161">
        <f ca="1">F21*(1+J21)</f>
        <v>0</v>
      </c>
      <c r="J21" s="147">
        <f t="shared" ca="1" si="4"/>
        <v>0.17720989135787651</v>
      </c>
      <c r="K21" s="148">
        <f t="shared" ca="1" si="5"/>
        <v>0</v>
      </c>
    </row>
    <row r="22" spans="1:13" ht="13.95" customHeight="1" x14ac:dyDescent="0.3">
      <c r="A22" s="114">
        <f t="shared" si="1"/>
        <v>13</v>
      </c>
      <c r="B22" s="134" t="s">
        <v>181</v>
      </c>
      <c r="C22" s="138"/>
      <c r="D22" s="139"/>
      <c r="E22" s="162"/>
      <c r="F22" s="163"/>
      <c r="G22" s="134"/>
      <c r="H22" s="139"/>
      <c r="I22" s="134"/>
      <c r="J22" s="164"/>
      <c r="K22" s="133"/>
    </row>
    <row r="23" spans="1:13" x14ac:dyDescent="0.3">
      <c r="A23" s="114">
        <f t="shared" si="1"/>
        <v>14</v>
      </c>
      <c r="B23" s="141" t="s">
        <v>170</v>
      </c>
      <c r="C23" s="142">
        <v>0</v>
      </c>
      <c r="D23" s="143" t="s">
        <v>182</v>
      </c>
      <c r="E23" s="166"/>
      <c r="F23" s="149"/>
      <c r="H23" s="143" t="s">
        <v>182</v>
      </c>
      <c r="J23" s="147"/>
      <c r="K23" s="133"/>
    </row>
    <row r="24" spans="1:13" x14ac:dyDescent="0.3">
      <c r="A24" s="114">
        <f t="shared" si="1"/>
        <v>15</v>
      </c>
      <c r="B24" s="141" t="s">
        <v>183</v>
      </c>
      <c r="C24" s="142">
        <v>16.739999999999998</v>
      </c>
      <c r="D24" s="143" t="s">
        <v>184</v>
      </c>
      <c r="E24" s="144">
        <v>0</v>
      </c>
      <c r="F24" s="145">
        <f>E24*C24</f>
        <v>0</v>
      </c>
      <c r="G24" s="146">
        <f ca="1">C24*(1+J24)</f>
        <v>19.706493581330854</v>
      </c>
      <c r="H24" s="143" t="s">
        <v>184</v>
      </c>
      <c r="I24" s="145">
        <f ca="1">G24*E24</f>
        <v>0</v>
      </c>
      <c r="J24" s="147">
        <f t="shared" ref="J24:J28" ca="1" si="6">$J$11</f>
        <v>0.17720989135787651</v>
      </c>
      <c r="K24" s="148"/>
    </row>
    <row r="25" spans="1:13" x14ac:dyDescent="0.3">
      <c r="A25" s="114">
        <f t="shared" si="1"/>
        <v>16</v>
      </c>
      <c r="B25" s="141" t="s">
        <v>185</v>
      </c>
      <c r="C25" s="142">
        <v>24.69</v>
      </c>
      <c r="D25" s="143" t="s">
        <v>184</v>
      </c>
      <c r="E25" s="144"/>
      <c r="F25" s="145">
        <f>E25*C25</f>
        <v>0</v>
      </c>
      <c r="G25" s="146">
        <f ca="1">C25*(1+J25)</f>
        <v>29.065312217625973</v>
      </c>
      <c r="H25" s="143" t="s">
        <v>184</v>
      </c>
      <c r="I25" s="145">
        <f ca="1">G25*E25</f>
        <v>0</v>
      </c>
      <c r="J25" s="147">
        <f t="shared" ca="1" si="6"/>
        <v>0.17720989135787651</v>
      </c>
      <c r="K25" s="148"/>
    </row>
    <row r="26" spans="1:13" x14ac:dyDescent="0.3">
      <c r="A26" s="114">
        <f t="shared" si="1"/>
        <v>17</v>
      </c>
      <c r="B26" s="141" t="s">
        <v>186</v>
      </c>
      <c r="C26" s="142">
        <v>32.049999999999997</v>
      </c>
      <c r="D26" s="143" t="s">
        <v>184</v>
      </c>
      <c r="E26" s="144"/>
      <c r="F26" s="145">
        <f>E26*C26</f>
        <v>0</v>
      </c>
      <c r="G26" s="146">
        <f ca="1">C26*(1+J26)</f>
        <v>37.729577018019938</v>
      </c>
      <c r="H26" s="143" t="s">
        <v>184</v>
      </c>
      <c r="I26" s="145">
        <f ca="1">G26*E26</f>
        <v>0</v>
      </c>
      <c r="J26" s="147">
        <f t="shared" ca="1" si="6"/>
        <v>0.17720989135787651</v>
      </c>
      <c r="K26" s="148"/>
    </row>
    <row r="27" spans="1:13" x14ac:dyDescent="0.3">
      <c r="A27" s="114">
        <f t="shared" si="1"/>
        <v>18</v>
      </c>
      <c r="B27" s="141" t="s">
        <v>187</v>
      </c>
      <c r="C27" s="142">
        <v>4.8703243813363111</v>
      </c>
      <c r="D27" s="143" t="s">
        <v>184</v>
      </c>
      <c r="E27" s="144">
        <v>941</v>
      </c>
      <c r="F27" s="145">
        <f>E27*C27</f>
        <v>4582.9752428374686</v>
      </c>
      <c r="G27" s="146">
        <f ca="1">C27*(1+J27)</f>
        <v>5.7333940358305364</v>
      </c>
      <c r="H27" s="143" t="s">
        <v>184</v>
      </c>
      <c r="I27" s="145">
        <f ca="1">G27*E27</f>
        <v>5395.1237877165349</v>
      </c>
      <c r="J27" s="147">
        <f t="shared" ca="1" si="6"/>
        <v>0.17720989135787651</v>
      </c>
      <c r="K27" s="148">
        <f t="shared" ref="K27" ca="1" si="7">IFERROR(I27/F27-1,0)</f>
        <v>0.17720989135787679</v>
      </c>
    </row>
    <row r="28" spans="1:13" x14ac:dyDescent="0.3">
      <c r="A28" s="114">
        <f t="shared" si="1"/>
        <v>19</v>
      </c>
      <c r="B28" s="141" t="s">
        <v>188</v>
      </c>
      <c r="C28" s="142">
        <v>7.9634865172889331</v>
      </c>
      <c r="D28" s="143" t="s">
        <v>184</v>
      </c>
      <c r="E28" s="144"/>
      <c r="F28" s="145">
        <f>E28*C28</f>
        <v>0</v>
      </c>
      <c r="G28" s="146">
        <f ca="1">C28*(1+J28)</f>
        <v>9.3746950978476189</v>
      </c>
      <c r="H28" s="143" t="s">
        <v>184</v>
      </c>
      <c r="I28" s="145">
        <f ca="1">G28*E28</f>
        <v>0</v>
      </c>
      <c r="J28" s="147">
        <f t="shared" ca="1" si="6"/>
        <v>0.17720989135787651</v>
      </c>
      <c r="K28" s="148"/>
    </row>
    <row r="29" spans="1:13" x14ac:dyDescent="0.3">
      <c r="A29" s="114">
        <f t="shared" si="1"/>
        <v>20</v>
      </c>
      <c r="B29" s="167" t="s">
        <v>189</v>
      </c>
      <c r="C29" s="142"/>
      <c r="D29" s="143"/>
      <c r="E29" s="166"/>
      <c r="F29" s="156"/>
      <c r="H29" s="143"/>
      <c r="I29" s="145"/>
      <c r="J29" s="147"/>
      <c r="K29" s="148"/>
    </row>
    <row r="30" spans="1:13" x14ac:dyDescent="0.3">
      <c r="A30" s="114">
        <f t="shared" si="1"/>
        <v>21</v>
      </c>
      <c r="B30" s="141" t="s">
        <v>179</v>
      </c>
      <c r="C30" s="168">
        <v>0.14527738962896025</v>
      </c>
      <c r="D30" s="143" t="s">
        <v>184</v>
      </c>
      <c r="E30" s="144">
        <v>0</v>
      </c>
      <c r="F30" s="145">
        <f>E30*C30</f>
        <v>0</v>
      </c>
      <c r="G30" s="152">
        <f ca="1">C30*(1+J30)</f>
        <v>0.1710219800618642</v>
      </c>
      <c r="H30" s="143" t="s">
        <v>184</v>
      </c>
      <c r="I30" s="145">
        <f ca="1">G30*E30</f>
        <v>0</v>
      </c>
      <c r="J30" s="147">
        <f ca="1">$J$11</f>
        <v>0.17720989135787651</v>
      </c>
      <c r="K30" s="148"/>
    </row>
    <row r="31" spans="1:13" x14ac:dyDescent="0.3">
      <c r="A31" s="114">
        <f t="shared" si="1"/>
        <v>22</v>
      </c>
      <c r="B31" s="167" t="s">
        <v>190</v>
      </c>
      <c r="C31" s="142"/>
      <c r="D31" s="143"/>
      <c r="E31" s="166"/>
      <c r="F31" s="156"/>
      <c r="H31" s="143" t="s">
        <v>182</v>
      </c>
      <c r="I31" s="145">
        <f>G31*E31</f>
        <v>0</v>
      </c>
      <c r="J31" s="147"/>
      <c r="K31" s="148"/>
    </row>
    <row r="32" spans="1:13" x14ac:dyDescent="0.3">
      <c r="A32" s="114">
        <f t="shared" si="1"/>
        <v>23</v>
      </c>
      <c r="B32" s="141" t="s">
        <v>179</v>
      </c>
      <c r="C32" s="169">
        <v>0.14527738962896025</v>
      </c>
      <c r="D32" s="170" t="s">
        <v>184</v>
      </c>
      <c r="E32" s="144">
        <v>0</v>
      </c>
      <c r="F32" s="159">
        <f>E32*C32</f>
        <v>0</v>
      </c>
      <c r="G32" s="152">
        <f ca="1">C32*(1+J32)</f>
        <v>0.1710219800618642</v>
      </c>
      <c r="H32" s="143" t="s">
        <v>184</v>
      </c>
      <c r="I32" s="145">
        <f ca="1">G32*E32</f>
        <v>0</v>
      </c>
      <c r="J32" s="147">
        <f ca="1">$J$11</f>
        <v>0.17720989135787651</v>
      </c>
      <c r="K32" s="148"/>
    </row>
    <row r="33" spans="1:11" x14ac:dyDescent="0.3">
      <c r="A33" s="114">
        <f t="shared" si="1"/>
        <v>24</v>
      </c>
      <c r="B33" s="134" t="s">
        <v>191</v>
      </c>
      <c r="C33" s="142"/>
      <c r="E33" s="162"/>
      <c r="F33" s="163"/>
      <c r="G33" s="134"/>
      <c r="H33" s="139"/>
      <c r="I33" s="134"/>
      <c r="J33" s="164"/>
      <c r="K33" s="133"/>
    </row>
    <row r="34" spans="1:11" x14ac:dyDescent="0.3">
      <c r="A34" s="114">
        <f t="shared" si="1"/>
        <v>25</v>
      </c>
      <c r="B34" s="141" t="s">
        <v>170</v>
      </c>
      <c r="C34" s="142">
        <v>28.850766831703549</v>
      </c>
      <c r="D34" s="171" t="s">
        <v>171</v>
      </c>
      <c r="E34" s="144">
        <v>48</v>
      </c>
      <c r="F34" s="145">
        <f>E34*C34</f>
        <v>1384.8368079217703</v>
      </c>
      <c r="G34" s="146">
        <f ca="1">C34*(1+J34)</f>
        <v>33.963408087541161</v>
      </c>
      <c r="H34" s="143" t="s">
        <v>171</v>
      </c>
      <c r="I34" s="145">
        <f ca="1">G34*E34</f>
        <v>1630.2435882019759</v>
      </c>
      <c r="J34" s="147">
        <f t="shared" ref="J34:J37" ca="1" si="8">$J$11</f>
        <v>0.17720989135787651</v>
      </c>
      <c r="K34" s="148">
        <f t="shared" ref="K34:K37" ca="1" si="9">IFERROR(I34/F34-1,0)</f>
        <v>0.17720989135787657</v>
      </c>
    </row>
    <row r="35" spans="1:11" x14ac:dyDescent="0.3">
      <c r="A35" s="114">
        <f t="shared" si="1"/>
        <v>26</v>
      </c>
      <c r="B35" s="141" t="s">
        <v>179</v>
      </c>
      <c r="C35" s="151">
        <v>0.13849</v>
      </c>
      <c r="D35" s="171" t="s">
        <v>173</v>
      </c>
      <c r="E35" s="172">
        <v>525300</v>
      </c>
      <c r="F35" s="145">
        <f>E35*C35</f>
        <v>72748.797000000006</v>
      </c>
      <c r="G35" s="152">
        <f ca="1">C35*(1+J35)</f>
        <v>0.16303179785415234</v>
      </c>
      <c r="H35" s="143" t="s">
        <v>173</v>
      </c>
      <c r="I35" s="145">
        <f ca="1">G35*E35</f>
        <v>85640.603412786222</v>
      </c>
      <c r="J35" s="147">
        <f t="shared" ca="1" si="8"/>
        <v>0.17720989135787651</v>
      </c>
      <c r="K35" s="148">
        <f t="shared" ca="1" si="9"/>
        <v>0.17720989135787657</v>
      </c>
    </row>
    <row r="36" spans="1:11" x14ac:dyDescent="0.3">
      <c r="A36" s="114">
        <f t="shared" si="1"/>
        <v>27</v>
      </c>
      <c r="B36" s="174" t="s">
        <v>192</v>
      </c>
      <c r="C36" s="332">
        <v>18.930152272030046</v>
      </c>
      <c r="D36" s="158" t="s">
        <v>193</v>
      </c>
      <c r="E36" s="333">
        <v>2674</v>
      </c>
      <c r="F36" s="159">
        <f>E36*C36</f>
        <v>50619.227175408341</v>
      </c>
      <c r="G36" s="161">
        <f ca="1">C36*(1+J36)</f>
        <v>22.284762499544552</v>
      </c>
      <c r="H36" s="158" t="s">
        <v>193</v>
      </c>
      <c r="I36" s="159">
        <f ca="1">G36*E36</f>
        <v>59589.454923782134</v>
      </c>
      <c r="J36" s="182">
        <f t="shared" ca="1" si="8"/>
        <v>0.17720989135787651</v>
      </c>
      <c r="K36" s="173">
        <f t="shared" ca="1" si="9"/>
        <v>0.17720989135787679</v>
      </c>
    </row>
    <row r="37" spans="1:11" hidden="1" x14ac:dyDescent="0.3">
      <c r="A37" s="114">
        <f t="shared" si="1"/>
        <v>28</v>
      </c>
      <c r="B37" s="174" t="s">
        <v>175</v>
      </c>
      <c r="C37" s="175">
        <v>0</v>
      </c>
      <c r="D37" s="158" t="s">
        <v>176</v>
      </c>
      <c r="E37" s="331"/>
      <c r="F37" s="176"/>
      <c r="G37" s="160"/>
      <c r="H37" s="158" t="s">
        <v>176</v>
      </c>
      <c r="I37" s="159">
        <f>G37*E37</f>
        <v>0</v>
      </c>
      <c r="J37" s="147">
        <f t="shared" ca="1" si="8"/>
        <v>0.17720989135787651</v>
      </c>
      <c r="K37" s="133">
        <f t="shared" si="9"/>
        <v>0</v>
      </c>
    </row>
    <row r="38" spans="1:11" x14ac:dyDescent="0.3">
      <c r="A38" s="114">
        <f t="shared" si="1"/>
        <v>29</v>
      </c>
      <c r="J38" s="182"/>
      <c r="K38" s="133"/>
    </row>
    <row r="39" spans="1:11" x14ac:dyDescent="0.3">
      <c r="A39" s="114">
        <f t="shared" si="1"/>
        <v>30</v>
      </c>
      <c r="B39" s="177" t="s">
        <v>194</v>
      </c>
      <c r="C39" s="178"/>
      <c r="D39" s="179"/>
      <c r="E39" s="401">
        <v>-40725.49</v>
      </c>
      <c r="F39" s="180">
        <f>E39</f>
        <v>-40725.49</v>
      </c>
      <c r="G39" s="177"/>
      <c r="H39" s="179"/>
      <c r="I39" s="181">
        <f ca="1">E39*(1+J39)</f>
        <v>-47942.449658396283</v>
      </c>
      <c r="J39" s="182">
        <f t="shared" ref="J39" ca="1" si="10">$J$11</f>
        <v>0.17720989135787651</v>
      </c>
      <c r="K39" s="133"/>
    </row>
    <row r="40" spans="1:11" x14ac:dyDescent="0.3">
      <c r="A40" s="114">
        <f t="shared" si="1"/>
        <v>31</v>
      </c>
      <c r="B40" s="114" t="s">
        <v>195</v>
      </c>
      <c r="J40" s="147"/>
    </row>
    <row r="41" spans="1:11" ht="14.4" thickBot="1" x14ac:dyDescent="0.35">
      <c r="A41" s="114">
        <f t="shared" si="1"/>
        <v>32</v>
      </c>
      <c r="B41" s="183" t="s">
        <v>173</v>
      </c>
      <c r="E41" s="150">
        <f>SUM(E35:E35,E18,E12:E13)</f>
        <v>5834484</v>
      </c>
      <c r="J41" s="147"/>
    </row>
    <row r="42" spans="1:11" ht="14.4" thickBot="1" x14ac:dyDescent="0.35">
      <c r="A42" s="114">
        <f t="shared" si="1"/>
        <v>33</v>
      </c>
      <c r="B42" s="183" t="s">
        <v>72</v>
      </c>
      <c r="F42" s="132">
        <f>SUM(F11:F39)</f>
        <v>1365381.6447761676</v>
      </c>
      <c r="I42" s="132">
        <f ca="1">SUM(I11:I39)</f>
        <v>1607334.8598450643</v>
      </c>
      <c r="J42" s="184">
        <f ca="1">I42/F42-1</f>
        <v>0.17720555713824693</v>
      </c>
    </row>
    <row r="43" spans="1:11" x14ac:dyDescent="0.3">
      <c r="I43" s="185">
        <f ca="1">'JEC-Jurczyk-2'!F50</f>
        <v>1607340.777708991</v>
      </c>
    </row>
    <row r="44" spans="1:11" x14ac:dyDescent="0.3">
      <c r="I44" s="132">
        <f ca="1">I42-I43</f>
        <v>-5.9178639266174287</v>
      </c>
    </row>
    <row r="46" spans="1:11" x14ac:dyDescent="0.3">
      <c r="E46" s="117"/>
    </row>
    <row r="50" spans="2:11" ht="14.4" x14ac:dyDescent="0.3">
      <c r="B50" s="343"/>
      <c r="C50" s="186"/>
      <c r="D50" s="187"/>
      <c r="E50" s="187"/>
      <c r="F50" s="186"/>
      <c r="J50" s="185"/>
      <c r="K50" s="185"/>
    </row>
    <row r="51" spans="2:11" ht="14.4" x14ac:dyDescent="0.3">
      <c r="B51" s="343"/>
      <c r="C51" s="186"/>
      <c r="D51" s="187"/>
      <c r="E51" s="187"/>
      <c r="F51" s="186"/>
      <c r="J51" s="132"/>
    </row>
    <row r="52" spans="2:11" ht="14.4" x14ac:dyDescent="0.3">
      <c r="B52" s="343"/>
      <c r="C52" s="186"/>
      <c r="D52" s="187"/>
      <c r="E52" s="187"/>
      <c r="F52" s="186"/>
      <c r="J52" s="132"/>
      <c r="K52" s="132"/>
    </row>
    <row r="53" spans="2:11" ht="14.4" x14ac:dyDescent="0.3">
      <c r="B53" s="343"/>
      <c r="C53" s="186"/>
      <c r="D53" s="187"/>
      <c r="E53" s="187"/>
      <c r="F53" s="186"/>
    </row>
    <row r="54" spans="2:11" ht="14.4" x14ac:dyDescent="0.3">
      <c r="B54" s="343"/>
      <c r="C54" s="186"/>
      <c r="D54" s="187"/>
      <c r="E54" s="187"/>
      <c r="F54" s="186"/>
    </row>
    <row r="55" spans="2:11" x14ac:dyDescent="0.3">
      <c r="C55" s="117"/>
      <c r="E55" s="117"/>
    </row>
  </sheetData>
  <pageMargins left="0.75" right="0.75" top="1" bottom="1" header="0.5" footer="0.5"/>
  <pageSetup scale="81" fitToHeight="0" orientation="landscape" r:id="rId1"/>
  <headerFooter alignWithMargins="0"/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5C591-35BF-4F1B-8AE3-37B201B82755}">
  <sheetPr>
    <tabColor theme="7" tint="0.39997558519241921"/>
  </sheetPr>
  <dimension ref="A3:A4"/>
  <sheetViews>
    <sheetView workbookViewId="0">
      <selection activeCell="C40" sqref="C40"/>
    </sheetView>
  </sheetViews>
  <sheetFormatPr defaultRowHeight="14.4" x14ac:dyDescent="0.3"/>
  <cols>
    <col min="1" max="1" width="102" customWidth="1"/>
  </cols>
  <sheetData>
    <row r="3" spans="1:1" x14ac:dyDescent="0.3">
      <c r="A3" t="s">
        <v>196</v>
      </c>
    </row>
    <row r="4" spans="1:1" x14ac:dyDescent="0.3">
      <c r="A4" s="18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27C27-E931-4D0F-8759-D8AD63328AAE}">
  <sheetPr>
    <tabColor theme="7" tint="0.39997558519241921"/>
  </sheetPr>
  <dimension ref="A3:A4"/>
  <sheetViews>
    <sheetView workbookViewId="0">
      <selection activeCell="C40" sqref="C40"/>
    </sheetView>
  </sheetViews>
  <sheetFormatPr defaultRowHeight="14.4" x14ac:dyDescent="0.3"/>
  <cols>
    <col min="1" max="1" width="65" customWidth="1"/>
  </cols>
  <sheetData>
    <row r="3" spans="1:1" x14ac:dyDescent="0.3">
      <c r="A3" t="s">
        <v>197</v>
      </c>
    </row>
    <row r="4" spans="1:1" x14ac:dyDescent="0.3">
      <c r="A4" s="18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DCE1-1633-408D-B4A1-D47224C3C617}">
  <sheetPr>
    <tabColor theme="7" tint="0.39997558519241921"/>
  </sheetPr>
  <dimension ref="A3"/>
  <sheetViews>
    <sheetView workbookViewId="0">
      <selection activeCell="C40" sqref="C40"/>
    </sheetView>
  </sheetViews>
  <sheetFormatPr defaultRowHeight="14.4" x14ac:dyDescent="0.3"/>
  <cols>
    <col min="1" max="1" width="56.6640625" customWidth="1"/>
  </cols>
  <sheetData>
    <row r="3" spans="1:1" x14ac:dyDescent="0.3">
      <c r="A3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0E124-B797-44A7-AFF8-821E37CC581A}">
  <sheetPr>
    <tabColor theme="8" tint="-0.249977111117893"/>
  </sheetPr>
  <dimension ref="A1:H25"/>
  <sheetViews>
    <sheetView view="pageBreakPreview" zoomScale="60" zoomScaleNormal="100" workbookViewId="0">
      <selection activeCell="E14" sqref="E14"/>
    </sheetView>
  </sheetViews>
  <sheetFormatPr defaultRowHeight="14.4" x14ac:dyDescent="0.3"/>
  <cols>
    <col min="2" max="2" width="27.44140625" customWidth="1"/>
    <col min="3" max="3" width="21.6640625" customWidth="1"/>
    <col min="4" max="4" width="12.6640625" customWidth="1"/>
    <col min="5" max="5" width="11.6640625" customWidth="1"/>
    <col min="6" max="6" width="13.5546875" hidden="1" customWidth="1"/>
    <col min="7" max="7" width="18.109375" hidden="1" customWidth="1"/>
    <col min="8" max="8" width="25.44140625" customWidth="1"/>
  </cols>
  <sheetData>
    <row r="1" spans="1:8" ht="18.600000000000001" thickBot="1" x14ac:dyDescent="0.4">
      <c r="B1" s="2" t="str">
        <f>'JEC-Jurczyk-2'!B1</f>
        <v>Jacksonville Village Electric Utility</v>
      </c>
      <c r="C1" s="115"/>
      <c r="H1" s="4" t="s">
        <v>199</v>
      </c>
    </row>
    <row r="2" spans="1:8" ht="18" x14ac:dyDescent="0.35">
      <c r="B2" s="2" t="str">
        <f>'JEC-Jurczyk-2'!B2</f>
        <v>Rate Case Study</v>
      </c>
      <c r="C2" s="118"/>
    </row>
    <row r="3" spans="1:8" ht="15.6" x14ac:dyDescent="0.3">
      <c r="B3" s="6" t="s">
        <v>200</v>
      </c>
      <c r="C3" s="120"/>
    </row>
    <row r="4" spans="1:8" ht="15.6" x14ac:dyDescent="0.3">
      <c r="B4" s="7" t="s">
        <v>4</v>
      </c>
      <c r="C4" s="8" t="str">
        <f>'JEC-Jurczyk-2'!C4</f>
        <v>12 months ending December 31, 2025</v>
      </c>
    </row>
    <row r="5" spans="1:8" ht="15.6" x14ac:dyDescent="0.3">
      <c r="B5" s="7" t="s">
        <v>6</v>
      </c>
      <c r="C5" s="8" t="str">
        <f>'JEC-Jurczyk-2'!C5</f>
        <v>July 5, 2026 - July 4, 2027</v>
      </c>
    </row>
    <row r="6" spans="1:8" ht="15.6" x14ac:dyDescent="0.3">
      <c r="B6" s="7" t="s">
        <v>8</v>
      </c>
      <c r="C6" s="9">
        <f>'JEC-Jurczyk-2'!C6</f>
        <v>46163</v>
      </c>
    </row>
    <row r="7" spans="1:8" ht="15.6" x14ac:dyDescent="0.3">
      <c r="B7" s="7"/>
      <c r="C7" s="9"/>
    </row>
    <row r="8" spans="1:8" x14ac:dyDescent="0.3">
      <c r="C8" s="189" t="s">
        <v>201</v>
      </c>
      <c r="D8" s="189" t="s">
        <v>202</v>
      </c>
      <c r="E8" s="189" t="s">
        <v>203</v>
      </c>
    </row>
    <row r="9" spans="1:8" x14ac:dyDescent="0.3">
      <c r="C9" s="189" t="s">
        <v>204</v>
      </c>
      <c r="D9" s="189" t="s">
        <v>204</v>
      </c>
      <c r="E9" s="189" t="s">
        <v>205</v>
      </c>
      <c r="H9" s="189" t="s">
        <v>17</v>
      </c>
    </row>
    <row r="10" spans="1:8" ht="15.6" x14ac:dyDescent="0.3">
      <c r="A10">
        <v>1</v>
      </c>
      <c r="B10" s="190" t="s">
        <v>206</v>
      </c>
      <c r="C10" s="60">
        <f>'10B'!D11</f>
        <v>0</v>
      </c>
      <c r="D10" s="60">
        <f>'10B'!I11</f>
        <v>0</v>
      </c>
      <c r="E10" s="64">
        <f>D10-C10</f>
        <v>0</v>
      </c>
    </row>
    <row r="11" spans="1:8" ht="15.6" x14ac:dyDescent="0.3">
      <c r="A11">
        <f>A10+1</f>
        <v>2</v>
      </c>
      <c r="B11" s="190" t="s">
        <v>207</v>
      </c>
      <c r="C11" s="60">
        <f>'10B'!D12</f>
        <v>0</v>
      </c>
      <c r="D11" s="60">
        <f>'10B'!I12</f>
        <v>0</v>
      </c>
      <c r="E11" s="64">
        <f t="shared" ref="E11:E14" si="0">D11-C11</f>
        <v>0</v>
      </c>
    </row>
    <row r="12" spans="1:8" ht="15.6" x14ac:dyDescent="0.3">
      <c r="A12">
        <f t="shared" ref="A12:A15" si="1">A11+1</f>
        <v>3</v>
      </c>
      <c r="B12" s="190" t="s">
        <v>208</v>
      </c>
      <c r="C12" s="60">
        <f>'10B'!D13</f>
        <v>79220.479999999981</v>
      </c>
      <c r="D12" s="60">
        <f>'10B'!I13</f>
        <v>79220.479999999981</v>
      </c>
      <c r="E12" s="64">
        <f t="shared" si="0"/>
        <v>0</v>
      </c>
    </row>
    <row r="13" spans="1:8" ht="15.6" x14ac:dyDescent="0.3">
      <c r="A13">
        <f t="shared" si="1"/>
        <v>4</v>
      </c>
      <c r="B13" s="190" t="s">
        <v>209</v>
      </c>
      <c r="C13" s="60">
        <v>0</v>
      </c>
      <c r="D13" s="60">
        <f>C13</f>
        <v>0</v>
      </c>
      <c r="E13" s="64">
        <f t="shared" si="0"/>
        <v>0</v>
      </c>
    </row>
    <row r="14" spans="1:8" ht="15.6" x14ac:dyDescent="0.3">
      <c r="A14">
        <f t="shared" si="1"/>
        <v>5</v>
      </c>
      <c r="B14" s="190" t="s">
        <v>210</v>
      </c>
      <c r="C14" s="60">
        <f>'10B'!D15+'10B'!D14</f>
        <v>122590.52</v>
      </c>
      <c r="D14" s="60">
        <f>'10B'!I15+'10B'!I14</f>
        <v>135393.34666666668</v>
      </c>
      <c r="E14" s="64">
        <f t="shared" si="0"/>
        <v>12802.826666666675</v>
      </c>
      <c r="H14" s="188" t="s">
        <v>346</v>
      </c>
    </row>
    <row r="15" spans="1:8" ht="15.6" x14ac:dyDescent="0.3">
      <c r="A15">
        <f t="shared" si="1"/>
        <v>6</v>
      </c>
      <c r="B15" s="191" t="s">
        <v>103</v>
      </c>
      <c r="C15" s="62"/>
      <c r="D15" s="62"/>
      <c r="E15" s="192">
        <f>SUM(E10:E14)</f>
        <v>12802.826666666675</v>
      </c>
    </row>
    <row r="18" spans="2:8" x14ac:dyDescent="0.3">
      <c r="E18" s="193"/>
      <c r="F18" s="193"/>
      <c r="G18" s="189"/>
      <c r="H18" s="189"/>
    </row>
    <row r="19" spans="2:8" x14ac:dyDescent="0.3">
      <c r="E19" s="194"/>
      <c r="F19" s="194"/>
      <c r="G19" s="189"/>
      <c r="H19" s="189"/>
    </row>
    <row r="20" spans="2:8" x14ac:dyDescent="0.3">
      <c r="B20" s="195"/>
      <c r="C20" s="195"/>
      <c r="D20" s="196"/>
      <c r="E20" s="197"/>
      <c r="F20" s="197"/>
      <c r="G20" s="198"/>
      <c r="H20" s="188"/>
    </row>
    <row r="21" spans="2:8" x14ac:dyDescent="0.3">
      <c r="B21" s="195"/>
      <c r="C21" s="195"/>
      <c r="D21" s="196"/>
      <c r="E21" s="197"/>
      <c r="F21" s="197"/>
      <c r="G21" s="198"/>
    </row>
    <row r="22" spans="2:8" x14ac:dyDescent="0.3">
      <c r="B22" s="195"/>
      <c r="C22" s="195"/>
      <c r="D22" s="196"/>
      <c r="E22" s="197"/>
      <c r="F22" s="197"/>
      <c r="G22" s="198"/>
    </row>
    <row r="23" spans="2:8" x14ac:dyDescent="0.3">
      <c r="B23" s="199"/>
      <c r="E23" s="64"/>
      <c r="F23" s="64"/>
      <c r="G23" s="64"/>
    </row>
    <row r="24" spans="2:8" x14ac:dyDescent="0.3">
      <c r="H24" s="200"/>
    </row>
    <row r="25" spans="2:8" x14ac:dyDescent="0.3">
      <c r="H25" s="200"/>
    </row>
  </sheetData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1F31-8C09-4C21-9A88-CD7223418A36}">
  <sheetPr>
    <tabColor rgb="FF5EF0CA"/>
    <pageSetUpPr fitToPage="1"/>
  </sheetPr>
  <dimension ref="A1:Q87"/>
  <sheetViews>
    <sheetView view="pageBreakPreview" zoomScale="60" zoomScaleNormal="100" workbookViewId="0">
      <selection activeCell="J14" sqref="J14"/>
    </sheetView>
  </sheetViews>
  <sheetFormatPr defaultColWidth="11" defaultRowHeight="15.6" x14ac:dyDescent="0.3"/>
  <cols>
    <col min="1" max="1" width="6" customWidth="1"/>
    <col min="2" max="2" width="35.6640625" style="203" customWidth="1"/>
    <col min="3" max="3" width="11.6640625" style="203" bestFit="1" customWidth="1"/>
    <col min="4" max="4" width="17.109375" style="203" customWidth="1"/>
    <col min="5" max="6" width="15.88671875" style="203" customWidth="1"/>
    <col min="7" max="7" width="16" style="203" customWidth="1"/>
    <col min="8" max="8" width="16.33203125" style="203" customWidth="1"/>
    <col min="9" max="9" width="15.33203125" style="203" customWidth="1"/>
    <col min="10" max="10" width="18.44140625" style="203" customWidth="1"/>
    <col min="11" max="11" width="15.33203125" style="203" customWidth="1"/>
    <col min="12" max="12" width="16.5546875" style="203" customWidth="1"/>
    <col min="13" max="13" width="3.5546875" style="203" customWidth="1"/>
    <col min="14" max="14" width="15.109375" style="203" customWidth="1"/>
    <col min="15" max="15" width="20.44140625" style="203" customWidth="1"/>
    <col min="16" max="16" width="15.109375" style="203" customWidth="1"/>
    <col min="17" max="17" width="15" style="203" customWidth="1"/>
    <col min="18" max="18" width="11" style="203"/>
    <col min="19" max="20" width="15" style="203" customWidth="1"/>
    <col min="21" max="21" width="17" style="203" customWidth="1"/>
    <col min="22" max="16384" width="11" style="203"/>
  </cols>
  <sheetData>
    <row r="1" spans="1:15" ht="16.2" thickBot="1" x14ac:dyDescent="0.35">
      <c r="B1" s="201" t="str">
        <f>'JEC-Jurczyk-10A'!B1</f>
        <v>Jacksonville Village Electric Utility</v>
      </c>
      <c r="C1" s="202"/>
      <c r="J1" s="205" t="s">
        <v>211</v>
      </c>
      <c r="M1" s="204"/>
      <c r="N1" s="204"/>
    </row>
    <row r="2" spans="1:15" x14ac:dyDescent="0.3">
      <c r="B2" s="201" t="str">
        <f>'JEC-Jurczyk-10A'!B2</f>
        <v>Rate Case Study</v>
      </c>
      <c r="C2" s="202"/>
    </row>
    <row r="3" spans="1:15" x14ac:dyDescent="0.3">
      <c r="B3" s="206" t="s">
        <v>212</v>
      </c>
      <c r="C3" s="207"/>
      <c r="N3" s="208"/>
      <c r="O3" s="208"/>
    </row>
    <row r="4" spans="1:15" x14ac:dyDescent="0.3">
      <c r="B4" s="209" t="s">
        <v>4</v>
      </c>
      <c r="C4" s="210" t="str">
        <f>'JEC-Jurczyk-10A'!C4</f>
        <v>12 months ending December 31, 2025</v>
      </c>
      <c r="E4" s="211"/>
      <c r="F4" s="211"/>
    </row>
    <row r="5" spans="1:15" x14ac:dyDescent="0.3">
      <c r="B5" s="209" t="s">
        <v>6</v>
      </c>
      <c r="C5" s="210" t="str">
        <f>'JEC-Jurczyk-10A'!C5</f>
        <v>July 5, 2026 - July 4, 2027</v>
      </c>
    </row>
    <row r="6" spans="1:15" ht="15" customHeight="1" x14ac:dyDescent="0.3">
      <c r="B6" s="209" t="s">
        <v>8</v>
      </c>
      <c r="C6" s="212">
        <f>'JEC-Jurczyk-10A'!C6</f>
        <v>46163</v>
      </c>
      <c r="D6" s="213"/>
      <c r="E6" s="214"/>
      <c r="F6" s="214"/>
      <c r="G6" s="214"/>
      <c r="H6" s="214"/>
      <c r="I6" s="214"/>
      <c r="J6" s="214"/>
      <c r="K6" s="214"/>
      <c r="N6" s="213"/>
    </row>
    <row r="7" spans="1:15" ht="15" customHeight="1" x14ac:dyDescent="0.3">
      <c r="B7" s="209"/>
      <c r="C7" s="215"/>
      <c r="D7" s="213"/>
      <c r="E7" s="216"/>
      <c r="F7" s="216"/>
      <c r="G7" s="216"/>
      <c r="H7" s="216"/>
      <c r="I7" s="216"/>
      <c r="J7" s="216"/>
      <c r="K7" s="216"/>
      <c r="N7" s="213"/>
    </row>
    <row r="8" spans="1:15" ht="15" customHeight="1" x14ac:dyDescent="0.3">
      <c r="B8" s="209"/>
      <c r="C8" s="215"/>
      <c r="D8" s="213"/>
      <c r="E8" s="216"/>
      <c r="F8" s="216"/>
      <c r="G8" s="216"/>
      <c r="H8" s="216"/>
      <c r="I8" s="216"/>
      <c r="J8" s="213" t="s">
        <v>347</v>
      </c>
    </row>
    <row r="9" spans="1:15" ht="31.2" x14ac:dyDescent="0.3">
      <c r="D9" s="216" t="s">
        <v>213</v>
      </c>
      <c r="E9" s="216" t="s">
        <v>214</v>
      </c>
      <c r="F9" s="216">
        <v>2026</v>
      </c>
      <c r="G9" s="216" t="s">
        <v>215</v>
      </c>
      <c r="H9" s="216">
        <v>2027</v>
      </c>
      <c r="I9" s="213" t="s">
        <v>216</v>
      </c>
      <c r="J9" s="213" t="s">
        <v>216</v>
      </c>
    </row>
    <row r="10" spans="1:15" x14ac:dyDescent="0.3">
      <c r="A10">
        <v>1</v>
      </c>
      <c r="D10" s="217" t="s">
        <v>217</v>
      </c>
      <c r="E10" s="218">
        <v>46084</v>
      </c>
      <c r="F10" s="217"/>
      <c r="G10" s="218">
        <v>46449</v>
      </c>
      <c r="H10" s="217"/>
      <c r="I10" s="217" t="s">
        <v>218</v>
      </c>
      <c r="J10" s="217" t="s">
        <v>219</v>
      </c>
    </row>
    <row r="11" spans="1:15" x14ac:dyDescent="0.3">
      <c r="A11">
        <f>A10+1</f>
        <v>2</v>
      </c>
      <c r="B11" s="203" t="s">
        <v>220</v>
      </c>
      <c r="D11" s="219"/>
      <c r="E11" s="220">
        <v>0</v>
      </c>
      <c r="F11" s="219">
        <f>(1+E11)*D11</f>
        <v>0</v>
      </c>
      <c r="G11" s="220">
        <v>0</v>
      </c>
      <c r="H11" s="219">
        <f>(1+G11)*F11</f>
        <v>0</v>
      </c>
      <c r="I11" s="219">
        <f>2/12*D11+10/12*F11</f>
        <v>0</v>
      </c>
      <c r="J11" s="219">
        <f>I11-D11</f>
        <v>0</v>
      </c>
      <c r="K11" s="211"/>
    </row>
    <row r="12" spans="1:15" x14ac:dyDescent="0.3">
      <c r="A12">
        <f t="shared" ref="A12:A37" si="0">A11+1</f>
        <v>3</v>
      </c>
      <c r="B12" s="203" t="s">
        <v>207</v>
      </c>
      <c r="D12" s="219"/>
      <c r="E12" s="220">
        <v>0</v>
      </c>
      <c r="F12" s="219">
        <f>(1+E12)*D12</f>
        <v>0</v>
      </c>
      <c r="G12" s="220">
        <v>0</v>
      </c>
      <c r="H12" s="219">
        <f>(1+G12)*F12</f>
        <v>0</v>
      </c>
      <c r="I12" s="219">
        <f>2/12*D12+10/12*F12</f>
        <v>0</v>
      </c>
      <c r="J12" s="219">
        <f>I12-D12</f>
        <v>0</v>
      </c>
    </row>
    <row r="13" spans="1:15" x14ac:dyDescent="0.3">
      <c r="A13">
        <f t="shared" si="0"/>
        <v>4</v>
      </c>
      <c r="B13" s="203" t="s">
        <v>208</v>
      </c>
      <c r="D13" s="219">
        <f>201811-D14-D15</f>
        <v>79220.479999999981</v>
      </c>
      <c r="E13" s="220">
        <v>0</v>
      </c>
      <c r="F13" s="219">
        <f>(1+E13)*D13</f>
        <v>79220.479999999981</v>
      </c>
      <c r="G13" s="220">
        <v>0</v>
      </c>
      <c r="H13" s="219">
        <f>(1+G13)*F13</f>
        <v>79220.479999999981</v>
      </c>
      <c r="I13" s="219">
        <f>F13</f>
        <v>79220.479999999981</v>
      </c>
      <c r="J13" s="219">
        <f>I13-D13</f>
        <v>0</v>
      </c>
    </row>
    <row r="14" spans="1:15" x14ac:dyDescent="0.3">
      <c r="A14">
        <f t="shared" si="0"/>
        <v>5</v>
      </c>
      <c r="B14" s="203" t="s">
        <v>221</v>
      </c>
      <c r="D14" s="219">
        <v>43409.08</v>
      </c>
      <c r="E14" s="220">
        <f>1273.42/D14</f>
        <v>2.9335337215163279E-2</v>
      </c>
      <c r="F14" s="219">
        <f>(1+E14)*D14</f>
        <v>44682.5</v>
      </c>
      <c r="G14" s="220">
        <f>1273.42/F14</f>
        <v>2.8499300621048509E-2</v>
      </c>
      <c r="H14" s="219">
        <f>(1+G14)*F14</f>
        <v>45955.92</v>
      </c>
      <c r="I14" s="219">
        <f>F14/12*8+H14/12*4</f>
        <v>45106.973333333328</v>
      </c>
      <c r="J14" s="219">
        <f>I14-D14</f>
        <v>1697.8933333333262</v>
      </c>
    </row>
    <row r="15" spans="1:15" x14ac:dyDescent="0.3">
      <c r="A15">
        <f t="shared" si="0"/>
        <v>6</v>
      </c>
      <c r="B15" s="221" t="s">
        <v>222</v>
      </c>
      <c r="D15" s="222">
        <v>79181.440000000002</v>
      </c>
      <c r="E15" s="223">
        <f>8328.7/D15</f>
        <v>0.10518500295018632</v>
      </c>
      <c r="F15" s="222">
        <f>(1+E15)*D15</f>
        <v>87510.140000000014</v>
      </c>
      <c r="G15" s="223">
        <f>8328.7/F15</f>
        <v>9.5174113537014104E-2</v>
      </c>
      <c r="H15" s="222">
        <f>(1+G15)*F15</f>
        <v>95838.840000000011</v>
      </c>
      <c r="I15" s="222">
        <f>F15/12*8+H15/12*4</f>
        <v>90286.373333333351</v>
      </c>
      <c r="J15" s="222">
        <f>I15-D15</f>
        <v>11104.933333333349</v>
      </c>
    </row>
    <row r="16" spans="1:15" x14ac:dyDescent="0.3">
      <c r="A16">
        <f>A15+1</f>
        <v>7</v>
      </c>
      <c r="B16" s="221" t="s">
        <v>43</v>
      </c>
      <c r="D16" s="219">
        <f>SUM(D11:D15)</f>
        <v>201811</v>
      </c>
      <c r="E16" s="219">
        <v>0</v>
      </c>
      <c r="F16" s="219">
        <f>SUM(F11:F15)</f>
        <v>211413.12</v>
      </c>
      <c r="G16" s="219">
        <v>0</v>
      </c>
      <c r="H16" s="219">
        <f>SUM(H11:H15)</f>
        <v>221015.24</v>
      </c>
      <c r="I16" s="219">
        <f>SUM(I11:I15)</f>
        <v>214613.82666666666</v>
      </c>
      <c r="J16" s="219">
        <f>SUM(J11:J15)</f>
        <v>12802.826666666675</v>
      </c>
      <c r="K16" s="224"/>
    </row>
    <row r="17" spans="1:16" x14ac:dyDescent="0.3">
      <c r="A17">
        <f t="shared" si="0"/>
        <v>8</v>
      </c>
      <c r="D17" s="225"/>
      <c r="E17" s="219"/>
      <c r="F17" s="219"/>
      <c r="G17" s="219"/>
      <c r="H17" s="219"/>
      <c r="I17" s="219"/>
      <c r="J17" s="219"/>
      <c r="K17" s="224"/>
    </row>
    <row r="18" spans="1:16" x14ac:dyDescent="0.3">
      <c r="A18">
        <f t="shared" si="0"/>
        <v>9</v>
      </c>
      <c r="B18" s="221"/>
      <c r="C18" s="221"/>
      <c r="D18" s="225"/>
      <c r="E18" s="220"/>
      <c r="F18" s="219"/>
      <c r="G18" s="220"/>
      <c r="H18" s="219"/>
      <c r="I18" s="219"/>
      <c r="J18" s="219"/>
    </row>
    <row r="19" spans="1:16" x14ac:dyDescent="0.3">
      <c r="A19">
        <f t="shared" si="0"/>
        <v>10</v>
      </c>
      <c r="B19" s="221"/>
      <c r="C19" s="221"/>
      <c r="D19" s="225"/>
      <c r="E19" s="220"/>
      <c r="F19" s="219"/>
      <c r="G19" s="220"/>
      <c r="H19" s="219"/>
      <c r="I19" s="219"/>
      <c r="J19" s="219"/>
    </row>
    <row r="20" spans="1:16" x14ac:dyDescent="0.3">
      <c r="A20">
        <f t="shared" si="0"/>
        <v>11</v>
      </c>
      <c r="B20" s="221"/>
      <c r="C20" s="221"/>
      <c r="D20" s="226"/>
      <c r="E20" s="220"/>
      <c r="F20" s="219"/>
      <c r="G20" s="220"/>
      <c r="H20" s="219"/>
      <c r="I20" s="219"/>
      <c r="J20" s="219"/>
    </row>
    <row r="21" spans="1:16" x14ac:dyDescent="0.3">
      <c r="A21">
        <f t="shared" si="0"/>
        <v>12</v>
      </c>
      <c r="D21" s="226"/>
      <c r="I21" s="219"/>
      <c r="J21" s="219"/>
    </row>
    <row r="22" spans="1:16" x14ac:dyDescent="0.3">
      <c r="A22">
        <f t="shared" si="0"/>
        <v>13</v>
      </c>
      <c r="B22" s="203" t="s">
        <v>223</v>
      </c>
      <c r="D22" s="227">
        <f>SUM(D16:D20)</f>
        <v>201811</v>
      </c>
      <c r="E22" s="228"/>
      <c r="F22" s="228">
        <f>SUM(F16:F20)</f>
        <v>211413.12</v>
      </c>
      <c r="G22" s="228"/>
      <c r="H22" s="228">
        <f>SUM(H16:H20)</f>
        <v>221015.24</v>
      </c>
      <c r="I22" s="228">
        <f>SUM(I16:I20)</f>
        <v>214613.82666666666</v>
      </c>
      <c r="J22" s="228">
        <f>SUM(J16:J20)</f>
        <v>12802.826666666675</v>
      </c>
      <c r="L22" s="228"/>
    </row>
    <row r="23" spans="1:16" x14ac:dyDescent="0.3">
      <c r="A23">
        <f t="shared" si="0"/>
        <v>14</v>
      </c>
      <c r="D23" s="228"/>
      <c r="G23" s="227"/>
      <c r="H23" s="228"/>
      <c r="I23" s="228"/>
      <c r="J23" s="228"/>
      <c r="K23" s="228"/>
      <c r="L23" s="228"/>
      <c r="M23" s="228"/>
    </row>
    <row r="24" spans="1:16" ht="16.2" thickBot="1" x14ac:dyDescent="0.35">
      <c r="A24">
        <f t="shared" si="0"/>
        <v>15</v>
      </c>
      <c r="D24" s="228"/>
      <c r="G24" s="227"/>
      <c r="H24" s="228"/>
      <c r="I24" s="228"/>
      <c r="J24" s="228"/>
      <c r="K24" s="228"/>
      <c r="L24" s="228"/>
      <c r="M24" s="228"/>
    </row>
    <row r="25" spans="1:16" x14ac:dyDescent="0.3">
      <c r="A25">
        <f t="shared" si="0"/>
        <v>16</v>
      </c>
      <c r="E25" s="229"/>
      <c r="F25" s="229"/>
      <c r="G25" s="226"/>
      <c r="H25" s="230" t="s">
        <v>224</v>
      </c>
      <c r="I25" s="231"/>
      <c r="J25" s="232"/>
    </row>
    <row r="26" spans="1:16" x14ac:dyDescent="0.3">
      <c r="A26">
        <f t="shared" si="0"/>
        <v>17</v>
      </c>
      <c r="E26" s="229"/>
      <c r="F26" s="229"/>
      <c r="H26" s="233" t="s">
        <v>220</v>
      </c>
      <c r="I26" s="228"/>
      <c r="J26" s="234">
        <f>J11</f>
        <v>0</v>
      </c>
    </row>
    <row r="27" spans="1:16" x14ac:dyDescent="0.3">
      <c r="A27">
        <f t="shared" si="0"/>
        <v>18</v>
      </c>
      <c r="H27" s="233" t="s">
        <v>207</v>
      </c>
      <c r="I27" s="228"/>
      <c r="J27" s="234">
        <f>J12</f>
        <v>0</v>
      </c>
    </row>
    <row r="28" spans="1:16" x14ac:dyDescent="0.3">
      <c r="A28">
        <f t="shared" si="0"/>
        <v>19</v>
      </c>
      <c r="H28" s="233" t="s">
        <v>208</v>
      </c>
      <c r="I28" s="228"/>
      <c r="J28" s="234">
        <f>J13+J18+J19</f>
        <v>0</v>
      </c>
    </row>
    <row r="29" spans="1:16" x14ac:dyDescent="0.3">
      <c r="A29">
        <f t="shared" si="0"/>
        <v>20</v>
      </c>
      <c r="H29" s="233" t="s">
        <v>225</v>
      </c>
      <c r="I29" s="228"/>
      <c r="J29" s="234">
        <f>J14</f>
        <v>1697.8933333333262</v>
      </c>
    </row>
    <row r="30" spans="1:16" x14ac:dyDescent="0.3">
      <c r="A30">
        <f t="shared" si="0"/>
        <v>21</v>
      </c>
      <c r="H30" s="233" t="s">
        <v>226</v>
      </c>
      <c r="I30" s="228"/>
      <c r="J30" s="235">
        <f>J15</f>
        <v>11104.933333333349</v>
      </c>
      <c r="P30" s="228"/>
    </row>
    <row r="31" spans="1:16" ht="16.2" thickBot="1" x14ac:dyDescent="0.35">
      <c r="A31">
        <f t="shared" si="0"/>
        <v>22</v>
      </c>
      <c r="H31" s="236"/>
      <c r="I31" s="237" t="s">
        <v>103</v>
      </c>
      <c r="J31" s="238">
        <f>SUM(J26:J30)</f>
        <v>12802.826666666675</v>
      </c>
    </row>
    <row r="32" spans="1:16" x14ac:dyDescent="0.3">
      <c r="A32">
        <f t="shared" si="0"/>
        <v>23</v>
      </c>
      <c r="D32" s="228"/>
      <c r="G32" s="228"/>
      <c r="H32" s="228"/>
      <c r="I32" s="228"/>
      <c r="J32" s="228"/>
      <c r="K32" s="228"/>
      <c r="L32" s="228"/>
      <c r="M32" s="228"/>
      <c r="N32" s="228"/>
      <c r="O32" s="228"/>
    </row>
    <row r="33" spans="1:17" x14ac:dyDescent="0.3">
      <c r="A33">
        <f t="shared" si="0"/>
        <v>24</v>
      </c>
      <c r="B33" s="203" t="s">
        <v>227</v>
      </c>
      <c r="D33" s="239">
        <f>E50/D16</f>
        <v>7.8151835132871841E-2</v>
      </c>
      <c r="O33" s="240"/>
    </row>
    <row r="34" spans="1:17" x14ac:dyDescent="0.3">
      <c r="A34">
        <f t="shared" si="0"/>
        <v>25</v>
      </c>
      <c r="B34" s="203" t="s">
        <v>228</v>
      </c>
      <c r="D34" s="241">
        <f>SUM(D50:D54)/$D$22</f>
        <v>7.8151835132871841E-2</v>
      </c>
      <c r="Q34" s="211"/>
    </row>
    <row r="35" spans="1:17" x14ac:dyDescent="0.3">
      <c r="A35">
        <f t="shared" si="0"/>
        <v>26</v>
      </c>
      <c r="B35" s="203" t="s">
        <v>229</v>
      </c>
      <c r="D35" s="239">
        <v>4.4000000000000003E-3</v>
      </c>
    </row>
    <row r="36" spans="1:17" x14ac:dyDescent="0.3">
      <c r="A36">
        <f t="shared" si="0"/>
        <v>27</v>
      </c>
      <c r="B36" s="242" t="s">
        <v>230</v>
      </c>
      <c r="D36" s="389">
        <f>D34*J31</f>
        <v>1000.5643988880691</v>
      </c>
      <c r="P36" s="243"/>
    </row>
    <row r="37" spans="1:17" x14ac:dyDescent="0.3">
      <c r="A37">
        <f t="shared" si="0"/>
        <v>28</v>
      </c>
      <c r="B37" s="244" t="s">
        <v>231</v>
      </c>
      <c r="D37" s="389">
        <f>D35*$J$31</f>
        <v>56.332437333333374</v>
      </c>
    </row>
    <row r="38" spans="1:17" x14ac:dyDescent="0.3"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</row>
    <row r="39" spans="1:17" x14ac:dyDescent="0.3">
      <c r="I39" s="246"/>
      <c r="J39" s="246"/>
      <c r="K39" s="246"/>
    </row>
    <row r="40" spans="1:17" x14ac:dyDescent="0.3">
      <c r="D40" s="246"/>
      <c r="E40" s="246"/>
      <c r="F40" s="246"/>
      <c r="G40" s="246"/>
      <c r="H40" s="246"/>
      <c r="I40" s="246"/>
      <c r="J40" s="246"/>
      <c r="K40" s="246"/>
    </row>
    <row r="41" spans="1:17" x14ac:dyDescent="0.3">
      <c r="D41" s="247"/>
      <c r="E41" s="247"/>
      <c r="F41" s="247"/>
      <c r="G41" s="248"/>
      <c r="H41" s="249"/>
      <c r="I41" s="246"/>
      <c r="J41" s="246"/>
      <c r="K41" s="246"/>
    </row>
    <row r="42" spans="1:17" x14ac:dyDescent="0.3">
      <c r="C42" s="250"/>
      <c r="D42" s="247"/>
      <c r="E42" s="247"/>
      <c r="F42" s="247"/>
      <c r="G42" s="247"/>
      <c r="H42" s="247"/>
      <c r="I42" s="246"/>
      <c r="J42" s="246"/>
      <c r="K42" s="246"/>
      <c r="O42" s="251"/>
      <c r="P42" s="251"/>
      <c r="Q42" s="251"/>
    </row>
    <row r="43" spans="1:17" x14ac:dyDescent="0.3">
      <c r="C43" s="250"/>
      <c r="D43" s="247"/>
      <c r="E43" s="247"/>
      <c r="F43" s="247"/>
      <c r="G43" s="247"/>
      <c r="H43" s="247"/>
      <c r="I43" s="211"/>
      <c r="J43" s="211"/>
      <c r="K43" s="211"/>
    </row>
    <row r="44" spans="1:17" x14ac:dyDescent="0.3">
      <c r="C44" s="250"/>
      <c r="D44" s="247"/>
      <c r="E44" s="247"/>
      <c r="F44" s="247"/>
      <c r="G44" s="247"/>
      <c r="H44" s="252"/>
      <c r="I44" s="211"/>
      <c r="J44" s="211"/>
      <c r="K44" s="211"/>
    </row>
    <row r="45" spans="1:17" x14ac:dyDescent="0.3">
      <c r="B45" s="253"/>
      <c r="C45" s="253"/>
      <c r="D45" s="253" t="s">
        <v>232</v>
      </c>
      <c r="E45" s="247"/>
      <c r="F45" s="247"/>
      <c r="G45" s="247"/>
      <c r="H45" s="252"/>
      <c r="I45" s="211"/>
      <c r="J45" s="211"/>
      <c r="K45" s="211"/>
    </row>
    <row r="46" spans="1:17" x14ac:dyDescent="0.3">
      <c r="B46" s="254"/>
      <c r="C46" s="254"/>
      <c r="D46" s="255">
        <v>11610.53</v>
      </c>
      <c r="E46" s="247"/>
      <c r="F46" s="247"/>
      <c r="G46" s="247"/>
      <c r="H46" s="252"/>
      <c r="I46" s="211"/>
      <c r="J46" s="211"/>
      <c r="K46" s="211"/>
    </row>
    <row r="47" spans="1:17" x14ac:dyDescent="0.3">
      <c r="B47" s="254"/>
      <c r="C47" s="254"/>
      <c r="D47" s="255">
        <v>12502.64</v>
      </c>
      <c r="E47" s="247"/>
      <c r="F47" s="247"/>
      <c r="G47" s="247"/>
      <c r="H47" s="247"/>
      <c r="I47" s="211"/>
      <c r="J47" s="211"/>
      <c r="K47" s="211"/>
    </row>
    <row r="48" spans="1:17" x14ac:dyDescent="0.3">
      <c r="B48" s="254"/>
      <c r="C48" s="254"/>
      <c r="D48" s="255">
        <v>2924.08</v>
      </c>
      <c r="E48" s="247"/>
      <c r="F48" s="247"/>
      <c r="G48" s="247"/>
      <c r="H48" s="252"/>
      <c r="I48" s="211"/>
      <c r="J48" s="211"/>
      <c r="K48" s="211"/>
    </row>
    <row r="49" spans="2:11" x14ac:dyDescent="0.3">
      <c r="B49" s="254"/>
      <c r="C49" s="254"/>
      <c r="D49" s="255">
        <v>5726.33</v>
      </c>
      <c r="E49" s="247"/>
      <c r="F49" s="247"/>
      <c r="G49" s="247"/>
      <c r="H49" s="256"/>
      <c r="I49" s="211"/>
      <c r="J49" s="211"/>
      <c r="K49" s="211"/>
    </row>
    <row r="50" spans="2:11" x14ac:dyDescent="0.3">
      <c r="B50" s="254"/>
      <c r="C50" s="254"/>
      <c r="D50" s="255">
        <v>12502.64</v>
      </c>
      <c r="E50" s="257">
        <f>SUM(D50:D52)</f>
        <v>15771.9</v>
      </c>
      <c r="F50" s="247"/>
      <c r="G50" s="247"/>
      <c r="H50" s="252"/>
      <c r="I50" s="211"/>
      <c r="J50" s="211"/>
      <c r="K50" s="211"/>
    </row>
    <row r="51" spans="2:11" x14ac:dyDescent="0.3">
      <c r="B51" s="254"/>
      <c r="C51" s="254"/>
      <c r="D51" s="255">
        <v>2924.08</v>
      </c>
      <c r="E51" s="247"/>
      <c r="F51" s="247"/>
      <c r="G51" s="247"/>
      <c r="H51" s="252"/>
      <c r="I51" s="211"/>
      <c r="J51" s="211"/>
      <c r="K51" s="211"/>
    </row>
    <row r="52" spans="2:11" x14ac:dyDescent="0.3">
      <c r="B52" s="254"/>
      <c r="C52" s="254"/>
      <c r="D52" s="255">
        <v>345.18</v>
      </c>
      <c r="E52" s="247"/>
      <c r="F52" s="247"/>
      <c r="G52" s="247"/>
      <c r="H52" s="256"/>
      <c r="I52" s="211"/>
      <c r="J52" s="211"/>
      <c r="K52" s="211"/>
    </row>
    <row r="53" spans="2:11" x14ac:dyDescent="0.3">
      <c r="B53" s="254"/>
      <c r="C53" s="254"/>
      <c r="D53" s="255">
        <v>0</v>
      </c>
      <c r="E53" s="247"/>
      <c r="F53" s="247"/>
      <c r="G53" s="247"/>
      <c r="H53" s="258"/>
      <c r="I53" s="211"/>
      <c r="J53" s="211"/>
      <c r="K53" s="211"/>
    </row>
    <row r="54" spans="2:11" x14ac:dyDescent="0.3">
      <c r="B54" s="254"/>
      <c r="C54" s="254"/>
      <c r="D54" s="255">
        <v>0</v>
      </c>
      <c r="E54" s="247"/>
      <c r="F54" s="247"/>
      <c r="G54" s="247"/>
      <c r="H54" s="247"/>
      <c r="I54" s="211"/>
      <c r="J54" s="211"/>
      <c r="K54" s="211"/>
    </row>
    <row r="55" spans="2:11" x14ac:dyDescent="0.3">
      <c r="B55" s="254"/>
      <c r="C55" s="254"/>
      <c r="D55" s="255">
        <v>0</v>
      </c>
      <c r="E55" s="247"/>
      <c r="F55" s="247"/>
      <c r="G55" s="247"/>
      <c r="H55" s="247"/>
      <c r="I55" s="211"/>
      <c r="J55" s="211"/>
      <c r="K55" s="211"/>
    </row>
    <row r="56" spans="2:11" x14ac:dyDescent="0.3">
      <c r="B56" s="254"/>
      <c r="C56" s="254"/>
      <c r="D56" s="255">
        <v>858.42</v>
      </c>
      <c r="E56" s="247"/>
      <c r="F56" s="247"/>
      <c r="G56" s="247"/>
      <c r="H56" s="247"/>
      <c r="I56" s="211"/>
      <c r="J56" s="211"/>
      <c r="K56" s="211"/>
    </row>
    <row r="57" spans="2:11" x14ac:dyDescent="0.3">
      <c r="B57" s="259"/>
      <c r="C57" s="254"/>
      <c r="D57" s="260">
        <v>32763.58</v>
      </c>
      <c r="E57" s="247"/>
      <c r="F57" s="247"/>
      <c r="G57" s="247"/>
      <c r="H57" s="247"/>
      <c r="I57" s="211"/>
      <c r="J57" s="211"/>
      <c r="K57" s="211"/>
    </row>
    <row r="58" spans="2:11" x14ac:dyDescent="0.3">
      <c r="B58" s="259"/>
      <c r="C58" s="254"/>
      <c r="D58" s="260">
        <v>16630.32</v>
      </c>
      <c r="E58" s="247"/>
      <c r="F58" s="247"/>
      <c r="G58" s="247"/>
      <c r="H58" s="247"/>
      <c r="I58" s="211"/>
      <c r="J58" s="211"/>
      <c r="K58" s="211"/>
    </row>
    <row r="59" spans="2:11" x14ac:dyDescent="0.3">
      <c r="B59" s="259"/>
      <c r="C59" s="254"/>
      <c r="D59" s="260">
        <v>49393.9</v>
      </c>
      <c r="E59" s="247"/>
      <c r="F59" s="247"/>
      <c r="G59" s="247"/>
      <c r="H59" s="211"/>
      <c r="I59" s="211"/>
      <c r="J59" s="211"/>
      <c r="K59" s="211"/>
    </row>
    <row r="60" spans="2:11" x14ac:dyDescent="0.3">
      <c r="C60" s="250"/>
      <c r="D60" s="247"/>
      <c r="E60" s="247"/>
      <c r="F60" s="247"/>
      <c r="G60" s="247"/>
      <c r="H60" s="246"/>
      <c r="I60" s="211"/>
      <c r="J60" s="211"/>
      <c r="K60" s="211"/>
    </row>
    <row r="61" spans="2:11" x14ac:dyDescent="0.3">
      <c r="C61" s="250"/>
      <c r="D61" s="247"/>
      <c r="E61" s="247"/>
      <c r="F61" s="247"/>
      <c r="G61" s="247"/>
      <c r="H61" s="228"/>
      <c r="I61" s="211"/>
      <c r="J61" s="211"/>
      <c r="K61" s="211"/>
    </row>
    <row r="62" spans="2:11" x14ac:dyDescent="0.3">
      <c r="C62" s="250"/>
      <c r="D62" s="247"/>
      <c r="E62" s="247"/>
      <c r="F62" s="247"/>
      <c r="G62" s="247"/>
      <c r="H62" s="211"/>
      <c r="I62" s="211"/>
      <c r="J62" s="211"/>
      <c r="K62" s="211"/>
    </row>
    <row r="63" spans="2:11" x14ac:dyDescent="0.3">
      <c r="C63" s="250"/>
      <c r="D63" s="247"/>
      <c r="E63" s="247"/>
      <c r="F63" s="247"/>
      <c r="G63" s="247"/>
      <c r="H63" s="211"/>
      <c r="I63" s="211"/>
      <c r="J63" s="211"/>
      <c r="K63" s="211"/>
    </row>
    <row r="64" spans="2:11" x14ac:dyDescent="0.3">
      <c r="C64" s="250"/>
      <c r="D64" s="247"/>
      <c r="E64" s="247"/>
      <c r="F64" s="247"/>
      <c r="G64" s="247"/>
      <c r="H64" s="211"/>
      <c r="I64" s="211"/>
      <c r="J64" s="211"/>
      <c r="K64" s="211"/>
    </row>
    <row r="65" spans="3:11" x14ac:dyDescent="0.3">
      <c r="C65" s="250"/>
      <c r="D65" s="247"/>
      <c r="E65" s="247"/>
      <c r="F65" s="247"/>
      <c r="G65" s="247"/>
      <c r="H65" s="211"/>
      <c r="I65" s="211"/>
      <c r="J65" s="211"/>
      <c r="K65" s="211"/>
    </row>
    <row r="66" spans="3:11" x14ac:dyDescent="0.3">
      <c r="C66" s="250"/>
      <c r="D66" s="247"/>
      <c r="E66" s="247"/>
      <c r="F66" s="247"/>
      <c r="G66" s="247"/>
      <c r="H66" s="211"/>
      <c r="I66" s="211"/>
      <c r="J66" s="211"/>
      <c r="K66" s="211"/>
    </row>
    <row r="67" spans="3:11" x14ac:dyDescent="0.3">
      <c r="C67" s="250"/>
      <c r="D67" s="247"/>
      <c r="E67" s="247"/>
      <c r="F67" s="247"/>
      <c r="G67" s="247"/>
      <c r="H67" s="211"/>
      <c r="I67" s="211"/>
      <c r="J67" s="211"/>
      <c r="K67" s="211"/>
    </row>
    <row r="68" spans="3:11" x14ac:dyDescent="0.3">
      <c r="C68" s="250"/>
      <c r="D68" s="247"/>
      <c r="E68" s="247"/>
      <c r="F68" s="247"/>
      <c r="G68" s="247"/>
      <c r="H68" s="211"/>
      <c r="I68" s="211"/>
      <c r="J68" s="211"/>
      <c r="K68" s="211"/>
    </row>
    <row r="69" spans="3:11" x14ac:dyDescent="0.3">
      <c r="C69" s="250"/>
      <c r="D69" s="247"/>
      <c r="E69" s="247"/>
      <c r="F69" s="247"/>
      <c r="G69" s="247"/>
      <c r="H69" s="211"/>
      <c r="I69" s="211"/>
      <c r="J69" s="211"/>
      <c r="K69" s="211"/>
    </row>
    <row r="70" spans="3:11" x14ac:dyDescent="0.3">
      <c r="C70" s="250"/>
      <c r="D70" s="247"/>
      <c r="E70" s="247"/>
      <c r="F70" s="247"/>
      <c r="G70" s="247"/>
      <c r="H70" s="211"/>
      <c r="I70" s="211"/>
      <c r="J70" s="211"/>
      <c r="K70" s="211"/>
    </row>
    <row r="71" spans="3:11" x14ac:dyDescent="0.3">
      <c r="C71" s="261"/>
      <c r="D71" s="262"/>
      <c r="E71" s="263"/>
      <c r="F71" s="263"/>
      <c r="G71" s="211"/>
      <c r="H71" s="211"/>
      <c r="I71" s="211"/>
      <c r="J71" s="211"/>
      <c r="K71" s="211"/>
    </row>
    <row r="72" spans="3:11" x14ac:dyDescent="0.3">
      <c r="C72" s="261"/>
      <c r="D72" s="262"/>
      <c r="E72" s="263"/>
      <c r="F72" s="263"/>
      <c r="G72" s="211"/>
      <c r="H72" s="211"/>
      <c r="I72" s="211"/>
      <c r="J72" s="211"/>
      <c r="K72" s="211"/>
    </row>
    <row r="73" spans="3:11" x14ac:dyDescent="0.3">
      <c r="C73" s="261"/>
      <c r="D73" s="262"/>
      <c r="E73" s="263"/>
      <c r="F73" s="263"/>
      <c r="G73" s="211"/>
      <c r="H73" s="211"/>
      <c r="I73" s="211"/>
      <c r="J73" s="211"/>
      <c r="K73" s="211"/>
    </row>
    <row r="74" spans="3:11" x14ac:dyDescent="0.3">
      <c r="C74" s="261"/>
      <c r="D74" s="262"/>
      <c r="E74" s="263"/>
      <c r="F74" s="263"/>
      <c r="G74" s="211"/>
      <c r="H74" s="211"/>
      <c r="I74" s="211"/>
      <c r="J74" s="211"/>
      <c r="K74" s="211"/>
    </row>
    <row r="75" spans="3:11" x14ac:dyDescent="0.3">
      <c r="C75" s="250"/>
      <c r="D75" s="262"/>
      <c r="E75" s="263"/>
      <c r="F75" s="263"/>
      <c r="G75" s="211"/>
      <c r="H75" s="211"/>
      <c r="I75" s="211"/>
      <c r="J75" s="211"/>
      <c r="K75" s="211"/>
    </row>
    <row r="76" spans="3:11" x14ac:dyDescent="0.3">
      <c r="C76" s="250"/>
      <c r="D76" s="262"/>
      <c r="E76" s="263"/>
      <c r="F76" s="263"/>
      <c r="G76" s="211"/>
      <c r="H76" s="211"/>
      <c r="I76" s="211"/>
      <c r="J76" s="211"/>
      <c r="K76" s="211"/>
    </row>
    <row r="77" spans="3:11" x14ac:dyDescent="0.3">
      <c r="C77" s="250"/>
      <c r="D77" s="262"/>
      <c r="E77" s="263"/>
      <c r="F77" s="263"/>
      <c r="G77" s="211"/>
      <c r="H77" s="211"/>
      <c r="I77" s="211"/>
      <c r="J77" s="211"/>
      <c r="K77" s="211"/>
    </row>
    <row r="78" spans="3:11" x14ac:dyDescent="0.3">
      <c r="C78" s="250"/>
      <c r="D78" s="262"/>
      <c r="E78" s="263"/>
      <c r="F78" s="263"/>
      <c r="G78" s="211"/>
      <c r="H78" s="211"/>
      <c r="I78" s="211"/>
      <c r="J78" s="211"/>
      <c r="K78" s="211"/>
    </row>
    <row r="79" spans="3:11" x14ac:dyDescent="0.3">
      <c r="C79" s="250"/>
      <c r="D79" s="262"/>
      <c r="E79" s="263"/>
      <c r="F79" s="263"/>
      <c r="G79" s="211"/>
      <c r="H79" s="211"/>
      <c r="I79" s="211"/>
      <c r="J79" s="211"/>
      <c r="K79" s="211"/>
    </row>
    <row r="80" spans="3:11" x14ac:dyDescent="0.3">
      <c r="C80" s="250"/>
      <c r="D80" s="262"/>
      <c r="E80" s="263"/>
      <c r="F80" s="263"/>
      <c r="G80" s="211"/>
      <c r="H80" s="211"/>
      <c r="I80" s="211"/>
      <c r="J80" s="211"/>
      <c r="K80" s="211"/>
    </row>
    <row r="81" spans="3:11" x14ac:dyDescent="0.3">
      <c r="C81" s="250"/>
      <c r="D81" s="262"/>
      <c r="E81" s="263"/>
      <c r="F81" s="263"/>
      <c r="G81" s="211"/>
      <c r="H81" s="211"/>
      <c r="I81" s="211"/>
      <c r="J81" s="211"/>
      <c r="K81" s="211"/>
    </row>
    <row r="82" spans="3:11" x14ac:dyDescent="0.3">
      <c r="C82" s="250"/>
      <c r="D82" s="262"/>
      <c r="E82" s="263"/>
      <c r="F82" s="263"/>
      <c r="G82" s="211"/>
      <c r="H82" s="211"/>
      <c r="I82" s="211"/>
      <c r="J82" s="211"/>
      <c r="K82" s="211"/>
    </row>
    <row r="83" spans="3:11" x14ac:dyDescent="0.3">
      <c r="D83" s="262"/>
      <c r="E83" s="263"/>
      <c r="F83" s="263"/>
      <c r="G83" s="211"/>
      <c r="H83" s="211"/>
      <c r="I83" s="211"/>
      <c r="J83" s="211"/>
      <c r="K83" s="211"/>
    </row>
    <row r="84" spans="3:11" x14ac:dyDescent="0.3">
      <c r="D84" s="262"/>
      <c r="E84" s="263"/>
      <c r="F84" s="263"/>
      <c r="G84" s="211"/>
      <c r="H84" s="211"/>
      <c r="I84" s="211"/>
      <c r="J84" s="211"/>
      <c r="K84" s="211"/>
    </row>
    <row r="87" spans="3:11" x14ac:dyDescent="0.3">
      <c r="D87" s="211"/>
    </row>
  </sheetData>
  <pageMargins left="0.75" right="0.75" top="1" bottom="1" header="0.511811023622047" footer="0.511811023622047"/>
  <pageSetup scale="71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581E-E937-4D7B-B852-19DEE056286E}">
  <sheetPr>
    <tabColor rgb="FF5EF0CA"/>
    <pageSetUpPr fitToPage="1"/>
  </sheetPr>
  <dimension ref="A1:E6"/>
  <sheetViews>
    <sheetView view="pageBreakPreview" zoomScale="60" zoomScaleNormal="100" workbookViewId="0">
      <selection activeCell="O58" sqref="O58"/>
    </sheetView>
  </sheetViews>
  <sheetFormatPr defaultRowHeight="14.4" x14ac:dyDescent="0.3"/>
  <cols>
    <col min="1" max="1" width="19.33203125" customWidth="1"/>
    <col min="2" max="2" width="17.109375" customWidth="1"/>
    <col min="5" max="6" width="17" customWidth="1"/>
    <col min="8" max="8" width="18.6640625" customWidth="1"/>
  </cols>
  <sheetData>
    <row r="1" spans="1:5" ht="16.2" thickBot="1" x14ac:dyDescent="0.35">
      <c r="A1" s="201" t="str">
        <f>'JEC-Jurczyk-10A'!B1</f>
        <v>Jacksonville Village Electric Utility</v>
      </c>
      <c r="B1" s="202"/>
      <c r="E1" s="205" t="s">
        <v>233</v>
      </c>
    </row>
    <row r="2" spans="1:5" ht="15.6" x14ac:dyDescent="0.3">
      <c r="A2" s="201" t="str">
        <f>'JEC-Jurczyk-10A'!B2</f>
        <v>Rate Case Study</v>
      </c>
      <c r="B2" s="202"/>
    </row>
    <row r="3" spans="1:5" ht="15.6" x14ac:dyDescent="0.3">
      <c r="A3" s="206" t="s">
        <v>212</v>
      </c>
      <c r="B3" s="207"/>
    </row>
    <row r="4" spans="1:5" ht="15.6" x14ac:dyDescent="0.3">
      <c r="A4" s="209" t="s">
        <v>4</v>
      </c>
      <c r="B4" s="210" t="str">
        <f>'JEC-Jurczyk-10A'!C4</f>
        <v>12 months ending December 31, 2025</v>
      </c>
    </row>
    <row r="5" spans="1:5" ht="15.6" x14ac:dyDescent="0.3">
      <c r="A5" s="209" t="s">
        <v>6</v>
      </c>
      <c r="B5" s="210" t="str">
        <f>'JEC-Jurczyk-10A'!C5</f>
        <v>July 5, 2026 - July 4, 2027</v>
      </c>
    </row>
    <row r="6" spans="1:5" ht="15.6" x14ac:dyDescent="0.3">
      <c r="A6" s="209" t="s">
        <v>8</v>
      </c>
      <c r="B6" s="212">
        <f>'JEC-Jurczyk-10A'!C6</f>
        <v>46163</v>
      </c>
    </row>
  </sheetData>
  <pageMargins left="1" right="1" top="1" bottom="1" header="0.5" footer="0.5"/>
  <pageSetup scale="85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206A-2CAD-4A87-9E10-C2FC99E23B48}">
  <sheetPr>
    <tabColor theme="8" tint="-0.249977111117893"/>
  </sheetPr>
  <dimension ref="A1:H26"/>
  <sheetViews>
    <sheetView view="pageBreakPreview" zoomScale="60" zoomScaleNormal="100" workbookViewId="0">
      <selection activeCell="H13" sqref="H13"/>
    </sheetView>
  </sheetViews>
  <sheetFormatPr defaultRowHeight="14.4" x14ac:dyDescent="0.3"/>
  <cols>
    <col min="2" max="2" width="30" customWidth="1"/>
    <col min="3" max="3" width="18.6640625" customWidth="1"/>
    <col min="4" max="4" width="12.33203125" customWidth="1"/>
    <col min="5" max="5" width="12.6640625" customWidth="1"/>
    <col min="6" max="6" width="12.44140625" hidden="1" customWidth="1"/>
    <col min="7" max="7" width="11.44140625" hidden="1" customWidth="1"/>
    <col min="8" max="8" width="32.5546875" customWidth="1"/>
    <col min="9" max="9" width="12.109375" customWidth="1"/>
  </cols>
  <sheetData>
    <row r="1" spans="1:8" ht="18.600000000000001" thickBot="1" x14ac:dyDescent="0.4">
      <c r="B1" s="2" t="str">
        <f>'JEC-Jurczyk-2'!B1</f>
        <v>Jacksonville Village Electric Utility</v>
      </c>
      <c r="C1" s="115"/>
      <c r="H1" s="4" t="s">
        <v>234</v>
      </c>
    </row>
    <row r="2" spans="1:8" ht="18" x14ac:dyDescent="0.35">
      <c r="B2" s="2" t="str">
        <f>'JEC-Jurczyk-2'!B2</f>
        <v>Rate Case Study</v>
      </c>
      <c r="C2" s="118"/>
    </row>
    <row r="3" spans="1:8" ht="15.6" x14ac:dyDescent="0.3">
      <c r="B3" s="6" t="s">
        <v>235</v>
      </c>
      <c r="C3" s="120"/>
    </row>
    <row r="4" spans="1:8" ht="15.6" x14ac:dyDescent="0.3">
      <c r="B4" s="7" t="s">
        <v>4</v>
      </c>
      <c r="C4" s="8" t="str">
        <f>'JEC-Jurczyk-2'!C4</f>
        <v>12 months ending December 31, 2025</v>
      </c>
    </row>
    <row r="5" spans="1:8" ht="15.6" x14ac:dyDescent="0.3">
      <c r="B5" s="7" t="s">
        <v>6</v>
      </c>
      <c r="C5" s="8" t="str">
        <f>'JEC-Jurczyk-2'!C5</f>
        <v>July 5, 2026 - July 4, 2027</v>
      </c>
    </row>
    <row r="6" spans="1:8" ht="15.6" x14ac:dyDescent="0.3">
      <c r="B6" s="7" t="s">
        <v>8</v>
      </c>
      <c r="C6" s="9">
        <f>'JEC-Jurczyk-2'!C6</f>
        <v>46163</v>
      </c>
    </row>
    <row r="7" spans="1:8" x14ac:dyDescent="0.3">
      <c r="C7" s="189" t="s">
        <v>201</v>
      </c>
      <c r="D7" s="189" t="s">
        <v>202</v>
      </c>
      <c r="E7" s="189" t="s">
        <v>236</v>
      </c>
      <c r="H7" s="189" t="s">
        <v>17</v>
      </c>
    </row>
    <row r="8" spans="1:8" x14ac:dyDescent="0.3">
      <c r="C8" s="189" t="s">
        <v>204</v>
      </c>
      <c r="D8" s="189" t="s">
        <v>204</v>
      </c>
      <c r="E8" s="189" t="s">
        <v>205</v>
      </c>
    </row>
    <row r="9" spans="1:8" ht="15.6" x14ac:dyDescent="0.3">
      <c r="A9">
        <v>1</v>
      </c>
      <c r="B9" s="190" t="s">
        <v>206</v>
      </c>
      <c r="C9" s="60">
        <f>SUMIF($B$20:$B$24,$B9,$E$20:$E$24)</f>
        <v>0</v>
      </c>
      <c r="D9" s="60">
        <f>SUMIF($B$20:$B$24,$B9,$F$20:$F$24)</f>
        <v>0</v>
      </c>
      <c r="E9" s="64">
        <f>G20</f>
        <v>0</v>
      </c>
    </row>
    <row r="10" spans="1:8" ht="15.6" x14ac:dyDescent="0.3">
      <c r="A10">
        <f>A9+1</f>
        <v>2</v>
      </c>
      <c r="B10" s="190" t="s">
        <v>207</v>
      </c>
      <c r="C10" s="60">
        <f>SUMIF($B$20:$B$24,$B10,$E$20:$E$24)</f>
        <v>0</v>
      </c>
      <c r="D10" s="60">
        <f>SUMIF($B$20:$B$24,$B10,$F$20:$F$24)</f>
        <v>0</v>
      </c>
      <c r="E10" s="64">
        <f>G21</f>
        <v>0</v>
      </c>
    </row>
    <row r="11" spans="1:8" ht="15.6" x14ac:dyDescent="0.3">
      <c r="A11">
        <f t="shared" ref="A11:A15" si="0">A10+1</f>
        <v>3</v>
      </c>
      <c r="B11" s="190" t="s">
        <v>208</v>
      </c>
      <c r="C11" s="60">
        <f>'11B'!C15</f>
        <v>120087.95</v>
      </c>
      <c r="D11" s="60">
        <f>'11B'!C13</f>
        <v>120000</v>
      </c>
      <c r="E11" s="64">
        <f>D11-C11</f>
        <v>-87.94999999999709</v>
      </c>
      <c r="H11" s="188" t="s">
        <v>349</v>
      </c>
    </row>
    <row r="12" spans="1:8" ht="15.6" x14ac:dyDescent="0.3">
      <c r="A12">
        <f t="shared" si="0"/>
        <v>4</v>
      </c>
      <c r="B12" s="190" t="s">
        <v>209</v>
      </c>
      <c r="C12" s="60">
        <f>SUMIF($B$20:$B$24,$B12,$E$20:$E$24)</f>
        <v>0</v>
      </c>
      <c r="D12" s="60">
        <f>SUMIF($B$20:$B$24,$B12,$F$20:$F$24)</f>
        <v>0</v>
      </c>
      <c r="E12" s="64">
        <f>G23</f>
        <v>0</v>
      </c>
    </row>
    <row r="13" spans="1:8" ht="15.6" x14ac:dyDescent="0.3">
      <c r="A13">
        <f t="shared" si="0"/>
        <v>5</v>
      </c>
      <c r="B13" s="190" t="s">
        <v>210</v>
      </c>
      <c r="C13" s="60">
        <f>SUMIF($B$20:$B$24,$B13,$E$20:$E$24)</f>
        <v>0</v>
      </c>
      <c r="D13" s="60">
        <f>SUM('11E'!C15:D26)</f>
        <v>107141.37999999999</v>
      </c>
      <c r="E13" s="64">
        <f>D13-C13</f>
        <v>107141.37999999999</v>
      </c>
      <c r="H13" s="188" t="s">
        <v>369</v>
      </c>
    </row>
    <row r="14" spans="1:8" ht="15.6" x14ac:dyDescent="0.3">
      <c r="A14">
        <f t="shared" si="0"/>
        <v>6</v>
      </c>
      <c r="B14" s="191" t="s">
        <v>103</v>
      </c>
      <c r="C14" s="62"/>
      <c r="D14" s="62"/>
      <c r="E14" s="192">
        <f>SUM(E9:E13)</f>
        <v>107053.43</v>
      </c>
    </row>
    <row r="15" spans="1:8" x14ac:dyDescent="0.3">
      <c r="A15">
        <f t="shared" si="0"/>
        <v>7</v>
      </c>
    </row>
    <row r="18" spans="2:8" x14ac:dyDescent="0.3">
      <c r="E18" s="193"/>
      <c r="F18" s="193"/>
      <c r="G18" s="189"/>
      <c r="H18" s="189"/>
    </row>
    <row r="19" spans="2:8" x14ac:dyDescent="0.3">
      <c r="E19" s="194"/>
      <c r="F19" s="194"/>
      <c r="G19" s="189"/>
      <c r="H19" s="189"/>
    </row>
    <row r="20" spans="2:8" x14ac:dyDescent="0.3">
      <c r="D20" s="264"/>
      <c r="E20" s="265"/>
      <c r="F20" s="265"/>
      <c r="G20" s="265"/>
    </row>
    <row r="21" spans="2:8" x14ac:dyDescent="0.3">
      <c r="B21" s="195"/>
      <c r="C21" s="195"/>
      <c r="D21" s="264"/>
      <c r="E21" s="265"/>
      <c r="F21" s="265"/>
      <c r="G21" s="60"/>
      <c r="H21" s="200"/>
    </row>
    <row r="22" spans="2:8" x14ac:dyDescent="0.3">
      <c r="B22" s="195"/>
      <c r="C22" s="195"/>
      <c r="D22" s="196"/>
      <c r="E22" s="265"/>
      <c r="F22" s="265"/>
      <c r="G22" s="60"/>
      <c r="H22" s="188"/>
    </row>
    <row r="23" spans="2:8" x14ac:dyDescent="0.3">
      <c r="B23" s="195"/>
      <c r="C23" s="195"/>
      <c r="D23" s="196"/>
      <c r="E23" s="265"/>
      <c r="F23" s="265"/>
      <c r="G23" s="60"/>
    </row>
    <row r="24" spans="2:8" x14ac:dyDescent="0.3">
      <c r="B24" s="195"/>
      <c r="C24" s="195"/>
      <c r="D24" s="196"/>
      <c r="E24" s="265"/>
      <c r="F24" s="265"/>
      <c r="G24" s="60"/>
    </row>
    <row r="26" spans="2:8" x14ac:dyDescent="0.3">
      <c r="E26" s="64"/>
      <c r="F26" s="64"/>
    </row>
  </sheetData>
  <pageMargins left="0.7" right="0.7" top="0.75" bottom="0.75" header="0.3" footer="0.3"/>
  <pageSetup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FACA9-533B-4ADD-A074-50A296756ED3}">
  <sheetPr>
    <tabColor rgb="FF5EF0CA"/>
  </sheetPr>
  <dimension ref="A1:E26"/>
  <sheetViews>
    <sheetView view="pageBreakPreview" zoomScale="60" zoomScaleNormal="100" workbookViewId="0">
      <selection activeCell="B3" sqref="B3"/>
    </sheetView>
  </sheetViews>
  <sheetFormatPr defaultColWidth="9.109375" defaultRowHeight="14.4" x14ac:dyDescent="0.3"/>
  <cols>
    <col min="1" max="1" width="9.109375" style="196"/>
    <col min="2" max="2" width="62.44140625" style="196" customWidth="1"/>
    <col min="3" max="3" width="18.6640625" style="196" customWidth="1"/>
    <col min="4" max="4" width="36.109375" style="196" customWidth="1"/>
    <col min="5" max="5" width="12.6640625" style="196" customWidth="1"/>
    <col min="6" max="7" width="11.44140625" style="196" customWidth="1"/>
    <col min="8" max="8" width="51.44140625" style="196" customWidth="1"/>
    <col min="9" max="9" width="12.109375" style="196" customWidth="1"/>
    <col min="10" max="16384" width="9.109375" style="196"/>
  </cols>
  <sheetData>
    <row r="1" spans="1:5" ht="15" thickBot="1" x14ac:dyDescent="0.35">
      <c r="B1" s="266" t="str">
        <f>'JEC-Jurczyk-2'!B1</f>
        <v>Jacksonville Village Electric Utility</v>
      </c>
      <c r="C1" s="267"/>
      <c r="D1" s="4" t="s">
        <v>237</v>
      </c>
    </row>
    <row r="2" spans="1:5" x14ac:dyDescent="0.3">
      <c r="B2" s="266" t="str">
        <f>'JEC-Jurczyk-2'!B2</f>
        <v>Rate Case Study</v>
      </c>
      <c r="C2" s="267"/>
    </row>
    <row r="3" spans="1:5" x14ac:dyDescent="0.3">
      <c r="B3" s="268" t="s">
        <v>363</v>
      </c>
      <c r="C3" s="269"/>
    </row>
    <row r="4" spans="1:5" x14ac:dyDescent="0.3">
      <c r="B4" s="270" t="s">
        <v>4</v>
      </c>
      <c r="C4" s="271" t="str">
        <f>'JEC-Jurczyk-2'!C4</f>
        <v>12 months ending December 31, 2025</v>
      </c>
    </row>
    <row r="5" spans="1:5" x14ac:dyDescent="0.3">
      <c r="B5" s="270" t="s">
        <v>6</v>
      </c>
      <c r="C5" s="271" t="str">
        <f>'JEC-Jurczyk-2'!C5</f>
        <v>July 5, 2026 - July 4, 2027</v>
      </c>
    </row>
    <row r="6" spans="1:5" x14ac:dyDescent="0.3">
      <c r="B6" s="270" t="s">
        <v>8</v>
      </c>
      <c r="C6" s="272">
        <f>'JEC-Jurczyk-2'!C6</f>
        <v>46163</v>
      </c>
    </row>
    <row r="7" spans="1:5" x14ac:dyDescent="0.3">
      <c r="C7" s="193"/>
      <c r="D7" s="193"/>
      <c r="E7" s="193"/>
    </row>
    <row r="8" spans="1:5" x14ac:dyDescent="0.3">
      <c r="C8" s="193"/>
      <c r="D8" s="193"/>
      <c r="E8" s="193"/>
    </row>
    <row r="9" spans="1:5" x14ac:dyDescent="0.3">
      <c r="A9" s="196">
        <v>1</v>
      </c>
      <c r="B9" s="273" t="s">
        <v>238</v>
      </c>
      <c r="C9" s="274" t="s">
        <v>239</v>
      </c>
      <c r="D9" s="274" t="s">
        <v>17</v>
      </c>
      <c r="E9" s="275"/>
    </row>
    <row r="10" spans="1:5" x14ac:dyDescent="0.3">
      <c r="A10" s="196">
        <f>A9+1</f>
        <v>2</v>
      </c>
      <c r="B10" s="276" t="s">
        <v>240</v>
      </c>
      <c r="C10" s="277">
        <v>72000</v>
      </c>
      <c r="D10" s="278" t="s">
        <v>241</v>
      </c>
      <c r="E10" s="275"/>
    </row>
    <row r="11" spans="1:5" x14ac:dyDescent="0.3">
      <c r="A11" s="196">
        <f t="shared" ref="A11:A17" si="0">A10+1</f>
        <v>3</v>
      </c>
      <c r="B11" s="276" t="s">
        <v>242</v>
      </c>
      <c r="C11" s="277">
        <f>100000-C10</f>
        <v>28000</v>
      </c>
      <c r="D11" s="278" t="s">
        <v>348</v>
      </c>
      <c r="E11" s="275"/>
    </row>
    <row r="12" spans="1:5" x14ac:dyDescent="0.3">
      <c r="A12" s="196">
        <f t="shared" si="0"/>
        <v>4</v>
      </c>
      <c r="B12" s="276" t="s">
        <v>243</v>
      </c>
      <c r="C12" s="277">
        <v>20000</v>
      </c>
      <c r="D12" s="278" t="s">
        <v>348</v>
      </c>
      <c r="E12" s="275"/>
    </row>
    <row r="13" spans="1:5" x14ac:dyDescent="0.3">
      <c r="A13" s="196">
        <f t="shared" si="0"/>
        <v>5</v>
      </c>
      <c r="B13" s="279" t="s">
        <v>244</v>
      </c>
      <c r="C13" s="280">
        <f>SUM(C10:C12)</f>
        <v>120000</v>
      </c>
      <c r="D13" s="278"/>
      <c r="E13" s="275"/>
    </row>
    <row r="14" spans="1:5" x14ac:dyDescent="0.3">
      <c r="A14" s="196">
        <f t="shared" si="0"/>
        <v>6</v>
      </c>
    </row>
    <row r="15" spans="1:5" x14ac:dyDescent="0.3">
      <c r="A15" s="196">
        <f t="shared" si="0"/>
        <v>7</v>
      </c>
      <c r="B15" s="281" t="s">
        <v>245</v>
      </c>
      <c r="C15" s="277">
        <v>120087.95</v>
      </c>
    </row>
    <row r="16" spans="1:5" x14ac:dyDescent="0.3">
      <c r="A16" s="196">
        <f t="shared" si="0"/>
        <v>8</v>
      </c>
    </row>
    <row r="17" spans="1:5" x14ac:dyDescent="0.3">
      <c r="A17" s="196">
        <f t="shared" si="0"/>
        <v>9</v>
      </c>
      <c r="B17" s="282" t="s">
        <v>246</v>
      </c>
      <c r="C17" s="283">
        <f>C13-C15</f>
        <v>-87.94999999999709</v>
      </c>
    </row>
    <row r="25" spans="1:5" x14ac:dyDescent="0.3">
      <c r="C25" s="193"/>
      <c r="D25" s="193"/>
      <c r="E25" s="193"/>
    </row>
    <row r="26" spans="1:5" x14ac:dyDescent="0.3">
      <c r="C26" s="193"/>
      <c r="D26" s="193"/>
      <c r="E26" s="193"/>
    </row>
  </sheetData>
  <pageMargins left="0.7" right="0.7" top="0.75" bottom="0.75" header="0.3" footer="0.3"/>
  <pageSetup scale="90" orientation="landscape" r:id="rId1"/>
  <headerFooter>
    <oddFooter>&amp;R&amp;P of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0C4CD-E04E-49E8-8D1F-34920CC8DC34}">
  <sheetPr>
    <tabColor rgb="FF5EF0CA"/>
  </sheetPr>
  <dimension ref="B1:E26"/>
  <sheetViews>
    <sheetView view="pageBreakPreview" zoomScale="60" zoomScaleNormal="100" workbookViewId="0">
      <selection activeCell="H33" sqref="H33"/>
    </sheetView>
  </sheetViews>
  <sheetFormatPr defaultColWidth="9.109375" defaultRowHeight="14.4" x14ac:dyDescent="0.3"/>
  <cols>
    <col min="1" max="1" width="3.6640625" style="196" customWidth="1"/>
    <col min="2" max="2" width="36.44140625" style="196" customWidth="1"/>
    <col min="3" max="3" width="18.6640625" style="196" customWidth="1"/>
    <col min="4" max="4" width="36.109375" style="196" customWidth="1"/>
    <col min="5" max="5" width="12.6640625" style="196" customWidth="1"/>
    <col min="6" max="7" width="11.44140625" style="196" customWidth="1"/>
    <col min="8" max="8" width="51.44140625" style="196" customWidth="1"/>
    <col min="9" max="9" width="12.109375" style="196" customWidth="1"/>
    <col min="10" max="16384" width="9.109375" style="196"/>
  </cols>
  <sheetData>
    <row r="1" spans="2:5" ht="15" thickBot="1" x14ac:dyDescent="0.35">
      <c r="B1" s="266" t="str">
        <f>'JEC-Jurczyk-2'!B1</f>
        <v>Jacksonville Village Electric Utility</v>
      </c>
      <c r="C1" s="267"/>
      <c r="D1" s="4" t="s">
        <v>247</v>
      </c>
    </row>
    <row r="2" spans="2:5" x14ac:dyDescent="0.3">
      <c r="B2" s="266" t="str">
        <f>'JEC-Jurczyk-2'!B2</f>
        <v>Rate Case Study</v>
      </c>
      <c r="C2" s="267"/>
    </row>
    <row r="3" spans="2:5" x14ac:dyDescent="0.3">
      <c r="B3" s="268" t="s">
        <v>364</v>
      </c>
      <c r="C3" s="269"/>
    </row>
    <row r="4" spans="2:5" x14ac:dyDescent="0.3">
      <c r="B4" s="270" t="s">
        <v>4</v>
      </c>
      <c r="C4" s="271" t="str">
        <f>'JEC-Jurczyk-2'!C4</f>
        <v>12 months ending December 31, 2025</v>
      </c>
    </row>
    <row r="5" spans="2:5" x14ac:dyDescent="0.3">
      <c r="B5" s="270" t="s">
        <v>6</v>
      </c>
      <c r="C5" s="271" t="str">
        <f>'JEC-Jurczyk-2'!C5</f>
        <v>July 5, 2026 - July 4, 2027</v>
      </c>
    </row>
    <row r="6" spans="2:5" x14ac:dyDescent="0.3">
      <c r="B6" s="270" t="s">
        <v>8</v>
      </c>
      <c r="C6" s="272">
        <f>'JEC-Jurczyk-2'!C6</f>
        <v>46163</v>
      </c>
    </row>
    <row r="7" spans="2:5" x14ac:dyDescent="0.3">
      <c r="B7" s="284" t="s">
        <v>248</v>
      </c>
      <c r="C7" s="193"/>
      <c r="D7" s="193"/>
      <c r="E7" s="193"/>
    </row>
    <row r="8" spans="2:5" x14ac:dyDescent="0.3">
      <c r="C8" s="193"/>
      <c r="D8" s="193"/>
      <c r="E8" s="193"/>
    </row>
    <row r="9" spans="2:5" x14ac:dyDescent="0.3">
      <c r="C9" s="193"/>
      <c r="D9" s="193"/>
      <c r="E9" s="275"/>
    </row>
    <row r="10" spans="2:5" x14ac:dyDescent="0.3">
      <c r="C10" s="193"/>
      <c r="D10" s="193"/>
      <c r="E10" s="275"/>
    </row>
    <row r="11" spans="2:5" x14ac:dyDescent="0.3">
      <c r="C11" s="193"/>
      <c r="D11" s="193"/>
      <c r="E11" s="275"/>
    </row>
    <row r="12" spans="2:5" x14ac:dyDescent="0.3">
      <c r="C12" s="193"/>
      <c r="D12" s="193"/>
      <c r="E12" s="275"/>
    </row>
    <row r="13" spans="2:5" x14ac:dyDescent="0.3">
      <c r="C13" s="193"/>
      <c r="D13" s="193"/>
      <c r="E13" s="275"/>
    </row>
    <row r="14" spans="2:5" x14ac:dyDescent="0.3">
      <c r="C14" s="193"/>
      <c r="D14" s="193"/>
    </row>
    <row r="15" spans="2:5" x14ac:dyDescent="0.3">
      <c r="C15" s="193"/>
      <c r="D15" s="193"/>
    </row>
    <row r="16" spans="2:5" x14ac:dyDescent="0.3">
      <c r="C16" s="193"/>
      <c r="D16" s="193"/>
    </row>
    <row r="17" spans="3:5" x14ac:dyDescent="0.3">
      <c r="C17" s="193"/>
      <c r="D17" s="193"/>
    </row>
    <row r="18" spans="3:5" x14ac:dyDescent="0.3">
      <c r="C18" s="193"/>
      <c r="D18" s="193"/>
    </row>
    <row r="25" spans="3:5" x14ac:dyDescent="0.3">
      <c r="C25" s="193"/>
      <c r="D25" s="193"/>
      <c r="E25" s="193"/>
    </row>
    <row r="26" spans="3:5" x14ac:dyDescent="0.3">
      <c r="C26" s="193"/>
      <c r="D26" s="193"/>
      <c r="E26" s="193"/>
    </row>
  </sheetData>
  <pageMargins left="0.7" right="0.7" top="0.75" bottom="0.75" header="0.3" footer="0.3"/>
  <pageSetup scale="84" orientation="portrait" r:id="rId1"/>
  <headerFooter>
    <oddFooter>&amp;R&amp;P of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49F8-4010-4FED-A647-C953377C8533}">
  <sheetPr>
    <tabColor rgb="FF5EF0CA"/>
  </sheetPr>
  <dimension ref="B1:E26"/>
  <sheetViews>
    <sheetView view="pageBreakPreview" zoomScale="60" zoomScaleNormal="100" workbookViewId="0">
      <selection activeCell="J71" sqref="J71"/>
    </sheetView>
  </sheetViews>
  <sheetFormatPr defaultColWidth="9.109375" defaultRowHeight="14.4" x14ac:dyDescent="0.3"/>
  <cols>
    <col min="1" max="1" width="3.6640625" style="196" customWidth="1"/>
    <col min="2" max="2" width="25.88671875" style="196" customWidth="1"/>
    <col min="3" max="3" width="18.6640625" style="196" customWidth="1"/>
    <col min="4" max="4" width="25.5546875" style="196" customWidth="1"/>
    <col min="5" max="5" width="12.6640625" style="196" customWidth="1"/>
    <col min="6" max="7" width="11.44140625" style="196" customWidth="1"/>
    <col min="8" max="8" width="51.44140625" style="196" customWidth="1"/>
    <col min="9" max="9" width="12.109375" style="196" customWidth="1"/>
    <col min="10" max="16384" width="9.109375" style="196"/>
  </cols>
  <sheetData>
    <row r="1" spans="2:5" ht="15" thickBot="1" x14ac:dyDescent="0.35">
      <c r="B1" s="266" t="str">
        <f>'JEC-Jurczyk-2'!B1</f>
        <v>Jacksonville Village Electric Utility</v>
      </c>
      <c r="C1" s="267"/>
      <c r="D1" s="4" t="s">
        <v>306</v>
      </c>
    </row>
    <row r="2" spans="2:5" x14ac:dyDescent="0.3">
      <c r="B2" s="266" t="str">
        <f>'JEC-Jurczyk-2'!B2</f>
        <v>Rate Case Study</v>
      </c>
      <c r="C2" s="267"/>
    </row>
    <row r="3" spans="2:5" x14ac:dyDescent="0.3">
      <c r="B3" s="268" t="s">
        <v>365</v>
      </c>
      <c r="C3" s="269"/>
    </row>
    <row r="4" spans="2:5" x14ac:dyDescent="0.3">
      <c r="B4" s="270" t="s">
        <v>4</v>
      </c>
      <c r="C4" s="271" t="str">
        <f>'JEC-Jurczyk-2'!C4</f>
        <v>12 months ending December 31, 2025</v>
      </c>
    </row>
    <row r="5" spans="2:5" x14ac:dyDescent="0.3">
      <c r="B5" s="270" t="s">
        <v>6</v>
      </c>
      <c r="C5" s="271" t="str">
        <f>'JEC-Jurczyk-2'!C5</f>
        <v>July 5, 2026 - July 4, 2027</v>
      </c>
    </row>
    <row r="6" spans="2:5" x14ac:dyDescent="0.3">
      <c r="B6" s="270" t="s">
        <v>8</v>
      </c>
      <c r="C6" s="272">
        <f>'JEC-Jurczyk-2'!C6</f>
        <v>46163</v>
      </c>
    </row>
    <row r="7" spans="2:5" x14ac:dyDescent="0.3">
      <c r="C7" s="193"/>
      <c r="D7" s="193"/>
      <c r="E7" s="193"/>
    </row>
    <row r="8" spans="2:5" x14ac:dyDescent="0.3">
      <c r="C8" s="193"/>
      <c r="D8" s="193"/>
      <c r="E8" s="193"/>
    </row>
    <row r="9" spans="2:5" x14ac:dyDescent="0.3">
      <c r="C9" s="193"/>
      <c r="D9" s="193"/>
      <c r="E9" s="275"/>
    </row>
    <row r="10" spans="2:5" x14ac:dyDescent="0.3">
      <c r="C10" s="193"/>
      <c r="D10" s="193"/>
      <c r="E10" s="275"/>
    </row>
    <row r="11" spans="2:5" x14ac:dyDescent="0.3">
      <c r="C11" s="193"/>
      <c r="D11" s="193"/>
      <c r="E11" s="275"/>
    </row>
    <row r="12" spans="2:5" x14ac:dyDescent="0.3">
      <c r="C12" s="193"/>
      <c r="D12" s="193"/>
      <c r="E12" s="275"/>
    </row>
    <row r="13" spans="2:5" x14ac:dyDescent="0.3">
      <c r="C13" s="193"/>
      <c r="D13" s="193"/>
      <c r="E13" s="275"/>
    </row>
    <row r="14" spans="2:5" x14ac:dyDescent="0.3">
      <c r="C14" s="193"/>
      <c r="D14" s="193"/>
    </row>
    <row r="15" spans="2:5" x14ac:dyDescent="0.3">
      <c r="C15" s="193"/>
      <c r="D15" s="193"/>
    </row>
    <row r="16" spans="2:5" x14ac:dyDescent="0.3">
      <c r="C16" s="193"/>
      <c r="D16" s="193"/>
    </row>
    <row r="17" spans="3:5" x14ac:dyDescent="0.3">
      <c r="C17" s="193"/>
      <c r="D17" s="193"/>
    </row>
    <row r="18" spans="3:5" x14ac:dyDescent="0.3">
      <c r="C18" s="193"/>
      <c r="D18" s="193"/>
    </row>
    <row r="25" spans="3:5" x14ac:dyDescent="0.3">
      <c r="C25" s="193"/>
      <c r="D25" s="193"/>
      <c r="E25" s="193"/>
    </row>
    <row r="26" spans="3:5" x14ac:dyDescent="0.3">
      <c r="C26" s="193"/>
      <c r="D26" s="193"/>
      <c r="E26" s="193"/>
    </row>
  </sheetData>
  <pageMargins left="0.7" right="0.7" top="0.75" bottom="0.75" header="0.3" footer="0.3"/>
  <pageSetup scale="120" orientation="portrait" r:id="rId1"/>
  <headerFooter>
    <oddFooter>&amp;R&amp;P of &amp;N</oddFooter>
  </headerFooter>
  <rowBreaks count="2" manualBreakCount="2">
    <brk id="36" max="3" man="1"/>
    <brk id="66" max="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656CE-7E2D-441E-9DE4-0EF411298081}">
  <sheetPr>
    <tabColor rgb="FF5EF0CA"/>
  </sheetPr>
  <dimension ref="A1:E26"/>
  <sheetViews>
    <sheetView view="pageBreakPreview" zoomScale="60" zoomScaleNormal="100" workbookViewId="0">
      <selection activeCell="E2" sqref="E2"/>
    </sheetView>
  </sheetViews>
  <sheetFormatPr defaultColWidth="9.109375" defaultRowHeight="14.4" x14ac:dyDescent="0.3"/>
  <cols>
    <col min="1" max="1" width="6.109375" style="196" customWidth="1"/>
    <col min="2" max="2" width="16.5546875" style="196" customWidth="1"/>
    <col min="3" max="5" width="18.77734375" style="196" customWidth="1"/>
    <col min="6" max="7" width="11.44140625" style="196" customWidth="1"/>
    <col min="8" max="8" width="51.44140625" style="196" customWidth="1"/>
    <col min="9" max="9" width="12.109375" style="196" customWidth="1"/>
    <col min="10" max="16384" width="9.109375" style="196"/>
  </cols>
  <sheetData>
    <row r="1" spans="1:5" ht="15" thickBot="1" x14ac:dyDescent="0.35">
      <c r="B1" s="266" t="str">
        <f>'JEC-Jurczyk-2'!B1</f>
        <v>Jacksonville Village Electric Utility</v>
      </c>
      <c r="C1" s="267"/>
      <c r="E1" s="4" t="s">
        <v>372</v>
      </c>
    </row>
    <row r="2" spans="1:5" x14ac:dyDescent="0.3">
      <c r="B2" s="266" t="str">
        <f>'JEC-Jurczyk-2'!B2</f>
        <v>Rate Case Study</v>
      </c>
      <c r="C2" s="267"/>
    </row>
    <row r="3" spans="1:5" x14ac:dyDescent="0.3">
      <c r="B3" s="268" t="s">
        <v>366</v>
      </c>
      <c r="C3" s="269"/>
    </row>
    <row r="4" spans="1:5" x14ac:dyDescent="0.3">
      <c r="B4" s="270" t="s">
        <v>4</v>
      </c>
      <c r="C4" s="271" t="str">
        <f>'JEC-Jurczyk-2'!C4</f>
        <v>12 months ending December 31, 2025</v>
      </c>
    </row>
    <row r="5" spans="1:5" x14ac:dyDescent="0.3">
      <c r="B5" s="270" t="s">
        <v>6</v>
      </c>
      <c r="C5" s="271" t="str">
        <f>'JEC-Jurczyk-2'!C5</f>
        <v>July 5, 2026 - July 4, 2027</v>
      </c>
    </row>
    <row r="6" spans="1:5" x14ac:dyDescent="0.3">
      <c r="B6" s="270" t="s">
        <v>8</v>
      </c>
      <c r="C6" s="272">
        <f>'JEC-Jurczyk-2'!C6</f>
        <v>46163</v>
      </c>
    </row>
    <row r="7" spans="1:5" x14ac:dyDescent="0.3">
      <c r="C7" s="193"/>
      <c r="D7" s="193"/>
      <c r="E7" s="193"/>
    </row>
    <row r="8" spans="1:5" x14ac:dyDescent="0.3">
      <c r="C8" s="193" t="str">
        <f>C13</f>
        <v>Principal</v>
      </c>
      <c r="D8" s="193" t="str">
        <f>D13</f>
        <v xml:space="preserve">Interest </v>
      </c>
      <c r="E8" s="394" t="s">
        <v>362</v>
      </c>
    </row>
    <row r="9" spans="1:5" x14ac:dyDescent="0.3">
      <c r="B9" s="396" t="s">
        <v>246</v>
      </c>
      <c r="C9" s="395">
        <f>SUM(C15:C26)</f>
        <v>75886.02</v>
      </c>
      <c r="D9" s="395">
        <f>SUM(D15:D26)</f>
        <v>31255.359999999997</v>
      </c>
      <c r="E9" s="395">
        <f>SUM(C9:D9)</f>
        <v>107141.38</v>
      </c>
    </row>
    <row r="10" spans="1:5" x14ac:dyDescent="0.3">
      <c r="C10" s="193"/>
      <c r="D10" s="193"/>
      <c r="E10" s="193"/>
    </row>
    <row r="11" spans="1:5" x14ac:dyDescent="0.3">
      <c r="A11" s="196">
        <v>1</v>
      </c>
      <c r="B11" s="73"/>
      <c r="C11" s="425" t="s">
        <v>361</v>
      </c>
      <c r="D11" s="423"/>
      <c r="E11" s="424"/>
    </row>
    <row r="12" spans="1:5" x14ac:dyDescent="0.3">
      <c r="A12" s="196">
        <f>A11+1</f>
        <v>2</v>
      </c>
      <c r="B12" s="74"/>
      <c r="C12" s="75"/>
      <c r="D12" s="76">
        <v>5.5E-2</v>
      </c>
      <c r="E12" s="77"/>
    </row>
    <row r="13" spans="1:5" x14ac:dyDescent="0.3">
      <c r="A13" s="196">
        <f t="shared" ref="A13:A26" si="0">A12+1</f>
        <v>3</v>
      </c>
      <c r="B13" s="82"/>
      <c r="C13" s="83" t="s">
        <v>101</v>
      </c>
      <c r="D13" s="84" t="s">
        <v>102</v>
      </c>
      <c r="E13" s="85" t="s">
        <v>103</v>
      </c>
    </row>
    <row r="14" spans="1:5" x14ac:dyDescent="0.3">
      <c r="A14" s="196">
        <f t="shared" si="0"/>
        <v>4</v>
      </c>
      <c r="B14" s="89"/>
      <c r="C14" s="93"/>
      <c r="D14" s="94"/>
      <c r="E14" s="95"/>
    </row>
    <row r="15" spans="1:5" x14ac:dyDescent="0.3">
      <c r="A15" s="196">
        <f>A14+1</f>
        <v>5</v>
      </c>
      <c r="B15" s="101">
        <v>46204</v>
      </c>
      <c r="C15" s="102"/>
      <c r="D15" s="105">
        <v>2875.24</v>
      </c>
      <c r="E15" s="103">
        <f>SUM(C15:D15)</f>
        <v>2875.24</v>
      </c>
    </row>
    <row r="16" spans="1:5" x14ac:dyDescent="0.3">
      <c r="A16" s="196">
        <f t="shared" si="0"/>
        <v>6</v>
      </c>
      <c r="B16" s="101">
        <v>46235</v>
      </c>
      <c r="C16" s="102"/>
      <c r="D16" s="105">
        <v>2560.92</v>
      </c>
      <c r="E16" s="103">
        <f t="shared" ref="E16:E26" si="1">SUM(C16:D16)</f>
        <v>2560.92</v>
      </c>
    </row>
    <row r="17" spans="1:5" x14ac:dyDescent="0.3">
      <c r="A17" s="196">
        <f t="shared" si="0"/>
        <v>7</v>
      </c>
      <c r="B17" s="101">
        <v>46266</v>
      </c>
      <c r="C17" s="102"/>
      <c r="D17" s="105">
        <v>2795.37</v>
      </c>
      <c r="E17" s="103">
        <f t="shared" si="1"/>
        <v>2795.37</v>
      </c>
    </row>
    <row r="18" spans="1:5" x14ac:dyDescent="0.3">
      <c r="A18" s="196">
        <f t="shared" si="0"/>
        <v>8</v>
      </c>
      <c r="B18" s="101">
        <v>46296</v>
      </c>
      <c r="C18" s="102">
        <v>8431.7800000000007</v>
      </c>
      <c r="D18" s="105">
        <v>2666.55</v>
      </c>
      <c r="E18" s="103">
        <f t="shared" si="1"/>
        <v>11098.330000000002</v>
      </c>
    </row>
    <row r="19" spans="1:5" x14ac:dyDescent="0.3">
      <c r="A19" s="196">
        <f t="shared" si="0"/>
        <v>9</v>
      </c>
      <c r="B19" s="101">
        <v>46327</v>
      </c>
      <c r="C19" s="102">
        <v>8431.7800000000007</v>
      </c>
      <c r="D19" s="105">
        <v>2715.51</v>
      </c>
      <c r="E19" s="103">
        <f t="shared" si="1"/>
        <v>11147.29</v>
      </c>
    </row>
    <row r="20" spans="1:5" x14ac:dyDescent="0.3">
      <c r="A20" s="196">
        <f t="shared" si="0"/>
        <v>10</v>
      </c>
      <c r="B20" s="101">
        <v>46357</v>
      </c>
      <c r="C20" s="102">
        <v>8431.7800000000007</v>
      </c>
      <c r="D20" s="105">
        <v>2589.2600000000002</v>
      </c>
      <c r="E20" s="103">
        <f t="shared" si="1"/>
        <v>11021.04</v>
      </c>
    </row>
    <row r="21" spans="1:5" x14ac:dyDescent="0.3">
      <c r="A21" s="196">
        <f t="shared" si="0"/>
        <v>11</v>
      </c>
      <c r="B21" s="101">
        <v>46388</v>
      </c>
      <c r="C21" s="102">
        <v>8431.7800000000007</v>
      </c>
      <c r="D21" s="105">
        <v>2635.64</v>
      </c>
      <c r="E21" s="103">
        <f t="shared" si="1"/>
        <v>11067.42</v>
      </c>
    </row>
    <row r="22" spans="1:5" x14ac:dyDescent="0.3">
      <c r="A22" s="196">
        <f t="shared" si="0"/>
        <v>12</v>
      </c>
      <c r="B22" s="101">
        <v>46419</v>
      </c>
      <c r="C22" s="102">
        <v>8431.7800000000007</v>
      </c>
      <c r="D22" s="105">
        <v>2595.6999999999998</v>
      </c>
      <c r="E22" s="103">
        <f t="shared" si="1"/>
        <v>11027.48</v>
      </c>
    </row>
    <row r="23" spans="1:5" x14ac:dyDescent="0.3">
      <c r="A23" s="196">
        <f t="shared" si="0"/>
        <v>13</v>
      </c>
      <c r="B23" s="101">
        <v>46447</v>
      </c>
      <c r="C23" s="102">
        <v>8431.7800000000007</v>
      </c>
      <c r="D23" s="105">
        <v>2473.33</v>
      </c>
      <c r="E23" s="103">
        <f t="shared" si="1"/>
        <v>10905.11</v>
      </c>
    </row>
    <row r="24" spans="1:5" x14ac:dyDescent="0.3">
      <c r="A24" s="196">
        <f t="shared" si="0"/>
        <v>14</v>
      </c>
      <c r="B24" s="101">
        <v>46478</v>
      </c>
      <c r="C24" s="102">
        <v>8431.7800000000007</v>
      </c>
      <c r="D24" s="105">
        <v>2515.84</v>
      </c>
      <c r="E24" s="103">
        <f t="shared" si="1"/>
        <v>10947.62</v>
      </c>
    </row>
    <row r="25" spans="1:5" x14ac:dyDescent="0.3">
      <c r="A25" s="196">
        <f t="shared" si="0"/>
        <v>15</v>
      </c>
      <c r="B25" s="101">
        <v>46508</v>
      </c>
      <c r="C25" s="102">
        <v>8431.7800000000007</v>
      </c>
      <c r="D25" s="105">
        <v>2396.0300000000002</v>
      </c>
      <c r="E25" s="103">
        <f t="shared" si="1"/>
        <v>10827.810000000001</v>
      </c>
    </row>
    <row r="26" spans="1:5" x14ac:dyDescent="0.3">
      <c r="A26" s="196">
        <f t="shared" si="0"/>
        <v>16</v>
      </c>
      <c r="B26" s="101">
        <v>46539</v>
      </c>
      <c r="C26" s="102">
        <v>8431.7800000000007</v>
      </c>
      <c r="D26" s="105">
        <v>2435.9699999999998</v>
      </c>
      <c r="E26" s="103">
        <f t="shared" si="1"/>
        <v>10867.75</v>
      </c>
    </row>
  </sheetData>
  <mergeCells count="1">
    <mergeCell ref="C11:E11"/>
  </mergeCells>
  <pageMargins left="0.7" right="0.7" top="0.75" bottom="0.75" header="0.3" footer="0.3"/>
  <pageSetup scale="104" orientation="portrait" r:id="rId1"/>
  <headerFooter>
    <oddFooter>&amp;R&amp;P of &amp;N</oddFooter>
  </headerFooter>
  <rowBreaks count="1" manualBreakCount="1">
    <brk id="44" max="3" man="1"/>
  </rowBreaks>
  <ignoredErrors>
    <ignoredError sqref="E15:E26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27A3A-ABFA-4C5E-9461-748BBF0231C2}">
  <sheetPr>
    <tabColor rgb="FF5EF0CA"/>
  </sheetPr>
  <dimension ref="B1:E26"/>
  <sheetViews>
    <sheetView view="pageBreakPreview" zoomScale="60" zoomScaleNormal="100" workbookViewId="0">
      <selection activeCell="H17" sqref="H17"/>
    </sheetView>
  </sheetViews>
  <sheetFormatPr defaultColWidth="9.109375" defaultRowHeight="14.4" x14ac:dyDescent="0.3"/>
  <cols>
    <col min="1" max="1" width="6.109375" style="196" customWidth="1"/>
    <col min="2" max="2" width="16.5546875" style="196" customWidth="1"/>
    <col min="3" max="5" width="18.77734375" style="196" customWidth="1"/>
    <col min="6" max="7" width="11.44140625" style="196" customWidth="1"/>
    <col min="8" max="8" width="51.44140625" style="196" customWidth="1"/>
    <col min="9" max="9" width="12.109375" style="196" customWidth="1"/>
    <col min="10" max="16384" width="9.109375" style="196"/>
  </cols>
  <sheetData>
    <row r="1" spans="2:5" ht="15" thickBot="1" x14ac:dyDescent="0.35">
      <c r="B1" s="266" t="str">
        <f>'JEC-Jurczyk-2'!B1</f>
        <v>Jacksonville Village Electric Utility</v>
      </c>
      <c r="C1" s="267"/>
      <c r="E1" s="4" t="s">
        <v>373</v>
      </c>
    </row>
    <row r="2" spans="2:5" x14ac:dyDescent="0.3">
      <c r="B2" s="266" t="str">
        <f>'JEC-Jurczyk-2'!B2</f>
        <v>Rate Case Study</v>
      </c>
      <c r="C2" s="267"/>
    </row>
    <row r="3" spans="2:5" x14ac:dyDescent="0.3">
      <c r="B3" s="268" t="s">
        <v>371</v>
      </c>
      <c r="C3" s="269"/>
    </row>
    <row r="4" spans="2:5" x14ac:dyDescent="0.3">
      <c r="B4" s="270" t="s">
        <v>4</v>
      </c>
      <c r="C4" s="271" t="str">
        <f>'JEC-Jurczyk-2'!C4</f>
        <v>12 months ending December 31, 2025</v>
      </c>
    </row>
    <row r="5" spans="2:5" x14ac:dyDescent="0.3">
      <c r="B5" s="270" t="s">
        <v>6</v>
      </c>
      <c r="C5" s="271" t="str">
        <f>'JEC-Jurczyk-2'!C5</f>
        <v>July 5, 2026 - July 4, 2027</v>
      </c>
    </row>
    <row r="6" spans="2:5" x14ac:dyDescent="0.3">
      <c r="B6" s="270" t="s">
        <v>8</v>
      </c>
      <c r="C6" s="272">
        <f>'JEC-Jurczyk-2'!C6</f>
        <v>46163</v>
      </c>
    </row>
    <row r="7" spans="2:5" x14ac:dyDescent="0.3">
      <c r="C7" s="193"/>
      <c r="D7" s="193"/>
      <c r="E7" s="193"/>
    </row>
    <row r="8" spans="2:5" x14ac:dyDescent="0.3">
      <c r="C8" s="193"/>
      <c r="D8" s="193"/>
      <c r="E8" s="394"/>
    </row>
    <row r="9" spans="2:5" x14ac:dyDescent="0.3">
      <c r="B9" s="396"/>
      <c r="C9" s="395"/>
      <c r="D9" s="395"/>
      <c r="E9" s="395"/>
    </row>
    <row r="10" spans="2:5" x14ac:dyDescent="0.3">
      <c r="C10" s="193"/>
      <c r="D10" s="193"/>
      <c r="E10" s="193"/>
    </row>
    <row r="11" spans="2:5" ht="14.25" customHeight="1" x14ac:dyDescent="0.3">
      <c r="B11" s="65"/>
      <c r="C11" s="402"/>
      <c r="D11" s="403"/>
      <c r="E11" s="403"/>
    </row>
    <row r="12" spans="2:5" x14ac:dyDescent="0.3">
      <c r="B12" s="65"/>
      <c r="C12" s="404"/>
      <c r="D12" s="405"/>
      <c r="E12" s="404"/>
    </row>
    <row r="13" spans="2:5" x14ac:dyDescent="0.3">
      <c r="B13" s="65"/>
      <c r="C13" s="406"/>
      <c r="D13" s="406"/>
      <c r="E13" s="406"/>
    </row>
    <row r="14" spans="2:5" x14ac:dyDescent="0.3">
      <c r="B14" s="406"/>
      <c r="C14" s="113"/>
      <c r="D14" s="65"/>
      <c r="E14" s="113"/>
    </row>
    <row r="15" spans="2:5" x14ac:dyDescent="0.3">
      <c r="B15" s="407"/>
      <c r="C15" s="113"/>
      <c r="D15" s="113"/>
      <c r="E15" s="113"/>
    </row>
    <row r="16" spans="2:5" x14ac:dyDescent="0.3">
      <c r="B16" s="407"/>
      <c r="C16" s="113"/>
      <c r="D16" s="113"/>
      <c r="E16" s="113"/>
    </row>
    <row r="17" spans="2:5" x14ac:dyDescent="0.3">
      <c r="B17" s="407"/>
      <c r="C17" s="113"/>
      <c r="D17" s="113"/>
      <c r="E17" s="113"/>
    </row>
    <row r="18" spans="2:5" x14ac:dyDescent="0.3">
      <c r="B18" s="407"/>
      <c r="C18" s="113"/>
      <c r="D18" s="113"/>
      <c r="E18" s="113"/>
    </row>
    <row r="19" spans="2:5" x14ac:dyDescent="0.3">
      <c r="B19" s="407"/>
      <c r="C19" s="113"/>
      <c r="D19" s="113"/>
      <c r="E19" s="113"/>
    </row>
    <row r="20" spans="2:5" x14ac:dyDescent="0.3">
      <c r="B20" s="407"/>
      <c r="C20" s="113"/>
      <c r="D20" s="113"/>
      <c r="E20" s="113"/>
    </row>
    <row r="21" spans="2:5" x14ac:dyDescent="0.3">
      <c r="B21" s="407"/>
      <c r="C21" s="113"/>
      <c r="D21" s="113"/>
      <c r="E21" s="113"/>
    </row>
    <row r="22" spans="2:5" x14ac:dyDescent="0.3">
      <c r="B22" s="407"/>
      <c r="C22" s="113"/>
      <c r="D22" s="113"/>
      <c r="E22" s="113"/>
    </row>
    <row r="23" spans="2:5" x14ac:dyDescent="0.3">
      <c r="B23" s="407"/>
      <c r="C23" s="113"/>
      <c r="D23" s="113"/>
      <c r="E23" s="113"/>
    </row>
    <row r="24" spans="2:5" x14ac:dyDescent="0.3">
      <c r="B24" s="407"/>
      <c r="C24" s="113"/>
      <c r="D24" s="113"/>
      <c r="E24" s="113"/>
    </row>
    <row r="25" spans="2:5" x14ac:dyDescent="0.3">
      <c r="B25" s="407"/>
      <c r="C25" s="113"/>
      <c r="D25" s="113"/>
      <c r="E25" s="113"/>
    </row>
    <row r="26" spans="2:5" x14ac:dyDescent="0.3">
      <c r="B26" s="407"/>
      <c r="C26" s="113"/>
      <c r="D26" s="113"/>
      <c r="E26" s="113"/>
    </row>
  </sheetData>
  <pageMargins left="0.7" right="0.7" top="0.75" bottom="0.75" header="0.3" footer="0.3"/>
  <pageSetup scale="104" orientation="portrait" r:id="rId1"/>
  <headerFooter>
    <oddFooter>&amp;R&amp;P of &amp;N</oddFooter>
  </headerFooter>
  <rowBreaks count="1" manualBreakCount="1">
    <brk id="44" max="4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0614-7380-4340-AF30-9AF144F54D59}">
  <sheetPr>
    <tabColor theme="8" tint="-0.249977111117893"/>
  </sheetPr>
  <dimension ref="A1:F21"/>
  <sheetViews>
    <sheetView view="pageBreakPreview" zoomScale="60" zoomScaleNormal="100" workbookViewId="0">
      <selection activeCell="O27" sqref="O27"/>
    </sheetView>
  </sheetViews>
  <sheetFormatPr defaultRowHeight="14.4" x14ac:dyDescent="0.3"/>
  <cols>
    <col min="2" max="2" width="26.6640625" customWidth="1"/>
    <col min="3" max="3" width="28.109375" customWidth="1"/>
    <col min="4" max="4" width="12.33203125" customWidth="1"/>
    <col min="5" max="5" width="13.33203125" customWidth="1"/>
    <col min="6" max="6" width="30.6640625" customWidth="1"/>
    <col min="7" max="7" width="12.109375" customWidth="1"/>
  </cols>
  <sheetData>
    <row r="1" spans="1:6" ht="18.600000000000001" thickBot="1" x14ac:dyDescent="0.4">
      <c r="B1" s="2" t="str">
        <f>'JEC-Jurczyk-2'!B1</f>
        <v>Jacksonville Village Electric Utility</v>
      </c>
      <c r="C1" s="115"/>
      <c r="F1" s="4" t="s">
        <v>249</v>
      </c>
    </row>
    <row r="2" spans="1:6" ht="18" x14ac:dyDescent="0.35">
      <c r="B2" s="2" t="str">
        <f>'JEC-Jurczyk-2'!B2</f>
        <v>Rate Case Study</v>
      </c>
      <c r="C2" s="118"/>
    </row>
    <row r="3" spans="1:6" ht="15.6" x14ac:dyDescent="0.3">
      <c r="B3" s="6" t="s">
        <v>250</v>
      </c>
      <c r="C3" s="120"/>
    </row>
    <row r="4" spans="1:6" ht="15.6" x14ac:dyDescent="0.3">
      <c r="B4" s="7" t="s">
        <v>4</v>
      </c>
      <c r="C4" s="8" t="str">
        <f>'JEC-Jurczyk-2'!C4</f>
        <v>12 months ending December 31, 2025</v>
      </c>
    </row>
    <row r="5" spans="1:6" ht="15.6" x14ac:dyDescent="0.3">
      <c r="B5" s="7" t="s">
        <v>6</v>
      </c>
      <c r="C5" s="8" t="str">
        <f>'JEC-Jurczyk-2'!C5</f>
        <v>July 5, 2026 - July 4, 2027</v>
      </c>
    </row>
    <row r="6" spans="1:6" ht="15.6" x14ac:dyDescent="0.3">
      <c r="B6" s="7" t="s">
        <v>8</v>
      </c>
      <c r="C6" s="9">
        <f>'JEC-Jurczyk-2'!C6</f>
        <v>46163</v>
      </c>
    </row>
    <row r="8" spans="1:6" ht="28.8" x14ac:dyDescent="0.3">
      <c r="C8" s="189" t="s">
        <v>201</v>
      </c>
      <c r="D8" s="189" t="s">
        <v>202</v>
      </c>
      <c r="E8" s="59" t="s">
        <v>251</v>
      </c>
      <c r="F8" s="189" t="s">
        <v>17</v>
      </c>
    </row>
    <row r="9" spans="1:6" x14ac:dyDescent="0.3">
      <c r="C9" s="189" t="s">
        <v>204</v>
      </c>
      <c r="D9" s="189" t="s">
        <v>204</v>
      </c>
      <c r="E9" s="189" t="s">
        <v>205</v>
      </c>
    </row>
    <row r="10" spans="1:6" ht="15.6" x14ac:dyDescent="0.3">
      <c r="A10">
        <v>1</v>
      </c>
      <c r="B10" s="190" t="s">
        <v>206</v>
      </c>
      <c r="C10" s="60">
        <f>SUMIF($B$21:$B$21,$B10,E$21:E$21)</f>
        <v>0</v>
      </c>
      <c r="D10" s="60">
        <v>0</v>
      </c>
      <c r="E10" s="60">
        <f t="shared" ref="E10:E13" si="0">D10-C10</f>
        <v>0</v>
      </c>
    </row>
    <row r="11" spans="1:6" ht="15.6" x14ac:dyDescent="0.3">
      <c r="A11">
        <f>A10+1</f>
        <v>2</v>
      </c>
      <c r="B11" s="190" t="s">
        <v>207</v>
      </c>
      <c r="C11" s="60">
        <f>SUMIF($B$21:$B$21,$B11,E$21:E$21)</f>
        <v>0</v>
      </c>
      <c r="D11" s="60">
        <v>0</v>
      </c>
      <c r="E11" s="60">
        <f t="shared" si="0"/>
        <v>0</v>
      </c>
    </row>
    <row r="12" spans="1:6" ht="15.6" x14ac:dyDescent="0.3">
      <c r="A12">
        <f t="shared" ref="A12:A16" si="1">A11+1</f>
        <v>3</v>
      </c>
      <c r="B12" s="190" t="s">
        <v>208</v>
      </c>
      <c r="C12" s="60">
        <f>SUMIF($B$21:$B$21,$B12,E$21:E$21)</f>
        <v>0</v>
      </c>
      <c r="D12" s="60">
        <v>0</v>
      </c>
      <c r="E12" s="60">
        <f t="shared" si="0"/>
        <v>0</v>
      </c>
    </row>
    <row r="13" spans="1:6" ht="15.6" x14ac:dyDescent="0.3">
      <c r="A13">
        <f t="shared" si="1"/>
        <v>4</v>
      </c>
      <c r="B13" s="190" t="s">
        <v>209</v>
      </c>
      <c r="C13" s="60">
        <f>SUMIF($B$21:$B$21,$B13,E$21:E$21)</f>
        <v>0</v>
      </c>
      <c r="D13" s="60">
        <v>0</v>
      </c>
      <c r="E13" s="60">
        <f t="shared" si="0"/>
        <v>0</v>
      </c>
    </row>
    <row r="14" spans="1:6" ht="15.6" x14ac:dyDescent="0.3">
      <c r="A14">
        <f t="shared" si="1"/>
        <v>5</v>
      </c>
      <c r="B14" s="190" t="s">
        <v>210</v>
      </c>
      <c r="C14" s="198">
        <v>41033.06</v>
      </c>
      <c r="D14" s="60">
        <f>SUM('12B'!D10:D12)</f>
        <v>39099.72</v>
      </c>
      <c r="E14" s="60">
        <f>D14-C14</f>
        <v>-1933.3399999999965</v>
      </c>
      <c r="F14" s="188" t="s">
        <v>252</v>
      </c>
    </row>
    <row r="15" spans="1:6" ht="15.6" x14ac:dyDescent="0.3">
      <c r="A15">
        <f t="shared" si="1"/>
        <v>6</v>
      </c>
      <c r="B15" s="191" t="s">
        <v>103</v>
      </c>
      <c r="C15" s="62"/>
      <c r="D15" s="62"/>
      <c r="E15" s="192">
        <f>SUM(E10:E14)</f>
        <v>-1933.3399999999965</v>
      </c>
    </row>
    <row r="16" spans="1:6" ht="15.6" x14ac:dyDescent="0.3">
      <c r="A16">
        <f t="shared" si="1"/>
        <v>7</v>
      </c>
      <c r="B16" s="190"/>
      <c r="C16" s="60"/>
      <c r="D16" s="60"/>
      <c r="E16" s="64"/>
    </row>
    <row r="17" spans="2:6" ht="15.6" x14ac:dyDescent="0.3">
      <c r="B17" s="190"/>
      <c r="C17" s="60"/>
      <c r="D17" s="60"/>
      <c r="E17" s="64"/>
    </row>
    <row r="18" spans="2:6" ht="15.6" x14ac:dyDescent="0.3">
      <c r="B18" s="190"/>
      <c r="C18" s="60"/>
      <c r="D18" s="60"/>
      <c r="E18" s="64"/>
    </row>
    <row r="19" spans="2:6" x14ac:dyDescent="0.3">
      <c r="E19" s="189"/>
      <c r="F19" s="189"/>
    </row>
    <row r="20" spans="2:6" x14ac:dyDescent="0.3">
      <c r="E20" s="189"/>
      <c r="F20" s="189"/>
    </row>
    <row r="21" spans="2:6" x14ac:dyDescent="0.3">
      <c r="D21" s="285"/>
      <c r="E21" s="265"/>
      <c r="F21" s="188"/>
    </row>
  </sheetData>
  <pageMargins left="0.7" right="0.7" top="0.75" bottom="0.75" header="0.3" footer="0.3"/>
  <pageSetup scale="9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66F67-668C-4959-953E-6446713F8F27}">
  <sheetPr>
    <tabColor rgb="FF5EF0CA"/>
  </sheetPr>
  <dimension ref="A1:F20"/>
  <sheetViews>
    <sheetView view="pageBreakPreview" zoomScale="60" zoomScaleNormal="100" workbookViewId="0">
      <selection activeCell="A15" sqref="A15"/>
    </sheetView>
  </sheetViews>
  <sheetFormatPr defaultRowHeight="14.4" x14ac:dyDescent="0.3"/>
  <cols>
    <col min="2" max="2" width="37.33203125" customWidth="1"/>
    <col min="3" max="3" width="13.6640625" customWidth="1"/>
    <col min="4" max="4" width="13.109375" customWidth="1"/>
    <col min="5" max="5" width="17" customWidth="1"/>
    <col min="6" max="6" width="31.88671875" customWidth="1"/>
    <col min="13" max="13" width="19.33203125" customWidth="1"/>
    <col min="15" max="15" width="13.6640625" customWidth="1"/>
    <col min="16" max="16" width="14.109375" customWidth="1"/>
  </cols>
  <sheetData>
    <row r="1" spans="1:6" ht="18.600000000000001" thickBot="1" x14ac:dyDescent="0.4">
      <c r="B1" s="2" t="str">
        <f>'JEC-Jurczyk-2'!B1</f>
        <v>Jacksonville Village Electric Utility</v>
      </c>
      <c r="C1" s="115"/>
      <c r="F1" s="4" t="s">
        <v>253</v>
      </c>
    </row>
    <row r="2" spans="1:6" ht="18" x14ac:dyDescent="0.35">
      <c r="B2" s="2" t="str">
        <f>'JEC-Jurczyk-2'!B2</f>
        <v>Rate Case Study</v>
      </c>
      <c r="C2" s="118"/>
    </row>
    <row r="3" spans="1:6" ht="15.6" x14ac:dyDescent="0.3">
      <c r="B3" s="6" t="s">
        <v>254</v>
      </c>
      <c r="C3" s="120"/>
    </row>
    <row r="4" spans="1:6" ht="15.6" x14ac:dyDescent="0.3">
      <c r="B4" s="7" t="s">
        <v>4</v>
      </c>
      <c r="C4" s="8" t="str">
        <f>'JEC-Jurczyk-2'!C4</f>
        <v>12 months ending December 31, 2025</v>
      </c>
    </row>
    <row r="5" spans="1:6" ht="15.6" x14ac:dyDescent="0.3">
      <c r="B5" s="7" t="s">
        <v>6</v>
      </c>
      <c r="C5" s="8" t="str">
        <f>'JEC-Jurczyk-2'!C5</f>
        <v>July 5, 2026 - July 4, 2027</v>
      </c>
    </row>
    <row r="6" spans="1:6" ht="15.6" x14ac:dyDescent="0.3">
      <c r="B6" s="7" t="s">
        <v>8</v>
      </c>
      <c r="C6" s="9">
        <f>'JEC-Jurczyk-2'!C6</f>
        <v>46163</v>
      </c>
    </row>
    <row r="8" spans="1:6" x14ac:dyDescent="0.3">
      <c r="C8" s="286"/>
      <c r="D8" s="286"/>
      <c r="E8" s="286"/>
    </row>
    <row r="9" spans="1:6" ht="28.95" customHeight="1" x14ac:dyDescent="0.3">
      <c r="C9" s="59" t="s">
        <v>255</v>
      </c>
      <c r="D9" s="59" t="s">
        <v>256</v>
      </c>
      <c r="E9" s="59" t="s">
        <v>246</v>
      </c>
      <c r="F9" s="59" t="s">
        <v>17</v>
      </c>
    </row>
    <row r="10" spans="1:6" x14ac:dyDescent="0.3">
      <c r="A10">
        <v>1</v>
      </c>
      <c r="B10" t="s">
        <v>257</v>
      </c>
      <c r="C10" s="287">
        <v>3017.21</v>
      </c>
      <c r="D10" s="287">
        <f>C10*12</f>
        <v>36206.520000000004</v>
      </c>
      <c r="E10" s="288"/>
      <c r="F10" s="188" t="s">
        <v>258</v>
      </c>
    </row>
    <row r="11" spans="1:6" x14ac:dyDescent="0.3">
      <c r="A11">
        <v>2</v>
      </c>
      <c r="B11" t="s">
        <v>259</v>
      </c>
      <c r="C11" s="287">
        <v>207.3</v>
      </c>
      <c r="D11" s="287">
        <f>C11*12</f>
        <v>2487.6000000000004</v>
      </c>
      <c r="E11" s="287"/>
      <c r="F11" s="188" t="s">
        <v>260</v>
      </c>
    </row>
    <row r="12" spans="1:6" ht="15" thickBot="1" x14ac:dyDescent="0.35">
      <c r="A12">
        <v>3</v>
      </c>
      <c r="B12" t="s">
        <v>261</v>
      </c>
      <c r="C12" s="287">
        <v>33.799999999999997</v>
      </c>
      <c r="D12" s="287">
        <f>C12*12</f>
        <v>405.59999999999997</v>
      </c>
      <c r="E12" s="287"/>
      <c r="F12" s="188" t="s">
        <v>262</v>
      </c>
    </row>
    <row r="13" spans="1:6" ht="15" thickBot="1" x14ac:dyDescent="0.35">
      <c r="A13">
        <v>4</v>
      </c>
      <c r="B13" s="289" t="s">
        <v>263</v>
      </c>
      <c r="C13" s="290"/>
      <c r="D13" s="291">
        <f>SUM(D10:D12)</f>
        <v>39099.72</v>
      </c>
      <c r="E13" s="292">
        <f>D13-D14</f>
        <v>-1933.3399999999965</v>
      </c>
    </row>
    <row r="14" spans="1:6" x14ac:dyDescent="0.3">
      <c r="A14">
        <v>5</v>
      </c>
      <c r="B14" t="s">
        <v>264</v>
      </c>
      <c r="C14" s="293"/>
      <c r="D14" s="198">
        <v>41033.06</v>
      </c>
      <c r="E14" s="287"/>
    </row>
    <row r="17" spans="2:4" x14ac:dyDescent="0.3">
      <c r="D17" s="294"/>
    </row>
    <row r="18" spans="2:4" x14ac:dyDescent="0.3">
      <c r="D18" s="294"/>
    </row>
    <row r="19" spans="2:4" ht="15" thickBot="1" x14ac:dyDescent="0.35"/>
    <row r="20" spans="2:4" ht="15" thickBot="1" x14ac:dyDescent="0.35">
      <c r="B20" s="4"/>
    </row>
  </sheetData>
  <pageMargins left="0.7" right="0.7" top="0.75" bottom="0.75" header="0.3" footer="0.3"/>
  <pageSetup orientation="landscape" r:id="rId1"/>
  <colBreaks count="1" manualBreakCount="1">
    <brk id="6" max="16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7DD3-8E19-47CC-8361-037DC17F5514}">
  <sheetPr>
    <tabColor rgb="FF5EF0CA"/>
  </sheetPr>
  <dimension ref="B1:D6"/>
  <sheetViews>
    <sheetView view="pageBreakPreview" zoomScale="60" zoomScaleNormal="100" workbookViewId="0">
      <selection activeCell="F5" sqref="F5"/>
    </sheetView>
  </sheetViews>
  <sheetFormatPr defaultRowHeight="14.4" x14ac:dyDescent="0.3"/>
  <cols>
    <col min="1" max="1" width="2.44140625" customWidth="1"/>
    <col min="2" max="2" width="40.6640625" bestFit="1" customWidth="1"/>
    <col min="3" max="3" width="37.6640625" bestFit="1" customWidth="1"/>
    <col min="4" max="4" width="20.33203125" customWidth="1"/>
    <col min="6" max="6" width="15.88671875" customWidth="1"/>
  </cols>
  <sheetData>
    <row r="1" spans="2:4" ht="18.600000000000001" thickBot="1" x14ac:dyDescent="0.4">
      <c r="B1" s="2" t="str">
        <f>'JEC-Jurczyk-2'!B1</f>
        <v>Jacksonville Village Electric Utility</v>
      </c>
      <c r="C1" s="115"/>
      <c r="D1" s="4" t="s">
        <v>265</v>
      </c>
    </row>
    <row r="2" spans="2:4" ht="18" x14ac:dyDescent="0.35">
      <c r="B2" s="2" t="str">
        <f>'JEC-Jurczyk-2'!B2</f>
        <v>Rate Case Study</v>
      </c>
      <c r="C2" s="118"/>
    </row>
    <row r="3" spans="2:4" ht="15.6" x14ac:dyDescent="0.3">
      <c r="B3" s="6" t="s">
        <v>266</v>
      </c>
      <c r="C3" s="120"/>
    </row>
    <row r="4" spans="2:4" ht="15.6" x14ac:dyDescent="0.3">
      <c r="B4" s="7" t="s">
        <v>4</v>
      </c>
      <c r="C4" s="8" t="str">
        <f>'JEC-Jurczyk-2'!C4</f>
        <v>12 months ending December 31, 2025</v>
      </c>
    </row>
    <row r="5" spans="2:4" ht="15.6" x14ac:dyDescent="0.3">
      <c r="B5" s="7" t="s">
        <v>6</v>
      </c>
      <c r="C5" s="8" t="str">
        <f>'JEC-Jurczyk-2'!C5</f>
        <v>July 5, 2026 - July 4, 2027</v>
      </c>
    </row>
    <row r="6" spans="2:4" ht="15.6" x14ac:dyDescent="0.3">
      <c r="B6" s="7" t="s">
        <v>8</v>
      </c>
      <c r="C6" s="9">
        <f>'JEC-Jurczyk-2'!C6</f>
        <v>46163</v>
      </c>
    </row>
  </sheetData>
  <pageMargins left="0.7" right="0.7" top="0.75" bottom="0.75" header="0.3" footer="0.3"/>
  <pageSetup scale="80" orientation="portrait" horizontalDpi="300" verticalDpi="300" r:id="rId1"/>
  <headerFooter>
    <oddFooter>&amp;R&amp;P of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21234-2B5C-404B-9814-E2465F15DFB9}">
  <sheetPr>
    <tabColor rgb="FF5EF0CA"/>
  </sheetPr>
  <dimension ref="B1:D6"/>
  <sheetViews>
    <sheetView view="pageBreakPreview" topLeftCell="A3" zoomScale="60" zoomScaleNormal="100" workbookViewId="0">
      <selection activeCell="G10" sqref="G10"/>
    </sheetView>
  </sheetViews>
  <sheetFormatPr defaultRowHeight="14.4" x14ac:dyDescent="0.3"/>
  <cols>
    <col min="1" max="1" width="2.44140625" customWidth="1"/>
    <col min="2" max="2" width="40.6640625" bestFit="1" customWidth="1"/>
    <col min="3" max="3" width="37.6640625" bestFit="1" customWidth="1"/>
    <col min="4" max="4" width="20.33203125" customWidth="1"/>
    <col min="6" max="6" width="15.88671875" customWidth="1"/>
  </cols>
  <sheetData>
    <row r="1" spans="2:4" ht="18.600000000000001" thickBot="1" x14ac:dyDescent="0.4">
      <c r="B1" s="2" t="str">
        <f>'JEC-Jurczyk-2'!B1</f>
        <v>Jacksonville Village Electric Utility</v>
      </c>
      <c r="C1" s="115"/>
      <c r="D1" s="4" t="s">
        <v>267</v>
      </c>
    </row>
    <row r="2" spans="2:4" ht="18" x14ac:dyDescent="0.35">
      <c r="B2" s="2" t="str">
        <f>'JEC-Jurczyk-2'!B2</f>
        <v>Rate Case Study</v>
      </c>
      <c r="C2" s="118"/>
    </row>
    <row r="3" spans="2:4" ht="15.6" x14ac:dyDescent="0.3">
      <c r="B3" s="6" t="s">
        <v>268</v>
      </c>
      <c r="C3" s="120"/>
    </row>
    <row r="4" spans="2:4" ht="15.6" x14ac:dyDescent="0.3">
      <c r="B4" s="7" t="s">
        <v>4</v>
      </c>
      <c r="C4" s="8" t="str">
        <f>'JEC-Jurczyk-2'!C4</f>
        <v>12 months ending December 31, 2025</v>
      </c>
    </row>
    <row r="5" spans="2:4" ht="15.6" x14ac:dyDescent="0.3">
      <c r="B5" s="7" t="s">
        <v>6</v>
      </c>
      <c r="C5" s="8" t="str">
        <f>'JEC-Jurczyk-2'!C5</f>
        <v>July 5, 2026 - July 4, 2027</v>
      </c>
    </row>
    <row r="6" spans="2:4" ht="15.6" x14ac:dyDescent="0.3">
      <c r="B6" s="7" t="s">
        <v>8</v>
      </c>
      <c r="C6" s="9">
        <f>'JEC-Jurczyk-2'!C6</f>
        <v>46163</v>
      </c>
    </row>
  </sheetData>
  <pageMargins left="0.7" right="0.7" top="0.75" bottom="0.75" header="0.3" footer="0.3"/>
  <pageSetup scale="80" orientation="portrait" horizontalDpi="300" verticalDpi="300" r:id="rId1"/>
  <headerFooter>
    <oddFooter>&amp;R&amp;P of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0679-E4F3-4026-8700-6CFAAF53C11F}">
  <sheetPr>
    <tabColor rgb="FF5EF0CA"/>
  </sheetPr>
  <dimension ref="B1:D6"/>
  <sheetViews>
    <sheetView view="pageBreakPreview" zoomScale="60" zoomScaleNormal="100" workbookViewId="0">
      <selection activeCell="F23" sqref="F23"/>
    </sheetView>
  </sheetViews>
  <sheetFormatPr defaultRowHeight="14.4" x14ac:dyDescent="0.3"/>
  <cols>
    <col min="1" max="1" width="2.44140625" customWidth="1"/>
    <col min="2" max="2" width="40.6640625" bestFit="1" customWidth="1"/>
    <col min="3" max="3" width="37.6640625" bestFit="1" customWidth="1"/>
    <col min="4" max="4" width="19.109375" customWidth="1"/>
    <col min="6" max="6" width="15.88671875" customWidth="1"/>
  </cols>
  <sheetData>
    <row r="1" spans="2:4" ht="18.600000000000001" thickBot="1" x14ac:dyDescent="0.4">
      <c r="B1" s="2" t="str">
        <f>'JEC-Jurczyk-2'!B1</f>
        <v>Jacksonville Village Electric Utility</v>
      </c>
      <c r="C1" s="115"/>
      <c r="D1" s="4" t="s">
        <v>269</v>
      </c>
    </row>
    <row r="2" spans="2:4" ht="18" x14ac:dyDescent="0.35">
      <c r="B2" s="2" t="str">
        <f>'JEC-Jurczyk-2'!B2</f>
        <v>Rate Case Study</v>
      </c>
      <c r="C2" s="118"/>
    </row>
    <row r="3" spans="2:4" ht="15.6" x14ac:dyDescent="0.3">
      <c r="B3" s="6" t="s">
        <v>261</v>
      </c>
      <c r="C3" s="120"/>
    </row>
    <row r="4" spans="2:4" ht="15.6" x14ac:dyDescent="0.3">
      <c r="B4" s="7" t="s">
        <v>4</v>
      </c>
      <c r="C4" s="8" t="str">
        <f>'JEC-Jurczyk-2'!C4</f>
        <v>12 months ending December 31, 2025</v>
      </c>
    </row>
    <row r="5" spans="2:4" ht="15.6" x14ac:dyDescent="0.3">
      <c r="B5" s="7" t="s">
        <v>6</v>
      </c>
      <c r="C5" s="8" t="str">
        <f>'JEC-Jurczyk-2'!C5</f>
        <v>July 5, 2026 - July 4, 2027</v>
      </c>
    </row>
    <row r="6" spans="2:4" ht="15.6" x14ac:dyDescent="0.3">
      <c r="B6" s="7" t="s">
        <v>8</v>
      </c>
      <c r="C6" s="9">
        <f>'JEC-Jurczyk-2'!C6</f>
        <v>46163</v>
      </c>
    </row>
  </sheetData>
  <pageMargins left="0.7" right="0.7" top="0.75" bottom="0.75" header="0.3" footer="0.3"/>
  <pageSetup scale="80" orientation="portrait" horizontalDpi="300" verticalDpi="300" r:id="rId1"/>
  <headerFooter>
    <oddFooter>&amp;R&amp;P of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1DB20-8FC2-46F1-B8C3-0C57FBCA5BB0}">
  <sheetPr>
    <tabColor theme="8" tint="-0.249977111117893"/>
  </sheetPr>
  <dimension ref="A1:F14"/>
  <sheetViews>
    <sheetView view="pageBreakPreview" zoomScale="60" zoomScaleNormal="100" workbookViewId="0">
      <selection activeCell="M56" sqref="M56"/>
    </sheetView>
  </sheetViews>
  <sheetFormatPr defaultRowHeight="14.4" x14ac:dyDescent="0.3"/>
  <cols>
    <col min="2" max="2" width="34.88671875" customWidth="1"/>
    <col min="3" max="3" width="14.44140625" customWidth="1"/>
    <col min="4" max="5" width="12" customWidth="1"/>
    <col min="6" max="6" width="18.109375" customWidth="1"/>
  </cols>
  <sheetData>
    <row r="1" spans="1:6" ht="18.600000000000001" thickBot="1" x14ac:dyDescent="0.4">
      <c r="B1" s="2" t="str">
        <f>'JEC-Jurczyk-2'!B1</f>
        <v>Jacksonville Village Electric Utility</v>
      </c>
      <c r="C1" s="115"/>
      <c r="F1" s="4" t="s">
        <v>270</v>
      </c>
    </row>
    <row r="2" spans="1:6" ht="18" x14ac:dyDescent="0.35">
      <c r="B2" s="2" t="str">
        <f>'JEC-Jurczyk-2'!B2</f>
        <v>Rate Case Study</v>
      </c>
      <c r="C2" s="118"/>
    </row>
    <row r="3" spans="1:6" ht="15.6" x14ac:dyDescent="0.3">
      <c r="B3" s="6" t="s">
        <v>271</v>
      </c>
      <c r="C3" s="120"/>
    </row>
    <row r="4" spans="1:6" ht="15.6" x14ac:dyDescent="0.3">
      <c r="B4" s="7" t="s">
        <v>4</v>
      </c>
      <c r="C4" s="8" t="str">
        <f>'JEC-Jurczyk-2'!C4</f>
        <v>12 months ending December 31, 2025</v>
      </c>
    </row>
    <row r="5" spans="1:6" ht="15.6" x14ac:dyDescent="0.3">
      <c r="B5" s="7" t="s">
        <v>6</v>
      </c>
      <c r="C5" s="8" t="str">
        <f>'JEC-Jurczyk-2'!C5</f>
        <v>July 5, 2026 - July 4, 2027</v>
      </c>
    </row>
    <row r="6" spans="1:6" ht="15.6" x14ac:dyDescent="0.3">
      <c r="B6" s="7" t="s">
        <v>8</v>
      </c>
      <c r="C6" s="9">
        <f>'JEC-Jurczyk-2'!C6</f>
        <v>46163</v>
      </c>
    </row>
    <row r="9" spans="1:6" x14ac:dyDescent="0.3">
      <c r="C9" s="189" t="s">
        <v>272</v>
      </c>
      <c r="D9" s="59" t="s">
        <v>15</v>
      </c>
      <c r="E9" s="59" t="s">
        <v>138</v>
      </c>
      <c r="F9" s="189" t="s">
        <v>246</v>
      </c>
    </row>
    <row r="10" spans="1:6" x14ac:dyDescent="0.3">
      <c r="A10">
        <v>1</v>
      </c>
      <c r="B10" t="s">
        <v>273</v>
      </c>
      <c r="C10">
        <v>2025</v>
      </c>
      <c r="D10" s="60">
        <v>28977.73</v>
      </c>
      <c r="E10" s="60">
        <f>D10</f>
        <v>28977.73</v>
      </c>
      <c r="F10" s="64">
        <f>E10-D10</f>
        <v>0</v>
      </c>
    </row>
    <row r="11" spans="1:6" ht="15" thickBot="1" x14ac:dyDescent="0.35">
      <c r="A11">
        <v>2</v>
      </c>
      <c r="D11" s="295"/>
      <c r="E11" s="60"/>
      <c r="F11" s="64">
        <f t="shared" ref="F11:F12" si="0">E11-D11</f>
        <v>0</v>
      </c>
    </row>
    <row r="12" spans="1:6" ht="15" thickBot="1" x14ac:dyDescent="0.35">
      <c r="A12">
        <v>3</v>
      </c>
      <c r="B12" s="296" t="s">
        <v>103</v>
      </c>
      <c r="C12" s="290"/>
      <c r="D12" s="297">
        <f>SUM(D10:D11)</f>
        <v>28977.73</v>
      </c>
      <c r="E12" s="297">
        <f>SUM(E10:E11)</f>
        <v>28977.73</v>
      </c>
      <c r="F12" s="292">
        <f t="shared" si="0"/>
        <v>0</v>
      </c>
    </row>
    <row r="13" spans="1:6" x14ac:dyDescent="0.3">
      <c r="E13" s="63"/>
    </row>
    <row r="14" spans="1:6" x14ac:dyDescent="0.3">
      <c r="E14" s="298"/>
    </row>
  </sheetData>
  <pageMargins left="0.7" right="0.7" top="0.75" bottom="0.75" header="0.3" footer="0.3"/>
  <pageSetup scale="9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6118A-BDEC-4CCC-B592-5634EA6E5F1E}">
  <sheetPr>
    <tabColor rgb="FF5EF0CA"/>
  </sheetPr>
  <dimension ref="B1:F14"/>
  <sheetViews>
    <sheetView view="pageBreakPreview" zoomScale="60" zoomScaleNormal="100" workbookViewId="0">
      <selection activeCell="R32" sqref="R32"/>
    </sheetView>
  </sheetViews>
  <sheetFormatPr defaultRowHeight="14.4" x14ac:dyDescent="0.3"/>
  <cols>
    <col min="2" max="2" width="34.88671875" customWidth="1"/>
    <col min="3" max="3" width="14.44140625" customWidth="1"/>
    <col min="4" max="4" width="12" customWidth="1"/>
    <col min="5" max="5" width="25" customWidth="1"/>
    <col min="6" max="6" width="18.109375" customWidth="1"/>
  </cols>
  <sheetData>
    <row r="1" spans="2:6" ht="18.600000000000001" thickBot="1" x14ac:dyDescent="0.4">
      <c r="B1" s="2" t="str">
        <f>'JEC-Jurczyk-2'!B1</f>
        <v>Jacksonville Village Electric Utility</v>
      </c>
      <c r="C1" s="115"/>
      <c r="E1" s="4" t="s">
        <v>274</v>
      </c>
    </row>
    <row r="2" spans="2:6" ht="18" x14ac:dyDescent="0.35">
      <c r="B2" s="2" t="str">
        <f>'JEC-Jurczyk-2'!B2</f>
        <v>Rate Case Study</v>
      </c>
      <c r="C2" s="118"/>
    </row>
    <row r="3" spans="2:6" ht="15.6" x14ac:dyDescent="0.3">
      <c r="B3" s="6" t="s">
        <v>271</v>
      </c>
      <c r="C3" s="120"/>
    </row>
    <row r="4" spans="2:6" ht="15.6" x14ac:dyDescent="0.3">
      <c r="B4" s="7" t="s">
        <v>4</v>
      </c>
      <c r="C4" s="8" t="str">
        <f>'JEC-Jurczyk-2'!C4</f>
        <v>12 months ending December 31, 2025</v>
      </c>
    </row>
    <row r="5" spans="2:6" ht="15.6" x14ac:dyDescent="0.3">
      <c r="B5" s="7" t="s">
        <v>6</v>
      </c>
      <c r="C5" s="8" t="str">
        <f>'JEC-Jurczyk-2'!C5</f>
        <v>July 5, 2026 - July 4, 2027</v>
      </c>
    </row>
    <row r="6" spans="2:6" ht="15.6" x14ac:dyDescent="0.3">
      <c r="B6" s="7" t="s">
        <v>8</v>
      </c>
      <c r="C6" s="9">
        <f>'JEC-Jurczyk-2'!C6</f>
        <v>46163</v>
      </c>
    </row>
    <row r="9" spans="2:6" x14ac:dyDescent="0.3">
      <c r="C9" s="189"/>
      <c r="D9" s="59"/>
      <c r="E9" s="59"/>
      <c r="F9" s="189"/>
    </row>
    <row r="10" spans="2:6" x14ac:dyDescent="0.3">
      <c r="D10" s="197"/>
      <c r="E10" s="197"/>
      <c r="F10" s="64"/>
    </row>
    <row r="11" spans="2:6" x14ac:dyDescent="0.3">
      <c r="D11" s="299"/>
      <c r="E11" s="197"/>
      <c r="F11" s="64"/>
    </row>
    <row r="12" spans="2:6" x14ac:dyDescent="0.3">
      <c r="B12" s="300"/>
      <c r="D12" s="197"/>
      <c r="E12" s="197"/>
      <c r="F12" s="64"/>
    </row>
    <row r="13" spans="2:6" x14ac:dyDescent="0.3">
      <c r="E13" s="63"/>
    </row>
    <row r="14" spans="2:6" x14ac:dyDescent="0.3">
      <c r="E14" s="298"/>
    </row>
  </sheetData>
  <pageMargins left="0.7" right="0.7" top="0.75" bottom="0.75" header="0.3" footer="0.3"/>
  <pageSetup scale="91" orientation="portrait" r:id="rId1"/>
  <headerFooter>
    <oddFooter>&amp;R&amp;P of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5769-494E-4642-8076-48A267FE1B7C}">
  <sheetPr>
    <tabColor theme="8" tint="-0.249977111117893"/>
  </sheetPr>
  <dimension ref="A1:U85"/>
  <sheetViews>
    <sheetView view="pageBreakPreview" zoomScale="60" zoomScaleNormal="100" workbookViewId="0">
      <selection activeCell="O22" sqref="O22:Q22"/>
    </sheetView>
  </sheetViews>
  <sheetFormatPr defaultColWidth="8.88671875" defaultRowHeight="14.4" x14ac:dyDescent="0.3"/>
  <cols>
    <col min="1" max="1" width="8.88671875" style="65"/>
    <col min="2" max="2" width="20.6640625" style="65" customWidth="1"/>
    <col min="3" max="4" width="13.109375" style="65" customWidth="1"/>
    <col min="5" max="5" width="16.5546875" style="65" customWidth="1"/>
    <col min="6" max="6" width="4.6640625" style="65" customWidth="1"/>
    <col min="7" max="8" width="12.33203125" style="65" hidden="1" customWidth="1"/>
    <col min="9" max="9" width="12.6640625" style="65" hidden="1" customWidth="1"/>
    <col min="10" max="10" width="4.33203125" style="65" hidden="1" customWidth="1"/>
    <col min="11" max="13" width="13.33203125" style="65" hidden="1" customWidth="1"/>
    <col min="14" max="14" width="4.33203125" style="65" hidden="1" customWidth="1"/>
    <col min="15" max="16" width="14.6640625" style="65" customWidth="1"/>
    <col min="17" max="17" width="16.6640625" style="65" customWidth="1"/>
    <col min="18" max="18" width="3.88671875" style="65" customWidth="1"/>
    <col min="19" max="21" width="14.33203125" style="65" bestFit="1" customWidth="1"/>
    <col min="22" max="16384" width="8.88671875" style="65"/>
  </cols>
  <sheetData>
    <row r="1" spans="1:17" ht="18.600000000000001" thickBot="1" x14ac:dyDescent="0.4">
      <c r="B1" s="2" t="str">
        <f>'JEC-Jurczyk-2'!B1</f>
        <v>Jacksonville Village Electric Utility</v>
      </c>
      <c r="Q1" s="4" t="s">
        <v>275</v>
      </c>
    </row>
    <row r="2" spans="1:17" ht="18" x14ac:dyDescent="0.35">
      <c r="B2" s="2" t="str">
        <f>'JEC-Jurczyk-2'!B2</f>
        <v>Rate Case Study</v>
      </c>
    </row>
    <row r="3" spans="1:17" ht="15.6" x14ac:dyDescent="0.3">
      <c r="B3" s="6" t="s">
        <v>139</v>
      </c>
    </row>
    <row r="4" spans="1:17" ht="15.6" x14ac:dyDescent="0.3">
      <c r="B4" s="7" t="s">
        <v>4</v>
      </c>
      <c r="C4" s="8" t="str">
        <f>'JEC-Jurczyk-2'!C4</f>
        <v>12 months ending December 31, 2025</v>
      </c>
    </row>
    <row r="5" spans="1:17" ht="15.6" x14ac:dyDescent="0.3">
      <c r="B5" s="7" t="s">
        <v>6</v>
      </c>
      <c r="C5" s="8" t="str">
        <f>'JEC-Jurczyk-2'!C5</f>
        <v>July 5, 2026 - July 4, 2027</v>
      </c>
    </row>
    <row r="6" spans="1:17" ht="15.6" x14ac:dyDescent="0.3">
      <c r="B6" s="7" t="s">
        <v>8</v>
      </c>
      <c r="C6" s="9">
        <f>'JEC-Jurczyk-2'!C6</f>
        <v>46163</v>
      </c>
    </row>
    <row r="7" spans="1:17" hidden="1" x14ac:dyDescent="0.3"/>
    <row r="8" spans="1:17" hidden="1" x14ac:dyDescent="0.3"/>
    <row r="9" spans="1:17" ht="48" hidden="1" customHeight="1" x14ac:dyDescent="0.3">
      <c r="B9" s="66" t="s">
        <v>87</v>
      </c>
      <c r="C9" s="66" t="s">
        <v>277</v>
      </c>
      <c r="D9" s="66" t="s">
        <v>89</v>
      </c>
      <c r="E9" s="66" t="s">
        <v>90</v>
      </c>
      <c r="F9" s="66" t="s">
        <v>91</v>
      </c>
      <c r="G9" s="66"/>
      <c r="H9" s="66"/>
      <c r="I9" s="66"/>
    </row>
    <row r="10" spans="1:17" hidden="1" x14ac:dyDescent="0.3">
      <c r="A10" s="65">
        <v>1</v>
      </c>
      <c r="B10" s="65" t="str">
        <f>C22</f>
        <v>Bucket Truck - Community Bank</v>
      </c>
      <c r="C10" s="67" t="e">
        <f>#REF!</f>
        <v>#REF!</v>
      </c>
      <c r="D10" s="65">
        <f>B44</f>
        <v>46023</v>
      </c>
      <c r="E10" s="69">
        <f>D23</f>
        <v>8.5500000000000007E-2</v>
      </c>
      <c r="F10" s="65">
        <v>12</v>
      </c>
      <c r="G10" s="67"/>
      <c r="H10" s="67"/>
      <c r="I10" s="67"/>
    </row>
    <row r="11" spans="1:17" hidden="1" x14ac:dyDescent="0.3">
      <c r="A11" s="65">
        <f>A10+1</f>
        <v>2</v>
      </c>
      <c r="B11" s="65">
        <f>G22</f>
        <v>0</v>
      </c>
      <c r="C11" s="70" t="e">
        <f>#REF!</f>
        <v>#REF!</v>
      </c>
      <c r="D11" s="65">
        <f>B33</f>
        <v>45689</v>
      </c>
      <c r="E11" s="69">
        <f>H23</f>
        <v>0</v>
      </c>
      <c r="F11" s="65">
        <v>12</v>
      </c>
      <c r="G11" s="71"/>
      <c r="H11" s="71"/>
      <c r="I11" s="71"/>
    </row>
    <row r="12" spans="1:17" hidden="1" x14ac:dyDescent="0.3">
      <c r="A12" s="65">
        <f t="shared" ref="A12:A16" si="0">A11+1</f>
        <v>3</v>
      </c>
      <c r="B12" s="65">
        <f>K22</f>
        <v>0</v>
      </c>
      <c r="C12" s="70" t="e">
        <f>#REF!</f>
        <v>#REF!</v>
      </c>
      <c r="D12" s="65">
        <f>B35</f>
        <v>45748</v>
      </c>
      <c r="E12" s="72" t="e">
        <f>L30/SUM(K30:K35)</f>
        <v>#DIV/0!</v>
      </c>
      <c r="F12" s="65">
        <v>12</v>
      </c>
      <c r="G12" s="71"/>
      <c r="H12" s="71"/>
      <c r="I12" s="71"/>
    </row>
    <row r="13" spans="1:17" hidden="1" x14ac:dyDescent="0.3">
      <c r="A13" s="65">
        <f t="shared" si="0"/>
        <v>4</v>
      </c>
      <c r="B13" s="65" t="str">
        <f>O22</f>
        <v>Jacksonville Member Credit Financing
(Reclassified acct 923)</v>
      </c>
      <c r="C13" s="70" t="e">
        <f>#REF!</f>
        <v>#REF!</v>
      </c>
      <c r="D13" s="65">
        <f>B48</f>
        <v>46143</v>
      </c>
      <c r="E13" s="72" t="e">
        <f>P30/SUM(O30:O48)</f>
        <v>#DIV/0!</v>
      </c>
      <c r="F13" s="65">
        <v>12</v>
      </c>
      <c r="G13" s="71"/>
      <c r="H13" s="71"/>
      <c r="I13" s="71"/>
    </row>
    <row r="14" spans="1:17" hidden="1" x14ac:dyDescent="0.3">
      <c r="A14" s="65">
        <f t="shared" si="0"/>
        <v>5</v>
      </c>
    </row>
    <row r="15" spans="1:17" hidden="1" x14ac:dyDescent="0.3">
      <c r="A15" s="65">
        <f t="shared" si="0"/>
        <v>6</v>
      </c>
    </row>
    <row r="16" spans="1:17" hidden="1" x14ac:dyDescent="0.3">
      <c r="A16" s="65">
        <f t="shared" si="0"/>
        <v>7</v>
      </c>
      <c r="B16" s="65" t="s">
        <v>96</v>
      </c>
      <c r="C16" s="67" t="e">
        <f>SUM(C10:C13)</f>
        <v>#REF!</v>
      </c>
      <c r="H16" s="67"/>
      <c r="I16" s="67"/>
    </row>
    <row r="17" spans="1:21" ht="15" hidden="1" customHeight="1" x14ac:dyDescent="0.3"/>
    <row r="18" spans="1:21" hidden="1" x14ac:dyDescent="0.3">
      <c r="S18" s="65" t="s">
        <v>97</v>
      </c>
    </row>
    <row r="19" spans="1:21" hidden="1" x14ac:dyDescent="0.3">
      <c r="S19" s="67">
        <f>SUM(S30:S64)</f>
        <v>147394.73080518184</v>
      </c>
    </row>
    <row r="20" spans="1:21" hidden="1" x14ac:dyDescent="0.3"/>
    <row r="22" spans="1:21" ht="34.950000000000003" customHeight="1" x14ac:dyDescent="0.3">
      <c r="A22" s="65">
        <v>1</v>
      </c>
      <c r="B22" s="73"/>
      <c r="C22" s="422" t="s">
        <v>98</v>
      </c>
      <c r="D22" s="423"/>
      <c r="E22" s="424"/>
      <c r="G22" s="426"/>
      <c r="H22" s="427"/>
      <c r="I22" s="428"/>
      <c r="K22" s="426"/>
      <c r="L22" s="427"/>
      <c r="M22" s="428"/>
      <c r="O22" s="425" t="s">
        <v>375</v>
      </c>
      <c r="P22" s="423"/>
      <c r="Q22" s="424"/>
      <c r="S22" s="418" t="s">
        <v>100</v>
      </c>
      <c r="T22" s="419"/>
      <c r="U22" s="420"/>
    </row>
    <row r="23" spans="1:21" x14ac:dyDescent="0.3">
      <c r="A23" s="65">
        <f>A22+1</f>
        <v>2</v>
      </c>
      <c r="B23" s="74"/>
      <c r="C23" s="75"/>
      <c r="D23" s="76">
        <v>8.5500000000000007E-2</v>
      </c>
      <c r="E23" s="77"/>
      <c r="G23" s="75"/>
      <c r="H23" s="76"/>
      <c r="I23" s="77"/>
      <c r="K23" s="75"/>
      <c r="L23" s="78"/>
      <c r="M23" s="77"/>
      <c r="O23" s="75"/>
      <c r="P23" s="76">
        <v>5.5E-2</v>
      </c>
      <c r="Q23" s="77"/>
      <c r="S23" s="79"/>
      <c r="T23" s="80"/>
      <c r="U23" s="81"/>
    </row>
    <row r="24" spans="1:21" x14ac:dyDescent="0.3">
      <c r="A24" s="65">
        <f t="shared" ref="A24:A85" si="1">A23+1</f>
        <v>3</v>
      </c>
      <c r="B24" s="82"/>
      <c r="C24" s="83" t="s">
        <v>101</v>
      </c>
      <c r="D24" s="84" t="s">
        <v>102</v>
      </c>
      <c r="E24" s="85" t="s">
        <v>103</v>
      </c>
      <c r="G24" s="83"/>
      <c r="H24" s="84"/>
      <c r="I24" s="85"/>
      <c r="K24" s="83"/>
      <c r="L24" s="84"/>
      <c r="M24" s="85"/>
      <c r="O24" s="83" t="s">
        <v>101</v>
      </c>
      <c r="P24" s="84" t="s">
        <v>102</v>
      </c>
      <c r="Q24" s="85" t="s">
        <v>103</v>
      </c>
      <c r="S24" s="86" t="s">
        <v>101</v>
      </c>
      <c r="T24" s="87" t="s">
        <v>102</v>
      </c>
      <c r="U24" s="88" t="s">
        <v>103</v>
      </c>
    </row>
    <row r="25" spans="1:21" hidden="1" x14ac:dyDescent="0.3">
      <c r="A25" s="65">
        <f t="shared" si="1"/>
        <v>4</v>
      </c>
      <c r="B25" s="100">
        <v>45444</v>
      </c>
      <c r="C25" s="93">
        <v>1126.5473270959055</v>
      </c>
      <c r="D25" s="93">
        <v>595.65</v>
      </c>
      <c r="E25" s="95">
        <f>C25+D25</f>
        <v>1722.1973270959056</v>
      </c>
      <c r="F25" s="67"/>
      <c r="G25" s="301"/>
      <c r="H25" s="302"/>
      <c r="I25" s="303"/>
      <c r="J25" s="67"/>
      <c r="K25" s="301"/>
      <c r="L25" s="302"/>
      <c r="M25" s="303"/>
      <c r="N25" s="67"/>
      <c r="O25" s="93"/>
      <c r="P25" s="96"/>
      <c r="Q25" s="95"/>
      <c r="S25" s="97">
        <f t="shared" ref="S25:T64" si="2">C25+G25+K25+O25</f>
        <v>1126.5473270959055</v>
      </c>
      <c r="T25" s="98">
        <f t="shared" si="2"/>
        <v>595.65</v>
      </c>
      <c r="U25" s="99">
        <f>S25+T25</f>
        <v>1722.1973270959056</v>
      </c>
    </row>
    <row r="26" spans="1:21" hidden="1" x14ac:dyDescent="0.3">
      <c r="A26" s="65">
        <f t="shared" si="1"/>
        <v>5</v>
      </c>
      <c r="B26" s="100">
        <v>45474</v>
      </c>
      <c r="C26" s="93">
        <v>1134.5739768014639</v>
      </c>
      <c r="D26" s="93">
        <v>587.62335029444171</v>
      </c>
      <c r="E26" s="95">
        <f t="shared" ref="E26:E84" si="3">C26+D26</f>
        <v>1722.1973270959056</v>
      </c>
      <c r="F26" s="67"/>
      <c r="G26" s="301"/>
      <c r="H26" s="302"/>
      <c r="I26" s="303"/>
      <c r="J26" s="67"/>
      <c r="K26" s="301"/>
      <c r="L26" s="302"/>
      <c r="M26" s="303"/>
      <c r="N26" s="67"/>
      <c r="O26" s="93"/>
      <c r="P26" s="96"/>
      <c r="Q26" s="95"/>
      <c r="S26" s="97">
        <f t="shared" si="2"/>
        <v>1134.5739768014639</v>
      </c>
      <c r="T26" s="98">
        <f t="shared" si="2"/>
        <v>587.62335029444171</v>
      </c>
      <c r="U26" s="99">
        <f t="shared" ref="U26:U64" si="4">S26+T26</f>
        <v>1722.1973270959056</v>
      </c>
    </row>
    <row r="27" spans="1:21" hidden="1" x14ac:dyDescent="0.3">
      <c r="A27" s="65">
        <f t="shared" si="1"/>
        <v>6</v>
      </c>
      <c r="B27" s="100">
        <v>45505</v>
      </c>
      <c r="C27" s="93">
        <v>1142.6578163861743</v>
      </c>
      <c r="D27" s="93">
        <v>579.5395107097313</v>
      </c>
      <c r="E27" s="95">
        <f t="shared" si="3"/>
        <v>1722.1973270959056</v>
      </c>
      <c r="F27" s="67"/>
      <c r="G27" s="301"/>
      <c r="H27" s="302"/>
      <c r="I27" s="303"/>
      <c r="J27" s="67"/>
      <c r="K27" s="301"/>
      <c r="L27" s="302"/>
      <c r="M27" s="303"/>
      <c r="N27" s="67"/>
      <c r="O27" s="93"/>
      <c r="P27" s="96"/>
      <c r="Q27" s="95"/>
      <c r="S27" s="97">
        <f t="shared" si="2"/>
        <v>1142.6578163861743</v>
      </c>
      <c r="T27" s="98">
        <f t="shared" si="2"/>
        <v>579.5395107097313</v>
      </c>
      <c r="U27" s="99">
        <f t="shared" si="4"/>
        <v>1722.1973270959056</v>
      </c>
    </row>
    <row r="28" spans="1:21" hidden="1" x14ac:dyDescent="0.3">
      <c r="A28" s="65">
        <f t="shared" si="1"/>
        <v>7</v>
      </c>
      <c r="B28" s="100">
        <v>45536</v>
      </c>
      <c r="C28" s="93">
        <v>1150.7992533279257</v>
      </c>
      <c r="D28" s="93">
        <v>571.39807376797978</v>
      </c>
      <c r="E28" s="95">
        <f t="shared" si="3"/>
        <v>1722.1973270959056</v>
      </c>
      <c r="F28" s="67"/>
      <c r="G28" s="301"/>
      <c r="H28" s="302"/>
      <c r="I28" s="303"/>
      <c r="J28" s="67"/>
      <c r="K28" s="301"/>
      <c r="L28" s="302"/>
      <c r="M28" s="303"/>
      <c r="N28" s="67"/>
      <c r="O28" s="93"/>
      <c r="P28" s="96"/>
      <c r="Q28" s="95"/>
      <c r="S28" s="97">
        <f t="shared" si="2"/>
        <v>1150.7992533279257</v>
      </c>
      <c r="T28" s="98">
        <f t="shared" si="2"/>
        <v>571.39807376797978</v>
      </c>
      <c r="U28" s="99">
        <f t="shared" si="4"/>
        <v>1722.1973270959056</v>
      </c>
    </row>
    <row r="29" spans="1:21" hidden="1" x14ac:dyDescent="0.3">
      <c r="A29" s="65">
        <f t="shared" si="1"/>
        <v>8</v>
      </c>
      <c r="B29" s="100">
        <v>45566</v>
      </c>
      <c r="C29" s="93">
        <v>1158.9986980078875</v>
      </c>
      <c r="D29" s="93">
        <v>563.19862908801827</v>
      </c>
      <c r="E29" s="95">
        <f t="shared" si="3"/>
        <v>1722.1973270959056</v>
      </c>
      <c r="F29" s="67"/>
      <c r="G29" s="301"/>
      <c r="H29" s="302"/>
      <c r="I29" s="303"/>
      <c r="J29" s="67"/>
      <c r="K29" s="301"/>
      <c r="L29" s="302"/>
      <c r="M29" s="303"/>
      <c r="N29" s="67"/>
      <c r="O29" s="93"/>
      <c r="P29" s="96"/>
      <c r="Q29" s="95"/>
      <c r="S29" s="97">
        <f t="shared" si="2"/>
        <v>1158.9986980078875</v>
      </c>
      <c r="T29" s="98">
        <f t="shared" si="2"/>
        <v>563.19862908801827</v>
      </c>
      <c r="U29" s="99">
        <f t="shared" si="4"/>
        <v>1722.1973270959056</v>
      </c>
    </row>
    <row r="30" spans="1:21" hidden="1" x14ac:dyDescent="0.3">
      <c r="A30" s="65">
        <f t="shared" si="1"/>
        <v>9</v>
      </c>
      <c r="B30" s="100">
        <v>45597</v>
      </c>
      <c r="C30" s="93">
        <v>1167.2565637311936</v>
      </c>
      <c r="D30" s="93">
        <v>554.9407633647121</v>
      </c>
      <c r="E30" s="95">
        <f t="shared" si="3"/>
        <v>1722.1973270959056</v>
      </c>
      <c r="F30" s="67"/>
      <c r="G30" s="301"/>
      <c r="H30" s="302"/>
      <c r="I30" s="303"/>
      <c r="J30" s="67"/>
      <c r="K30" s="301"/>
      <c r="L30" s="302"/>
      <c r="M30" s="303"/>
      <c r="N30" s="67"/>
      <c r="O30" s="93"/>
      <c r="P30" s="96"/>
      <c r="Q30" s="95"/>
      <c r="S30" s="97">
        <f t="shared" si="2"/>
        <v>1167.2565637311936</v>
      </c>
      <c r="T30" s="98">
        <f t="shared" si="2"/>
        <v>554.9407633647121</v>
      </c>
      <c r="U30" s="99">
        <f t="shared" si="4"/>
        <v>1722.1973270959056</v>
      </c>
    </row>
    <row r="31" spans="1:21" hidden="1" x14ac:dyDescent="0.3">
      <c r="A31" s="65">
        <f t="shared" si="1"/>
        <v>10</v>
      </c>
      <c r="B31" s="100">
        <v>45627</v>
      </c>
      <c r="C31" s="93">
        <v>1175.5732667477782</v>
      </c>
      <c r="D31" s="93">
        <v>546.62406034812739</v>
      </c>
      <c r="E31" s="95">
        <f t="shared" si="3"/>
        <v>1722.1973270959056</v>
      </c>
      <c r="F31" s="67"/>
      <c r="G31" s="301"/>
      <c r="H31" s="302"/>
      <c r="I31" s="303"/>
      <c r="J31" s="67"/>
      <c r="K31" s="301"/>
      <c r="L31" s="302"/>
      <c r="M31" s="303"/>
      <c r="N31" s="67"/>
      <c r="O31" s="93"/>
      <c r="P31" s="96"/>
      <c r="Q31" s="95"/>
      <c r="S31" s="97">
        <f t="shared" si="2"/>
        <v>1175.5732667477782</v>
      </c>
      <c r="T31" s="98">
        <f t="shared" si="2"/>
        <v>546.62406034812739</v>
      </c>
      <c r="U31" s="99">
        <f t="shared" si="4"/>
        <v>1722.1973270959056</v>
      </c>
    </row>
    <row r="32" spans="1:21" x14ac:dyDescent="0.3">
      <c r="A32" s="65">
        <f t="shared" si="1"/>
        <v>11</v>
      </c>
      <c r="B32" s="100">
        <v>45658</v>
      </c>
      <c r="C32" s="93">
        <v>1183.9492262733561</v>
      </c>
      <c r="D32" s="93">
        <v>538.24810082254953</v>
      </c>
      <c r="E32" s="95">
        <f t="shared" si="3"/>
        <v>1722.1973270959056</v>
      </c>
      <c r="F32" s="67"/>
      <c r="G32" s="301"/>
      <c r="H32" s="302"/>
      <c r="I32" s="303"/>
      <c r="J32" s="67"/>
      <c r="K32" s="301"/>
      <c r="L32" s="302"/>
      <c r="M32" s="303"/>
      <c r="N32" s="67"/>
      <c r="O32" s="93"/>
      <c r="P32" s="96"/>
      <c r="Q32" s="95"/>
      <c r="S32" s="97">
        <f t="shared" si="2"/>
        <v>1183.9492262733561</v>
      </c>
      <c r="T32" s="98">
        <f t="shared" si="2"/>
        <v>538.24810082254953</v>
      </c>
      <c r="U32" s="99">
        <f t="shared" si="4"/>
        <v>1722.1973270959056</v>
      </c>
    </row>
    <row r="33" spans="1:21" x14ac:dyDescent="0.3">
      <c r="A33" s="65">
        <f t="shared" si="1"/>
        <v>12</v>
      </c>
      <c r="B33" s="100">
        <v>45689</v>
      </c>
      <c r="C33" s="93">
        <v>1192.3848645105536</v>
      </c>
      <c r="D33" s="93">
        <v>529.81246258535191</v>
      </c>
      <c r="E33" s="95">
        <f t="shared" si="3"/>
        <v>1722.1973270959056</v>
      </c>
      <c r="F33" s="67"/>
      <c r="G33" s="301"/>
      <c r="H33" s="302"/>
      <c r="I33" s="303"/>
      <c r="J33" s="67"/>
      <c r="K33" s="301"/>
      <c r="L33" s="302"/>
      <c r="M33" s="303"/>
      <c r="N33" s="67"/>
      <c r="O33" s="93"/>
      <c r="P33" s="96"/>
      <c r="Q33" s="95"/>
      <c r="S33" s="97">
        <f t="shared" si="2"/>
        <v>1192.3848645105536</v>
      </c>
      <c r="T33" s="98">
        <f t="shared" si="2"/>
        <v>529.81246258535191</v>
      </c>
      <c r="U33" s="99">
        <f t="shared" si="4"/>
        <v>1722.1973270959056</v>
      </c>
    </row>
    <row r="34" spans="1:21" x14ac:dyDescent="0.3">
      <c r="A34" s="65">
        <f t="shared" si="1"/>
        <v>13</v>
      </c>
      <c r="B34" s="100">
        <v>45717</v>
      </c>
      <c r="C34" s="93">
        <v>1200.8806066701914</v>
      </c>
      <c r="D34" s="93">
        <v>521.31672042571415</v>
      </c>
      <c r="E34" s="95">
        <f t="shared" si="3"/>
        <v>1722.1973270959056</v>
      </c>
      <c r="F34" s="67"/>
      <c r="G34" s="301"/>
      <c r="H34" s="302"/>
      <c r="I34" s="303"/>
      <c r="J34" s="67"/>
      <c r="K34" s="301"/>
      <c r="L34" s="302"/>
      <c r="M34" s="303"/>
      <c r="N34" s="67"/>
      <c r="O34" s="93"/>
      <c r="P34" s="96"/>
      <c r="Q34" s="95"/>
      <c r="S34" s="97">
        <f t="shared" si="2"/>
        <v>1200.8806066701914</v>
      </c>
      <c r="T34" s="98">
        <f t="shared" si="2"/>
        <v>521.31672042571415</v>
      </c>
      <c r="U34" s="99">
        <f t="shared" si="4"/>
        <v>1722.1973270959056</v>
      </c>
    </row>
    <row r="35" spans="1:21" x14ac:dyDescent="0.3">
      <c r="A35" s="65">
        <f t="shared" si="1"/>
        <v>14</v>
      </c>
      <c r="B35" s="100">
        <v>45748</v>
      </c>
      <c r="C35" s="93">
        <v>1209.4368809927166</v>
      </c>
      <c r="D35" s="93">
        <v>512.760446103189</v>
      </c>
      <c r="E35" s="95">
        <f t="shared" si="3"/>
        <v>1722.1973270959056</v>
      </c>
      <c r="F35" s="67"/>
      <c r="G35" s="301"/>
      <c r="H35" s="302"/>
      <c r="I35" s="303"/>
      <c r="J35" s="67"/>
      <c r="K35" s="301"/>
      <c r="L35" s="302"/>
      <c r="M35" s="303"/>
      <c r="N35" s="67"/>
      <c r="O35" s="93"/>
      <c r="P35" s="96"/>
      <c r="Q35" s="95"/>
      <c r="S35" s="97">
        <f t="shared" si="2"/>
        <v>1209.4368809927166</v>
      </c>
      <c r="T35" s="98">
        <f t="shared" si="2"/>
        <v>512.760446103189</v>
      </c>
      <c r="U35" s="99">
        <f t="shared" si="4"/>
        <v>1722.1973270959056</v>
      </c>
    </row>
    <row r="36" spans="1:21" x14ac:dyDescent="0.3">
      <c r="A36" s="65">
        <f t="shared" si="1"/>
        <v>15</v>
      </c>
      <c r="B36" s="100">
        <v>45778</v>
      </c>
      <c r="C36" s="93">
        <v>1218.0541187697897</v>
      </c>
      <c r="D36" s="93">
        <v>504.14320832611594</v>
      </c>
      <c r="E36" s="95">
        <f t="shared" si="3"/>
        <v>1722.1973270959056</v>
      </c>
      <c r="F36" s="67"/>
      <c r="G36" s="301"/>
      <c r="H36" s="302"/>
      <c r="I36" s="303"/>
      <c r="J36" s="67"/>
      <c r="K36" s="301"/>
      <c r="L36" s="302"/>
      <c r="M36" s="303"/>
      <c r="N36" s="67"/>
      <c r="O36" s="93"/>
      <c r="P36" s="96"/>
      <c r="Q36" s="95"/>
      <c r="S36" s="97">
        <f t="shared" si="2"/>
        <v>1218.0541187697897</v>
      </c>
      <c r="T36" s="98">
        <f t="shared" si="2"/>
        <v>504.14320832611594</v>
      </c>
      <c r="U36" s="99">
        <f t="shared" si="4"/>
        <v>1722.1973270959056</v>
      </c>
    </row>
    <row r="37" spans="1:21" x14ac:dyDescent="0.3">
      <c r="A37" s="65">
        <f t="shared" si="1"/>
        <v>16</v>
      </c>
      <c r="B37" s="100">
        <v>45809</v>
      </c>
      <c r="C37" s="93">
        <v>1226.7327543660244</v>
      </c>
      <c r="D37" s="93">
        <v>495.46457272988113</v>
      </c>
      <c r="E37" s="95">
        <f t="shared" si="3"/>
        <v>1722.1973270959056</v>
      </c>
      <c r="F37" s="67"/>
      <c r="G37" s="301"/>
      <c r="H37" s="302"/>
      <c r="I37" s="303"/>
      <c r="J37" s="67"/>
      <c r="K37" s="301"/>
      <c r="L37" s="302"/>
      <c r="M37" s="303"/>
      <c r="N37" s="67"/>
      <c r="O37" s="93"/>
      <c r="P37" s="96"/>
      <c r="Q37" s="95"/>
      <c r="S37" s="97">
        <f t="shared" si="2"/>
        <v>1226.7327543660244</v>
      </c>
      <c r="T37" s="98">
        <f t="shared" si="2"/>
        <v>495.46457272988113</v>
      </c>
      <c r="U37" s="99">
        <f t="shared" si="4"/>
        <v>1722.1973270959056</v>
      </c>
    </row>
    <row r="38" spans="1:21" x14ac:dyDescent="0.3">
      <c r="A38" s="65">
        <f t="shared" si="1"/>
        <v>17</v>
      </c>
      <c r="B38" s="100">
        <v>45839</v>
      </c>
      <c r="C38" s="93">
        <v>1235.4732252408824</v>
      </c>
      <c r="D38" s="93">
        <v>486.72410185502326</v>
      </c>
      <c r="E38" s="95">
        <f t="shared" si="3"/>
        <v>1722.1973270959056</v>
      </c>
      <c r="F38" s="67"/>
      <c r="G38" s="301"/>
      <c r="H38" s="302"/>
      <c r="I38" s="303"/>
      <c r="J38" s="67"/>
      <c r="K38" s="301"/>
      <c r="L38" s="302"/>
      <c r="M38" s="303"/>
      <c r="N38" s="67"/>
      <c r="O38" s="93"/>
      <c r="P38" s="96"/>
      <c r="Q38" s="95"/>
      <c r="S38" s="97">
        <f t="shared" si="2"/>
        <v>1235.4732252408824</v>
      </c>
      <c r="T38" s="98">
        <f t="shared" si="2"/>
        <v>486.72410185502326</v>
      </c>
      <c r="U38" s="99">
        <f t="shared" si="4"/>
        <v>1722.1973270959056</v>
      </c>
    </row>
    <row r="39" spans="1:21" x14ac:dyDescent="0.3">
      <c r="A39" s="65">
        <f t="shared" si="1"/>
        <v>18</v>
      </c>
      <c r="B39" s="100">
        <v>45870</v>
      </c>
      <c r="C39" s="93">
        <v>1244.2759719707237</v>
      </c>
      <c r="D39" s="93">
        <v>477.92135512518189</v>
      </c>
      <c r="E39" s="95">
        <f t="shared" si="3"/>
        <v>1722.1973270959056</v>
      </c>
      <c r="F39" s="67"/>
      <c r="G39" s="301"/>
      <c r="H39" s="302"/>
      <c r="I39" s="303"/>
      <c r="J39" s="67"/>
      <c r="K39" s="301"/>
      <c r="L39" s="302"/>
      <c r="M39" s="303"/>
      <c r="N39" s="67"/>
      <c r="O39" s="93"/>
      <c r="P39" s="96"/>
      <c r="Q39" s="95"/>
      <c r="S39" s="97">
        <f t="shared" si="2"/>
        <v>1244.2759719707237</v>
      </c>
      <c r="T39" s="98">
        <f t="shared" si="2"/>
        <v>477.92135512518189</v>
      </c>
      <c r="U39" s="99">
        <f t="shared" si="4"/>
        <v>1722.1973270959056</v>
      </c>
    </row>
    <row r="40" spans="1:21" x14ac:dyDescent="0.3">
      <c r="A40" s="65">
        <f t="shared" si="1"/>
        <v>19</v>
      </c>
      <c r="B40" s="100">
        <v>45901</v>
      </c>
      <c r="C40" s="93">
        <v>1253.1414382710152</v>
      </c>
      <c r="D40" s="93">
        <v>469.05588882489047</v>
      </c>
      <c r="E40" s="95">
        <f t="shared" si="3"/>
        <v>1722.1973270959056</v>
      </c>
      <c r="F40" s="67"/>
      <c r="G40" s="301"/>
      <c r="H40" s="302"/>
      <c r="I40" s="303"/>
      <c r="J40" s="67"/>
      <c r="K40" s="301"/>
      <c r="L40" s="302"/>
      <c r="M40" s="303"/>
      <c r="N40" s="67"/>
      <c r="O40" s="93">
        <v>0</v>
      </c>
      <c r="P40" s="96">
        <v>2782.49</v>
      </c>
      <c r="Q40" s="96">
        <v>2782.49</v>
      </c>
      <c r="S40" s="97">
        <f t="shared" si="2"/>
        <v>1253.1414382710152</v>
      </c>
      <c r="T40" s="98">
        <f t="shared" si="2"/>
        <v>3251.5458888248904</v>
      </c>
      <c r="U40" s="99">
        <f t="shared" si="4"/>
        <v>4504.6873270959059</v>
      </c>
    </row>
    <row r="41" spans="1:21" x14ac:dyDescent="0.3">
      <c r="A41" s="65">
        <f t="shared" si="1"/>
        <v>20</v>
      </c>
      <c r="B41" s="100">
        <v>45931</v>
      </c>
      <c r="C41" s="93">
        <v>1262.0700710186961</v>
      </c>
      <c r="D41" s="93">
        <v>460.12725607720955</v>
      </c>
      <c r="E41" s="95">
        <f t="shared" si="3"/>
        <v>1722.1973270959056</v>
      </c>
      <c r="F41" s="67"/>
      <c r="G41" s="301"/>
      <c r="H41" s="302"/>
      <c r="I41" s="303"/>
      <c r="J41" s="67"/>
      <c r="K41" s="301"/>
      <c r="L41" s="302"/>
      <c r="M41" s="303"/>
      <c r="N41" s="67"/>
      <c r="O41" s="93">
        <v>0</v>
      </c>
      <c r="P41" s="96">
        <v>2875.24</v>
      </c>
      <c r="Q41" s="96">
        <v>2875.24</v>
      </c>
      <c r="S41" s="97">
        <f t="shared" si="2"/>
        <v>1262.0700710186961</v>
      </c>
      <c r="T41" s="98">
        <f t="shared" si="2"/>
        <v>3335.3672560772093</v>
      </c>
      <c r="U41" s="99">
        <f t="shared" si="4"/>
        <v>4597.4373270959059</v>
      </c>
    </row>
    <row r="42" spans="1:21" x14ac:dyDescent="0.3">
      <c r="A42" s="65">
        <f t="shared" si="1"/>
        <v>21</v>
      </c>
      <c r="B42" s="100">
        <v>45962</v>
      </c>
      <c r="C42" s="93">
        <v>1271.0623202747042</v>
      </c>
      <c r="D42" s="93">
        <v>451.13500682120133</v>
      </c>
      <c r="E42" s="95">
        <f t="shared" si="3"/>
        <v>1722.1973270959056</v>
      </c>
      <c r="F42" s="67"/>
      <c r="G42" s="301"/>
      <c r="H42" s="302"/>
      <c r="I42" s="303"/>
      <c r="J42" s="67"/>
      <c r="K42" s="301"/>
      <c r="L42" s="302"/>
      <c r="M42" s="303"/>
      <c r="N42" s="67"/>
      <c r="O42" s="93">
        <v>0</v>
      </c>
      <c r="P42" s="96">
        <v>2782.49</v>
      </c>
      <c r="Q42" s="96">
        <v>2782.49</v>
      </c>
      <c r="S42" s="97">
        <f t="shared" si="2"/>
        <v>1271.0623202747042</v>
      </c>
      <c r="T42" s="98">
        <f t="shared" si="2"/>
        <v>3233.6250068212012</v>
      </c>
      <c r="U42" s="99">
        <f t="shared" si="4"/>
        <v>4504.6873270959059</v>
      </c>
    </row>
    <row r="43" spans="1:21" x14ac:dyDescent="0.3">
      <c r="A43" s="65">
        <f t="shared" si="1"/>
        <v>22</v>
      </c>
      <c r="B43" s="100">
        <v>45992</v>
      </c>
      <c r="C43" s="93">
        <v>1280.1186393066616</v>
      </c>
      <c r="D43" s="93">
        <v>442.07868778924404</v>
      </c>
      <c r="E43" s="95">
        <f t="shared" si="3"/>
        <v>1722.1973270959056</v>
      </c>
      <c r="F43" s="67"/>
      <c r="G43" s="301"/>
      <c r="H43" s="302"/>
      <c r="I43" s="303"/>
      <c r="J43" s="67"/>
      <c r="K43" s="301"/>
      <c r="L43" s="302"/>
      <c r="M43" s="303"/>
      <c r="N43" s="67"/>
      <c r="O43" s="93">
        <v>0</v>
      </c>
      <c r="P43" s="96">
        <v>2875.24</v>
      </c>
      <c r="Q43" s="96">
        <v>2875.24</v>
      </c>
      <c r="S43" s="97">
        <f t="shared" si="2"/>
        <v>1280.1186393066616</v>
      </c>
      <c r="T43" s="98">
        <f t="shared" si="2"/>
        <v>3317.318687789244</v>
      </c>
      <c r="U43" s="99">
        <f t="shared" si="4"/>
        <v>4597.4373270959059</v>
      </c>
    </row>
    <row r="44" spans="1:21" x14ac:dyDescent="0.3">
      <c r="A44" s="65">
        <f t="shared" si="1"/>
        <v>23</v>
      </c>
      <c r="B44" s="100">
        <v>46023</v>
      </c>
      <c r="C44" s="93">
        <v>1289.2394846117215</v>
      </c>
      <c r="D44" s="93">
        <v>432.95784248418414</v>
      </c>
      <c r="E44" s="95">
        <f t="shared" si="3"/>
        <v>1722.1973270959056</v>
      </c>
      <c r="F44" s="67"/>
      <c r="G44" s="301"/>
      <c r="H44" s="302"/>
      <c r="I44" s="303"/>
      <c r="J44" s="67"/>
      <c r="K44" s="301"/>
      <c r="L44" s="302"/>
      <c r="M44" s="303"/>
      <c r="N44" s="67"/>
      <c r="O44" s="93">
        <v>0</v>
      </c>
      <c r="P44" s="96">
        <v>2875.24</v>
      </c>
      <c r="Q44" s="96">
        <v>11307.02</v>
      </c>
      <c r="S44" s="97">
        <f t="shared" si="2"/>
        <v>1289.2394846117215</v>
      </c>
      <c r="T44" s="98">
        <f t="shared" si="2"/>
        <v>3308.1978424841841</v>
      </c>
      <c r="U44" s="99">
        <f t="shared" si="4"/>
        <v>4597.4373270959059</v>
      </c>
    </row>
    <row r="45" spans="1:21" x14ac:dyDescent="0.3">
      <c r="A45" s="65">
        <f t="shared" si="1"/>
        <v>24</v>
      </c>
      <c r="B45" s="100">
        <v>46054</v>
      </c>
      <c r="C45" s="93">
        <v>1298.4253159395801</v>
      </c>
      <c r="D45" s="93">
        <v>423.77201115632562</v>
      </c>
      <c r="E45" s="95">
        <f t="shared" si="3"/>
        <v>1722.1973270959056</v>
      </c>
      <c r="F45" s="67"/>
      <c r="G45" s="301"/>
      <c r="H45" s="302"/>
      <c r="I45" s="303"/>
      <c r="J45" s="67"/>
      <c r="K45" s="301"/>
      <c r="L45" s="302"/>
      <c r="M45" s="303"/>
      <c r="N45" s="67"/>
      <c r="O45" s="93">
        <v>0</v>
      </c>
      <c r="P45" s="96">
        <v>2596.9906666666666</v>
      </c>
      <c r="Q45" s="96">
        <v>10992.7</v>
      </c>
      <c r="S45" s="97">
        <f t="shared" si="2"/>
        <v>1298.4253159395801</v>
      </c>
      <c r="T45" s="98">
        <f t="shared" si="2"/>
        <v>3020.7626778229924</v>
      </c>
      <c r="U45" s="99">
        <f t="shared" si="4"/>
        <v>4319.1879937625727</v>
      </c>
    </row>
    <row r="46" spans="1:21" x14ac:dyDescent="0.3">
      <c r="A46" s="65">
        <f t="shared" si="1"/>
        <v>25</v>
      </c>
      <c r="B46" s="100">
        <v>46082</v>
      </c>
      <c r="C46" s="93">
        <v>1307.6765963156495</v>
      </c>
      <c r="D46" s="93">
        <v>414.52073078025609</v>
      </c>
      <c r="E46" s="95">
        <f t="shared" si="3"/>
        <v>1722.1973270959056</v>
      </c>
      <c r="F46" s="67"/>
      <c r="G46" s="301"/>
      <c r="H46" s="302"/>
      <c r="I46" s="303"/>
      <c r="J46" s="67"/>
      <c r="K46" s="301"/>
      <c r="L46" s="302"/>
      <c r="M46" s="303"/>
      <c r="N46" s="67"/>
      <c r="O46" s="93">
        <v>0</v>
      </c>
      <c r="P46" s="96">
        <v>2875.24</v>
      </c>
      <c r="Q46" s="96">
        <v>11227.15</v>
      </c>
      <c r="S46" s="97">
        <f t="shared" si="2"/>
        <v>1307.6765963156495</v>
      </c>
      <c r="T46" s="98">
        <f t="shared" si="2"/>
        <v>3289.7607307802559</v>
      </c>
      <c r="U46" s="99">
        <f t="shared" si="4"/>
        <v>4597.4373270959059</v>
      </c>
    </row>
    <row r="47" spans="1:21" x14ac:dyDescent="0.3">
      <c r="A47" s="65">
        <f t="shared" si="1"/>
        <v>26</v>
      </c>
      <c r="B47" s="100">
        <v>46113</v>
      </c>
      <c r="C47" s="93">
        <v>1316.9937920643986</v>
      </c>
      <c r="D47" s="93">
        <v>405.20353503150704</v>
      </c>
      <c r="E47" s="95">
        <f t="shared" si="3"/>
        <v>1722.1973270959056</v>
      </c>
      <c r="F47" s="67"/>
      <c r="G47" s="301"/>
      <c r="H47" s="302"/>
      <c r="I47" s="303"/>
      <c r="J47" s="67"/>
      <c r="K47" s="301"/>
      <c r="L47" s="302"/>
      <c r="M47" s="303"/>
      <c r="N47" s="67"/>
      <c r="O47" s="93">
        <v>0</v>
      </c>
      <c r="P47" s="96">
        <v>2782.49</v>
      </c>
      <c r="Q47" s="96">
        <v>11098.33</v>
      </c>
      <c r="S47" s="97">
        <f t="shared" si="2"/>
        <v>1316.9937920643986</v>
      </c>
      <c r="T47" s="98">
        <f t="shared" si="2"/>
        <v>3187.6935350315071</v>
      </c>
      <c r="U47" s="99">
        <f t="shared" si="4"/>
        <v>4504.6873270959059</v>
      </c>
    </row>
    <row r="48" spans="1:21" x14ac:dyDescent="0.3">
      <c r="A48" s="65">
        <f t="shared" si="1"/>
        <v>27</v>
      </c>
      <c r="B48" s="100">
        <v>46143</v>
      </c>
      <c r="C48" s="93">
        <v>1326.3773728328574</v>
      </c>
      <c r="D48" s="93">
        <v>395.8199542630482</v>
      </c>
      <c r="E48" s="95">
        <f t="shared" si="3"/>
        <v>1722.1973270959056</v>
      </c>
      <c r="F48" s="67"/>
      <c r="G48" s="301"/>
      <c r="H48" s="302"/>
      <c r="I48" s="303"/>
      <c r="J48" s="67"/>
      <c r="K48" s="301"/>
      <c r="L48" s="302"/>
      <c r="M48" s="303"/>
      <c r="N48" s="67"/>
      <c r="O48" s="93">
        <v>0</v>
      </c>
      <c r="P48" s="96">
        <v>2875.24</v>
      </c>
      <c r="Q48" s="96">
        <v>11147.29</v>
      </c>
      <c r="S48" s="97">
        <f t="shared" si="2"/>
        <v>1326.3773728328574</v>
      </c>
      <c r="T48" s="98">
        <f t="shared" si="2"/>
        <v>3271.059954263048</v>
      </c>
      <c r="U48" s="99">
        <f t="shared" si="4"/>
        <v>4597.4373270959059</v>
      </c>
    </row>
    <row r="49" spans="1:21" x14ac:dyDescent="0.3">
      <c r="A49" s="65">
        <f t="shared" si="1"/>
        <v>28</v>
      </c>
      <c r="B49" s="100">
        <v>46174</v>
      </c>
      <c r="C49" s="93">
        <v>1335.8278116142915</v>
      </c>
      <c r="D49" s="93">
        <v>386.36951548161409</v>
      </c>
      <c r="E49" s="95">
        <f t="shared" si="3"/>
        <v>1722.1973270959056</v>
      </c>
      <c r="F49" s="67"/>
      <c r="G49" s="301"/>
      <c r="H49" s="302"/>
      <c r="I49" s="303"/>
      <c r="J49" s="67"/>
      <c r="K49" s="301"/>
      <c r="L49" s="302"/>
      <c r="M49" s="303"/>
      <c r="N49" s="67"/>
      <c r="O49" s="93">
        <v>0</v>
      </c>
      <c r="P49" s="96">
        <v>2782.49</v>
      </c>
      <c r="Q49" s="96">
        <v>11021.04</v>
      </c>
      <c r="S49" s="97">
        <f t="shared" si="2"/>
        <v>1335.8278116142915</v>
      </c>
      <c r="T49" s="98">
        <f t="shared" si="2"/>
        <v>3168.8595154816139</v>
      </c>
      <c r="U49" s="99">
        <f t="shared" si="4"/>
        <v>4504.6873270959059</v>
      </c>
    </row>
    <row r="50" spans="1:21" ht="15" customHeight="1" x14ac:dyDescent="0.3">
      <c r="A50" s="65">
        <f t="shared" si="1"/>
        <v>29</v>
      </c>
      <c r="B50" s="101">
        <v>46204</v>
      </c>
      <c r="C50" s="102">
        <v>1345.3455847720434</v>
      </c>
      <c r="D50" s="102">
        <v>376.85174232386225</v>
      </c>
      <c r="E50" s="103">
        <f t="shared" si="3"/>
        <v>1722.1973270959056</v>
      </c>
      <c r="G50" s="93"/>
      <c r="H50" s="96"/>
      <c r="I50" s="95"/>
      <c r="K50" s="93"/>
      <c r="L50" s="96"/>
      <c r="M50" s="95"/>
      <c r="O50" s="408">
        <v>0</v>
      </c>
      <c r="P50" s="409">
        <v>2875.24</v>
      </c>
      <c r="Q50" s="410">
        <v>11307.02</v>
      </c>
      <c r="S50" s="97">
        <f t="shared" si="2"/>
        <v>1345.3455847720434</v>
      </c>
      <c r="T50" s="98">
        <f t="shared" si="2"/>
        <v>3252.091742323862</v>
      </c>
      <c r="U50" s="99">
        <f t="shared" si="4"/>
        <v>4597.4373270959059</v>
      </c>
    </row>
    <row r="51" spans="1:21" ht="15" customHeight="1" x14ac:dyDescent="0.3">
      <c r="A51" s="65">
        <f t="shared" si="1"/>
        <v>30</v>
      </c>
      <c r="B51" s="101">
        <v>46235</v>
      </c>
      <c r="C51" s="102">
        <v>1354.9311720635442</v>
      </c>
      <c r="D51" s="102">
        <v>367.26615503236144</v>
      </c>
      <c r="E51" s="103">
        <f t="shared" si="3"/>
        <v>1722.1973270959056</v>
      </c>
      <c r="G51" s="93"/>
      <c r="H51" s="96"/>
      <c r="I51" s="95"/>
      <c r="K51" s="93"/>
      <c r="L51" s="96"/>
      <c r="M51" s="95"/>
      <c r="O51" s="408">
        <v>0</v>
      </c>
      <c r="P51" s="409">
        <v>2560.92</v>
      </c>
      <c r="Q51" s="410">
        <v>10992.7</v>
      </c>
      <c r="S51" s="97">
        <f t="shared" si="2"/>
        <v>1354.9311720635442</v>
      </c>
      <c r="T51" s="98">
        <f t="shared" si="2"/>
        <v>2928.1861550323615</v>
      </c>
      <c r="U51" s="99">
        <f t="shared" si="4"/>
        <v>4283.1173270959061</v>
      </c>
    </row>
    <row r="52" spans="1:21" ht="15" customHeight="1" x14ac:dyDescent="0.3">
      <c r="A52" s="65">
        <f t="shared" si="1"/>
        <v>31</v>
      </c>
      <c r="B52" s="101">
        <v>46266</v>
      </c>
      <c r="C52" s="102">
        <v>1364.585056664497</v>
      </c>
      <c r="D52" s="102">
        <v>357.61227043140866</v>
      </c>
      <c r="E52" s="103">
        <f t="shared" si="3"/>
        <v>1722.1973270959056</v>
      </c>
      <c r="G52" s="93"/>
      <c r="H52" s="96"/>
      <c r="I52" s="95"/>
      <c r="K52" s="93"/>
      <c r="L52" s="96"/>
      <c r="M52" s="95"/>
      <c r="O52" s="408">
        <v>0</v>
      </c>
      <c r="P52" s="409">
        <v>2795.37</v>
      </c>
      <c r="Q52" s="410">
        <v>11227.15</v>
      </c>
      <c r="S52" s="97">
        <f t="shared" si="2"/>
        <v>1364.585056664497</v>
      </c>
      <c r="T52" s="98">
        <f t="shared" si="2"/>
        <v>3152.9822704314083</v>
      </c>
      <c r="U52" s="99">
        <f t="shared" si="4"/>
        <v>4517.5673270959051</v>
      </c>
    </row>
    <row r="53" spans="1:21" ht="15" customHeight="1" x14ac:dyDescent="0.3">
      <c r="A53" s="65">
        <f t="shared" si="1"/>
        <v>32</v>
      </c>
      <c r="B53" s="101">
        <v>46296</v>
      </c>
      <c r="C53" s="102">
        <v>1374.3077251932314</v>
      </c>
      <c r="D53" s="102">
        <v>347.8896019026742</v>
      </c>
      <c r="E53" s="103">
        <f t="shared" si="3"/>
        <v>1722.1973270959056</v>
      </c>
      <c r="G53" s="93"/>
      <c r="H53" s="96"/>
      <c r="I53" s="95"/>
      <c r="K53" s="93"/>
      <c r="L53" s="96"/>
      <c r="M53" s="95"/>
      <c r="O53" s="408">
        <v>8431.7800000000007</v>
      </c>
      <c r="P53" s="409">
        <v>2666.55</v>
      </c>
      <c r="Q53" s="410">
        <v>11098.33</v>
      </c>
      <c r="S53" s="97">
        <f t="shared" si="2"/>
        <v>9806.0877251932325</v>
      </c>
      <c r="T53" s="98">
        <f t="shared" si="2"/>
        <v>3014.4396019026744</v>
      </c>
      <c r="U53" s="99">
        <f t="shared" si="4"/>
        <v>12820.527327095908</v>
      </c>
    </row>
    <row r="54" spans="1:21" ht="15" customHeight="1" x14ac:dyDescent="0.3">
      <c r="A54" s="65">
        <f t="shared" si="1"/>
        <v>33</v>
      </c>
      <c r="B54" s="101">
        <v>46327</v>
      </c>
      <c r="C54" s="102">
        <v>1384.0996677352332</v>
      </c>
      <c r="D54" s="102">
        <v>338.09765936067237</v>
      </c>
      <c r="E54" s="103">
        <f t="shared" si="3"/>
        <v>1722.1973270959056</v>
      </c>
      <c r="G54" s="93"/>
      <c r="H54" s="96"/>
      <c r="I54" s="95"/>
      <c r="K54" s="93"/>
      <c r="L54" s="96"/>
      <c r="M54" s="95"/>
      <c r="O54" s="408">
        <v>8431.7800000000007</v>
      </c>
      <c r="P54" s="409">
        <v>2715.51</v>
      </c>
      <c r="Q54" s="410">
        <v>11147.29</v>
      </c>
      <c r="S54" s="97">
        <f t="shared" si="2"/>
        <v>9815.8796677352329</v>
      </c>
      <c r="T54" s="98">
        <f t="shared" si="2"/>
        <v>3053.6076593606726</v>
      </c>
      <c r="U54" s="99">
        <f t="shared" si="4"/>
        <v>12869.487327095905</v>
      </c>
    </row>
    <row r="55" spans="1:21" ht="15" customHeight="1" x14ac:dyDescent="0.3">
      <c r="A55" s="65">
        <f t="shared" si="1"/>
        <v>34</v>
      </c>
      <c r="B55" s="101">
        <v>46357</v>
      </c>
      <c r="C55" s="102">
        <v>1393.9613778678467</v>
      </c>
      <c r="D55" s="102">
        <v>328.23594922805887</v>
      </c>
      <c r="E55" s="103">
        <f t="shared" si="3"/>
        <v>1722.1973270959056</v>
      </c>
      <c r="G55" s="93"/>
      <c r="H55" s="96"/>
      <c r="I55" s="95"/>
      <c r="K55" s="93"/>
      <c r="L55" s="96"/>
      <c r="M55" s="95"/>
      <c r="O55" s="408">
        <v>8431.7800000000007</v>
      </c>
      <c r="P55" s="409">
        <v>2589.2600000000002</v>
      </c>
      <c r="Q55" s="410">
        <v>11021.04</v>
      </c>
      <c r="S55" s="97">
        <f t="shared" si="2"/>
        <v>9825.7413778678474</v>
      </c>
      <c r="T55" s="98">
        <f t="shared" si="2"/>
        <v>2917.4959492280591</v>
      </c>
      <c r="U55" s="99">
        <f t="shared" si="4"/>
        <v>12743.237327095907</v>
      </c>
    </row>
    <row r="56" spans="1:21" ht="15" customHeight="1" x14ac:dyDescent="0.3">
      <c r="A56" s="65">
        <f t="shared" si="1"/>
        <v>35</v>
      </c>
      <c r="B56" s="101">
        <v>46388</v>
      </c>
      <c r="C56" s="102">
        <v>1403.8933526851552</v>
      </c>
      <c r="D56" s="102">
        <v>318.30397441075041</v>
      </c>
      <c r="E56" s="103">
        <f t="shared" si="3"/>
        <v>1722.1973270959056</v>
      </c>
      <c r="G56" s="93"/>
      <c r="H56" s="96"/>
      <c r="I56" s="95"/>
      <c r="K56" s="93"/>
      <c r="L56" s="96"/>
      <c r="M56" s="95"/>
      <c r="O56" s="408">
        <v>8431.7800000000007</v>
      </c>
      <c r="P56" s="409">
        <v>2635.64</v>
      </c>
      <c r="Q56" s="410">
        <v>11067.42</v>
      </c>
      <c r="S56" s="97">
        <f t="shared" si="2"/>
        <v>9835.6733526851567</v>
      </c>
      <c r="T56" s="98">
        <f t="shared" si="2"/>
        <v>2953.9439744107503</v>
      </c>
      <c r="U56" s="99">
        <f t="shared" si="4"/>
        <v>12789.617327095908</v>
      </c>
    </row>
    <row r="57" spans="1:21" ht="15" customHeight="1" x14ac:dyDescent="0.3">
      <c r="A57" s="65">
        <f t="shared" si="1"/>
        <v>36</v>
      </c>
      <c r="B57" s="101">
        <v>46419</v>
      </c>
      <c r="C57" s="102">
        <v>1413.896092823037</v>
      </c>
      <c r="D57" s="102">
        <v>308.30123427286873</v>
      </c>
      <c r="E57" s="103">
        <f t="shared" si="3"/>
        <v>1722.1973270959056</v>
      </c>
      <c r="G57" s="93"/>
      <c r="H57" s="96"/>
      <c r="I57" s="95"/>
      <c r="K57" s="93"/>
      <c r="L57" s="96"/>
      <c r="M57" s="95"/>
      <c r="O57" s="408">
        <v>8431.7800000000007</v>
      </c>
      <c r="P57" s="409">
        <v>2595.6999999999998</v>
      </c>
      <c r="Q57" s="410">
        <v>11027.48</v>
      </c>
      <c r="S57" s="97">
        <f t="shared" si="2"/>
        <v>9845.6760928230378</v>
      </c>
      <c r="T57" s="98">
        <f t="shared" si="2"/>
        <v>2904.0012342728687</v>
      </c>
      <c r="U57" s="99">
        <f t="shared" si="4"/>
        <v>12749.677327095906</v>
      </c>
    </row>
    <row r="58" spans="1:21" ht="15" customHeight="1" x14ac:dyDescent="0.3">
      <c r="A58" s="65">
        <f t="shared" si="1"/>
        <v>37</v>
      </c>
      <c r="B58" s="101">
        <v>46447</v>
      </c>
      <c r="C58" s="102">
        <v>1423.970102484401</v>
      </c>
      <c r="D58" s="102">
        <v>298.2272246115046</v>
      </c>
      <c r="E58" s="103">
        <f t="shared" si="3"/>
        <v>1722.1973270959056</v>
      </c>
      <c r="G58" s="93"/>
      <c r="H58" s="96"/>
      <c r="I58" s="95"/>
      <c r="K58" s="93"/>
      <c r="L58" s="96"/>
      <c r="M58" s="95"/>
      <c r="O58" s="408">
        <v>8431.7800000000007</v>
      </c>
      <c r="P58" s="409">
        <v>2473.33</v>
      </c>
      <c r="Q58" s="410">
        <v>10905.11</v>
      </c>
      <c r="S58" s="97">
        <f t="shared" si="2"/>
        <v>9855.7501024844023</v>
      </c>
      <c r="T58" s="98">
        <f t="shared" si="2"/>
        <v>2771.5572246115044</v>
      </c>
      <c r="U58" s="99">
        <f t="shared" si="4"/>
        <v>12627.307327095907</v>
      </c>
    </row>
    <row r="59" spans="1:21" ht="15" customHeight="1" x14ac:dyDescent="0.3">
      <c r="A59" s="65">
        <f t="shared" si="1"/>
        <v>38</v>
      </c>
      <c r="B59" s="101">
        <v>46478</v>
      </c>
      <c r="C59" s="102">
        <v>1434.1158894646023</v>
      </c>
      <c r="D59" s="102">
        <v>288.08143763130323</v>
      </c>
      <c r="E59" s="103">
        <f t="shared" si="3"/>
        <v>1722.1973270959056</v>
      </c>
      <c r="G59" s="93"/>
      <c r="H59" s="96"/>
      <c r="I59" s="95"/>
      <c r="K59" s="93"/>
      <c r="L59" s="96"/>
      <c r="M59" s="95"/>
      <c r="O59" s="408">
        <v>8431.7800000000007</v>
      </c>
      <c r="P59" s="409">
        <v>2515.84</v>
      </c>
      <c r="Q59" s="410">
        <v>10947.62</v>
      </c>
      <c r="S59" s="97">
        <f t="shared" si="2"/>
        <v>9865.8958894646021</v>
      </c>
      <c r="T59" s="98">
        <f t="shared" si="2"/>
        <v>2803.9214376313034</v>
      </c>
      <c r="U59" s="99">
        <f t="shared" si="4"/>
        <v>12669.817327095905</v>
      </c>
    </row>
    <row r="60" spans="1:21" ht="15" customHeight="1" x14ac:dyDescent="0.3">
      <c r="A60" s="65">
        <f t="shared" si="1"/>
        <v>39</v>
      </c>
      <c r="B60" s="101">
        <v>46508</v>
      </c>
      <c r="C60" s="102">
        <v>1444.3339651770377</v>
      </c>
      <c r="D60" s="102">
        <v>277.86336191886795</v>
      </c>
      <c r="E60" s="103">
        <f t="shared" si="3"/>
        <v>1722.1973270959056</v>
      </c>
      <c r="G60" s="93"/>
      <c r="H60" s="96"/>
      <c r="I60" s="95"/>
      <c r="K60" s="93"/>
      <c r="L60" s="96"/>
      <c r="M60" s="95"/>
      <c r="O60" s="408">
        <v>8431.7800000000007</v>
      </c>
      <c r="P60" s="409">
        <v>2396.0300000000002</v>
      </c>
      <c r="Q60" s="410">
        <v>10827.81</v>
      </c>
      <c r="S60" s="97">
        <f t="shared" si="2"/>
        <v>9876.1139651770391</v>
      </c>
      <c r="T60" s="98">
        <f t="shared" si="2"/>
        <v>2673.8933619188683</v>
      </c>
      <c r="U60" s="99">
        <f t="shared" si="4"/>
        <v>12550.007327095907</v>
      </c>
    </row>
    <row r="61" spans="1:21" ht="15" customHeight="1" x14ac:dyDescent="0.3">
      <c r="A61" s="65">
        <f t="shared" si="1"/>
        <v>40</v>
      </c>
      <c r="B61" s="101">
        <v>46539</v>
      </c>
      <c r="C61" s="102">
        <v>1454.6248446789241</v>
      </c>
      <c r="D61" s="102">
        <v>267.57248241698153</v>
      </c>
      <c r="E61" s="103">
        <f t="shared" si="3"/>
        <v>1722.1973270959056</v>
      </c>
      <c r="G61" s="93"/>
      <c r="H61" s="96"/>
      <c r="I61" s="95"/>
      <c r="K61" s="93"/>
      <c r="L61" s="96"/>
      <c r="M61" s="95"/>
      <c r="O61" s="408">
        <v>8431.7800000000007</v>
      </c>
      <c r="P61" s="409">
        <v>2435.9699999999998</v>
      </c>
      <c r="Q61" s="410">
        <v>10867.75</v>
      </c>
      <c r="S61" s="97">
        <f t="shared" si="2"/>
        <v>9886.4048446789238</v>
      </c>
      <c r="T61" s="98">
        <f t="shared" si="2"/>
        <v>2703.5424824169813</v>
      </c>
      <c r="U61" s="99">
        <f t="shared" si="4"/>
        <v>12589.947327095906</v>
      </c>
    </row>
    <row r="62" spans="1:21" ht="15" customHeight="1" x14ac:dyDescent="0.3">
      <c r="A62" s="65">
        <f t="shared" si="1"/>
        <v>41</v>
      </c>
      <c r="B62" s="100">
        <v>46569</v>
      </c>
      <c r="C62" s="93">
        <v>1464.9890466972615</v>
      </c>
      <c r="D62" s="93">
        <v>257.20828039864421</v>
      </c>
      <c r="E62" s="95">
        <f t="shared" si="3"/>
        <v>1722.1973270959056</v>
      </c>
      <c r="G62" s="93"/>
      <c r="H62" s="96"/>
      <c r="I62" s="95"/>
      <c r="K62" s="93"/>
      <c r="L62" s="96"/>
      <c r="M62" s="95"/>
      <c r="O62" s="408">
        <v>8431.7800000000007</v>
      </c>
      <c r="P62" s="409">
        <v>2396.0300000000002</v>
      </c>
      <c r="Q62" s="410">
        <v>10827.81</v>
      </c>
      <c r="S62" s="97">
        <f t="shared" si="2"/>
        <v>9896.7690466972617</v>
      </c>
      <c r="T62" s="98">
        <f t="shared" si="2"/>
        <v>2653.2382803986443</v>
      </c>
      <c r="U62" s="99">
        <f t="shared" si="4"/>
        <v>12550.007327095906</v>
      </c>
    </row>
    <row r="63" spans="1:21" ht="15" customHeight="1" x14ac:dyDescent="0.3">
      <c r="A63" s="65">
        <f t="shared" si="1"/>
        <v>42</v>
      </c>
      <c r="B63" s="100">
        <v>46600</v>
      </c>
      <c r="C63" s="93">
        <v>1475.4270936549794</v>
      </c>
      <c r="D63" s="93">
        <v>246.77023344092618</v>
      </c>
      <c r="E63" s="95">
        <f t="shared" si="3"/>
        <v>1722.1973270959056</v>
      </c>
      <c r="G63" s="93"/>
      <c r="H63" s="96"/>
      <c r="I63" s="95"/>
      <c r="K63" s="93"/>
      <c r="L63" s="96"/>
      <c r="M63" s="95"/>
      <c r="O63" s="408">
        <v>8431.7800000000007</v>
      </c>
      <c r="P63" s="409">
        <v>2128.09</v>
      </c>
      <c r="Q63" s="410">
        <v>10559.87</v>
      </c>
      <c r="S63" s="97">
        <f t="shared" si="2"/>
        <v>9907.2070936549808</v>
      </c>
      <c r="T63" s="98">
        <f t="shared" si="2"/>
        <v>2374.8602334409261</v>
      </c>
      <c r="U63" s="99">
        <f t="shared" si="4"/>
        <v>12282.067327095907</v>
      </c>
    </row>
    <row r="64" spans="1:21" ht="15" customHeight="1" x14ac:dyDescent="0.3">
      <c r="A64" s="65">
        <f t="shared" si="1"/>
        <v>43</v>
      </c>
      <c r="B64" s="100">
        <v>46631</v>
      </c>
      <c r="C64" s="93">
        <v>1485.9395116972712</v>
      </c>
      <c r="D64" s="93">
        <v>236.25781539863445</v>
      </c>
      <c r="E64" s="95">
        <f t="shared" si="3"/>
        <v>1722.1973270959056</v>
      </c>
      <c r="G64" s="93"/>
      <c r="H64" s="96"/>
      <c r="I64" s="95"/>
      <c r="K64" s="93"/>
      <c r="L64" s="96"/>
      <c r="M64" s="95"/>
      <c r="O64" s="408">
        <v>8431.7800000000007</v>
      </c>
      <c r="P64" s="409">
        <v>2316.17</v>
      </c>
      <c r="Q64" s="410">
        <v>10747.95</v>
      </c>
      <c r="S64" s="97">
        <f t="shared" si="2"/>
        <v>9917.7195116972725</v>
      </c>
      <c r="T64" s="98">
        <f t="shared" si="2"/>
        <v>2552.4278153986347</v>
      </c>
      <c r="U64" s="99">
        <f t="shared" si="4"/>
        <v>12470.147327095907</v>
      </c>
    </row>
    <row r="65" spans="1:21" x14ac:dyDescent="0.3">
      <c r="A65" s="65">
        <f t="shared" si="1"/>
        <v>44</v>
      </c>
      <c r="B65" s="100">
        <v>46661</v>
      </c>
      <c r="C65" s="93">
        <v>1496.5268307181143</v>
      </c>
      <c r="D65" s="93">
        <v>225.67049637779141</v>
      </c>
      <c r="E65" s="95">
        <f t="shared" si="3"/>
        <v>1722.1973270959056</v>
      </c>
      <c r="G65" s="304"/>
      <c r="H65" s="305"/>
      <c r="I65" s="306"/>
      <c r="K65" s="304"/>
      <c r="L65" s="305"/>
      <c r="M65" s="306"/>
      <c r="O65" s="408">
        <v>8431.7800000000007</v>
      </c>
      <c r="P65" s="409">
        <v>2202.81</v>
      </c>
      <c r="Q65" s="410">
        <v>10634.59</v>
      </c>
      <c r="S65" s="307"/>
      <c r="T65" s="308"/>
      <c r="U65" s="309"/>
    </row>
    <row r="66" spans="1:21" x14ac:dyDescent="0.3">
      <c r="A66" s="65">
        <f t="shared" si="1"/>
        <v>45</v>
      </c>
      <c r="B66" s="100">
        <v>46692</v>
      </c>
      <c r="C66" s="93">
        <v>1507.1895843869809</v>
      </c>
      <c r="D66" s="93">
        <v>215.00774270892484</v>
      </c>
      <c r="E66" s="95">
        <f t="shared" si="3"/>
        <v>1722.1973270959056</v>
      </c>
      <c r="F66" s="67"/>
      <c r="G66" s="310"/>
      <c r="H66" s="310"/>
      <c r="I66" s="311"/>
      <c r="J66" s="67"/>
      <c r="K66" s="312"/>
      <c r="L66" s="312"/>
      <c r="M66" s="313"/>
      <c r="N66" s="67"/>
      <c r="O66" s="408">
        <v>8431.7800000000007</v>
      </c>
      <c r="P66" s="409">
        <v>2236.3000000000002</v>
      </c>
      <c r="Q66" s="410">
        <v>10668.08</v>
      </c>
      <c r="S66" s="111">
        <f>SUM(S25:S65)</f>
        <v>153108.30787680123</v>
      </c>
      <c r="T66" s="111">
        <f>SUM(T25:T65)</f>
        <v>83159.745873701657</v>
      </c>
      <c r="U66" s="112">
        <f>SUM(U25:U65)</f>
        <v>236268.05375050288</v>
      </c>
    </row>
    <row r="67" spans="1:21" x14ac:dyDescent="0.3">
      <c r="A67" s="65">
        <f t="shared" si="1"/>
        <v>46</v>
      </c>
      <c r="B67" s="100">
        <v>46722</v>
      </c>
      <c r="C67" s="93">
        <v>1517.928310175738</v>
      </c>
      <c r="D67" s="93">
        <v>204.26901692016759</v>
      </c>
      <c r="E67" s="95">
        <f t="shared" si="3"/>
        <v>1722.1973270959056</v>
      </c>
      <c r="O67" s="408">
        <v>8431.7800000000007</v>
      </c>
      <c r="P67" s="409">
        <v>2125.52</v>
      </c>
      <c r="Q67" s="410">
        <v>10557.3</v>
      </c>
    </row>
    <row r="68" spans="1:21" x14ac:dyDescent="0.3">
      <c r="A68" s="65">
        <f t="shared" si="1"/>
        <v>47</v>
      </c>
      <c r="B68" s="100">
        <v>46753</v>
      </c>
      <c r="C68" s="93">
        <v>1528.7435493857402</v>
      </c>
      <c r="D68" s="93">
        <v>193.45377771016544</v>
      </c>
      <c r="E68" s="95">
        <f t="shared" si="3"/>
        <v>1722.1973270959056</v>
      </c>
      <c r="O68" s="408">
        <v>8431.7800000000007</v>
      </c>
      <c r="P68" s="409">
        <v>2156.4299999999998</v>
      </c>
      <c r="Q68" s="410">
        <v>10588.21</v>
      </c>
      <c r="U68" s="113"/>
    </row>
    <row r="69" spans="1:21" x14ac:dyDescent="0.3">
      <c r="A69" s="65">
        <f t="shared" si="1"/>
        <v>48</v>
      </c>
      <c r="B69" s="100">
        <v>46784</v>
      </c>
      <c r="C69" s="93">
        <v>1539.6358471751137</v>
      </c>
      <c r="D69" s="93">
        <v>182.56147992079204</v>
      </c>
      <c r="E69" s="95">
        <f t="shared" si="3"/>
        <v>1722.1973270959056</v>
      </c>
      <c r="O69" s="408">
        <v>8431.7800000000007</v>
      </c>
      <c r="P69" s="409">
        <v>2116.5</v>
      </c>
      <c r="Q69" s="410">
        <v>10548.28</v>
      </c>
      <c r="U69" s="113"/>
    </row>
    <row r="70" spans="1:21" x14ac:dyDescent="0.3">
      <c r="A70" s="65">
        <f t="shared" si="1"/>
        <v>49</v>
      </c>
      <c r="B70" s="100">
        <v>46813</v>
      </c>
      <c r="C70" s="93">
        <v>1550.6057525862361</v>
      </c>
      <c r="D70" s="93">
        <v>171.59157450966939</v>
      </c>
      <c r="E70" s="95">
        <f t="shared" si="3"/>
        <v>1722.1973270959056</v>
      </c>
      <c r="O70" s="408">
        <v>8431.7800000000007</v>
      </c>
      <c r="P70" s="409">
        <v>2009.58</v>
      </c>
      <c r="Q70" s="410">
        <v>10441.36</v>
      </c>
    </row>
    <row r="71" spans="1:21" x14ac:dyDescent="0.3">
      <c r="A71" s="65">
        <f t="shared" si="1"/>
        <v>50</v>
      </c>
      <c r="B71" s="100">
        <v>46844</v>
      </c>
      <c r="C71" s="93">
        <v>1561.6538185734132</v>
      </c>
      <c r="D71" s="93">
        <v>160.54350852249246</v>
      </c>
      <c r="E71" s="95">
        <f t="shared" si="3"/>
        <v>1722.1973270959056</v>
      </c>
      <c r="O71" s="408">
        <v>8431.7800000000007</v>
      </c>
      <c r="P71" s="409">
        <v>2036.63</v>
      </c>
      <c r="Q71" s="410">
        <v>10468.41</v>
      </c>
    </row>
    <row r="72" spans="1:21" x14ac:dyDescent="0.3">
      <c r="A72" s="65">
        <f t="shared" si="1"/>
        <v>51</v>
      </c>
      <c r="B72" s="100">
        <v>46874</v>
      </c>
      <c r="C72" s="93">
        <v>1572.7806020307487</v>
      </c>
      <c r="D72" s="93">
        <v>149.4167250651569</v>
      </c>
      <c r="E72" s="95">
        <f t="shared" si="3"/>
        <v>1722.1973270959056</v>
      </c>
      <c r="O72" s="408">
        <v>8431.7800000000007</v>
      </c>
      <c r="P72" s="409">
        <v>1932.29</v>
      </c>
      <c r="Q72" s="410">
        <v>10364.07</v>
      </c>
    </row>
    <row r="73" spans="1:21" x14ac:dyDescent="0.3">
      <c r="A73" s="65">
        <f t="shared" si="1"/>
        <v>52</v>
      </c>
      <c r="B73" s="100">
        <v>46905</v>
      </c>
      <c r="C73" s="93">
        <v>1583.9866638202179</v>
      </c>
      <c r="D73" s="93">
        <v>138.21066327568781</v>
      </c>
      <c r="E73" s="95">
        <f t="shared" si="3"/>
        <v>1722.1973270959056</v>
      </c>
      <c r="O73" s="408">
        <v>8431.7800000000007</v>
      </c>
      <c r="P73" s="409">
        <v>1956.76</v>
      </c>
      <c r="Q73" s="410">
        <v>10388.540000000001</v>
      </c>
    </row>
    <row r="74" spans="1:21" x14ac:dyDescent="0.3">
      <c r="A74" s="65">
        <f t="shared" si="1"/>
        <v>53</v>
      </c>
      <c r="B74" s="100">
        <v>46935</v>
      </c>
      <c r="C74" s="93">
        <v>1595.2725687999368</v>
      </c>
      <c r="D74" s="93">
        <v>126.92475829596874</v>
      </c>
      <c r="E74" s="95">
        <f t="shared" si="3"/>
        <v>1722.1973270959056</v>
      </c>
      <c r="O74" s="408">
        <v>8431.7800000000007</v>
      </c>
      <c r="P74" s="409">
        <v>1916.83</v>
      </c>
      <c r="Q74" s="410">
        <v>10348.61</v>
      </c>
    </row>
    <row r="75" spans="1:21" x14ac:dyDescent="0.3">
      <c r="A75" s="65">
        <f t="shared" si="1"/>
        <v>54</v>
      </c>
      <c r="B75" s="100">
        <v>46966</v>
      </c>
      <c r="C75" s="93">
        <v>1606.6388858526363</v>
      </c>
      <c r="D75" s="93">
        <v>115.5584412432692</v>
      </c>
      <c r="E75" s="95">
        <f t="shared" si="3"/>
        <v>1722.1973270959056</v>
      </c>
      <c r="O75" s="408">
        <v>8431.7800000000007</v>
      </c>
      <c r="P75" s="409">
        <v>1695.26</v>
      </c>
      <c r="Q75" s="410">
        <v>10127.040000000001</v>
      </c>
    </row>
    <row r="76" spans="1:21" x14ac:dyDescent="0.3">
      <c r="A76" s="65">
        <f t="shared" si="1"/>
        <v>55</v>
      </c>
      <c r="B76" s="100">
        <v>46997</v>
      </c>
      <c r="C76" s="93">
        <v>1618.0861879143365</v>
      </c>
      <c r="D76" s="93">
        <v>104.11113918156916</v>
      </c>
      <c r="E76" s="95">
        <f t="shared" si="3"/>
        <v>1722.1973270959056</v>
      </c>
      <c r="O76" s="408">
        <v>8431.7800000000007</v>
      </c>
      <c r="P76" s="409">
        <v>1836.96</v>
      </c>
      <c r="Q76" s="410">
        <v>10268.74</v>
      </c>
    </row>
    <row r="77" spans="1:21" x14ac:dyDescent="0.3">
      <c r="A77" s="65">
        <f t="shared" si="1"/>
        <v>56</v>
      </c>
      <c r="B77" s="100">
        <v>47027</v>
      </c>
      <c r="C77" s="93">
        <v>1629.6150520032261</v>
      </c>
      <c r="D77" s="93">
        <v>92.582275092679524</v>
      </c>
      <c r="E77" s="95">
        <f t="shared" si="3"/>
        <v>1722.1973270959056</v>
      </c>
      <c r="O77" s="408">
        <v>8431.7800000000007</v>
      </c>
      <c r="P77" s="409">
        <v>1739.06</v>
      </c>
      <c r="Q77" s="410">
        <v>10170.84</v>
      </c>
    </row>
    <row r="78" spans="1:21" x14ac:dyDescent="0.3">
      <c r="A78" s="65">
        <f t="shared" si="1"/>
        <v>57</v>
      </c>
      <c r="B78" s="100">
        <v>47058</v>
      </c>
      <c r="C78" s="93">
        <v>1641.2260592487492</v>
      </c>
      <c r="D78" s="93">
        <v>80.971267847156525</v>
      </c>
      <c r="E78" s="95">
        <f t="shared" si="3"/>
        <v>1722.1973270959056</v>
      </c>
      <c r="O78" s="408">
        <v>8431.7800000000007</v>
      </c>
      <c r="P78" s="409">
        <v>1757.09</v>
      </c>
      <c r="Q78" s="410">
        <v>10188.870000000001</v>
      </c>
    </row>
    <row r="79" spans="1:21" x14ac:dyDescent="0.3">
      <c r="A79" s="65">
        <f t="shared" si="1"/>
        <v>58</v>
      </c>
      <c r="B79" s="100">
        <v>47088</v>
      </c>
      <c r="C79" s="93">
        <v>1652.9197949208965</v>
      </c>
      <c r="D79" s="93">
        <v>69.277532175009185</v>
      </c>
      <c r="E79" s="95">
        <f t="shared" si="3"/>
        <v>1722.1973270959056</v>
      </c>
      <c r="O79" s="408">
        <v>8431.7800000000007</v>
      </c>
      <c r="P79" s="409">
        <v>1661.77</v>
      </c>
      <c r="Q79" s="410">
        <v>10093.549999999999</v>
      </c>
    </row>
    <row r="80" spans="1:21" x14ac:dyDescent="0.3">
      <c r="A80" s="65">
        <f t="shared" si="1"/>
        <v>59</v>
      </c>
      <c r="B80" s="100">
        <v>47119</v>
      </c>
      <c r="C80" s="93">
        <v>1664.6968484597078</v>
      </c>
      <c r="D80" s="93">
        <v>57.500478636197791</v>
      </c>
      <c r="E80" s="95">
        <f t="shared" si="3"/>
        <v>1722.1973270959056</v>
      </c>
      <c r="O80" s="408">
        <v>8431.7800000000007</v>
      </c>
      <c r="P80" s="409">
        <v>1677.23</v>
      </c>
      <c r="Q80" s="410">
        <v>10109.01</v>
      </c>
    </row>
    <row r="81" spans="1:17" x14ac:dyDescent="0.3">
      <c r="A81" s="65">
        <f t="shared" si="1"/>
        <v>60</v>
      </c>
      <c r="B81" s="100">
        <v>47150</v>
      </c>
      <c r="C81" s="93">
        <v>1676.5578135049832</v>
      </c>
      <c r="D81" s="93">
        <v>45.639513590922377</v>
      </c>
      <c r="E81" s="95">
        <f t="shared" si="3"/>
        <v>1722.1973270959056</v>
      </c>
      <c r="O81" s="408">
        <v>8431.7800000000007</v>
      </c>
      <c r="P81" s="409">
        <v>1637.29</v>
      </c>
      <c r="Q81" s="410">
        <v>10069.07</v>
      </c>
    </row>
    <row r="82" spans="1:17" x14ac:dyDescent="0.3">
      <c r="A82" s="65">
        <f t="shared" si="1"/>
        <v>61</v>
      </c>
      <c r="B82" s="100">
        <v>47178</v>
      </c>
      <c r="C82" s="93">
        <v>1688.5032879262062</v>
      </c>
      <c r="D82" s="93">
        <v>33.694039169699366</v>
      </c>
      <c r="E82" s="95">
        <f t="shared" si="3"/>
        <v>1722.1973270959056</v>
      </c>
      <c r="O82" s="408">
        <v>8431.7800000000007</v>
      </c>
      <c r="P82" s="409">
        <v>1545.83</v>
      </c>
      <c r="Q82" s="410">
        <v>9977.61</v>
      </c>
    </row>
    <row r="83" spans="1:17" x14ac:dyDescent="0.3">
      <c r="A83" s="65">
        <f t="shared" si="1"/>
        <v>62</v>
      </c>
      <c r="B83" s="100">
        <v>47209</v>
      </c>
      <c r="C83" s="93">
        <v>1700.5338738526805</v>
      </c>
      <c r="D83" s="93">
        <v>21.663453243225145</v>
      </c>
      <c r="E83" s="95">
        <f t="shared" si="3"/>
        <v>1722.1973270959056</v>
      </c>
      <c r="O83" s="408">
        <v>8431.7800000000007</v>
      </c>
      <c r="P83" s="409">
        <v>1557.42</v>
      </c>
      <c r="Q83" s="410">
        <v>9989.2000000000007</v>
      </c>
    </row>
    <row r="84" spans="1:17" x14ac:dyDescent="0.3">
      <c r="A84" s="65">
        <f t="shared" si="1"/>
        <v>63</v>
      </c>
      <c r="B84" s="100">
        <v>47239</v>
      </c>
      <c r="C84" s="93">
        <v>1340</v>
      </c>
      <c r="D84" s="93">
        <v>0</v>
      </c>
      <c r="E84" s="95">
        <f t="shared" si="3"/>
        <v>1340</v>
      </c>
      <c r="O84" s="408">
        <v>8431.7800000000007</v>
      </c>
      <c r="P84" s="409">
        <v>1468.54</v>
      </c>
      <c r="Q84" s="410">
        <v>9900.32</v>
      </c>
    </row>
    <row r="85" spans="1:17" x14ac:dyDescent="0.3">
      <c r="A85" s="65">
        <f t="shared" si="1"/>
        <v>64</v>
      </c>
      <c r="B85" s="342" t="s">
        <v>103</v>
      </c>
      <c r="C85" s="106">
        <f>SUM(C25:C84)</f>
        <v>83600.049208136828</v>
      </c>
      <c r="D85" s="107">
        <f>SUM(D25:D84)</f>
        <v>19349.59309052155</v>
      </c>
      <c r="E85" s="108">
        <f>SUM(E25:E84)</f>
        <v>102949.64229865831</v>
      </c>
      <c r="O85" s="411">
        <v>8431.7800000000007</v>
      </c>
      <c r="P85" s="411">
        <v>1468.54</v>
      </c>
      <c r="Q85" s="411">
        <v>9900.32</v>
      </c>
    </row>
  </sheetData>
  <mergeCells count="5">
    <mergeCell ref="C22:E22"/>
    <mergeCell ref="G22:I22"/>
    <mergeCell ref="K22:M22"/>
    <mergeCell ref="O22:Q22"/>
    <mergeCell ref="S22:U22"/>
  </mergeCells>
  <pageMargins left="0.7" right="0.7" top="0.75" bottom="0.75" header="0.3" footer="0.3"/>
  <pageSetup scale="65" orientation="portrait" r:id="rId1"/>
  <headerFooter>
    <oddFooter>&amp;R&amp;P of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AAD1-06BA-499B-856C-ECE553B6D46C}">
  <sheetPr>
    <tabColor theme="8" tint="-0.249977111117893"/>
  </sheetPr>
  <dimension ref="A1:E34"/>
  <sheetViews>
    <sheetView view="pageBreakPreview" zoomScale="60" zoomScaleNormal="100" workbookViewId="0">
      <selection activeCell="G31" sqref="G31"/>
    </sheetView>
  </sheetViews>
  <sheetFormatPr defaultRowHeight="14.4" x14ac:dyDescent="0.3"/>
  <cols>
    <col min="1" max="1" width="44.88671875" customWidth="1"/>
    <col min="2" max="4" width="16.6640625" customWidth="1"/>
    <col min="5" max="5" width="16.109375" customWidth="1"/>
    <col min="6" max="6" width="39.6640625" customWidth="1"/>
    <col min="7" max="7" width="59.33203125" customWidth="1"/>
  </cols>
  <sheetData>
    <row r="1" spans="1:5" ht="18.600000000000001" thickBot="1" x14ac:dyDescent="0.4">
      <c r="A1" s="2" t="str">
        <f>'JEC-Jurczyk-2'!B1</f>
        <v>Jacksonville Village Electric Utility</v>
      </c>
      <c r="E1" s="4" t="s">
        <v>276</v>
      </c>
    </row>
    <row r="2" spans="1:5" ht="18" x14ac:dyDescent="0.35">
      <c r="A2" s="2" t="str">
        <f>'JEC-Jurczyk-2'!B2</f>
        <v>Rate Case Study</v>
      </c>
    </row>
    <row r="3" spans="1:5" ht="15.6" x14ac:dyDescent="0.3">
      <c r="A3" s="6" t="s">
        <v>279</v>
      </c>
    </row>
    <row r="4" spans="1:5" ht="15.6" x14ac:dyDescent="0.3">
      <c r="A4" s="7" t="s">
        <v>4</v>
      </c>
      <c r="B4" s="8" t="str">
        <f>'JEC-Jurczyk-2'!C4</f>
        <v>12 months ending December 31, 2025</v>
      </c>
    </row>
    <row r="5" spans="1:5" ht="15.6" x14ac:dyDescent="0.3">
      <c r="A5" s="7" t="s">
        <v>6</v>
      </c>
      <c r="B5" s="8" t="str">
        <f>'JEC-Jurczyk-2'!C5</f>
        <v>July 5, 2026 - July 4, 2027</v>
      </c>
    </row>
    <row r="6" spans="1:5" ht="15.6" x14ac:dyDescent="0.3">
      <c r="A6" s="7" t="s">
        <v>8</v>
      </c>
      <c r="B6" s="9">
        <f>'JEC-Jurczyk-2'!C6</f>
        <v>46163</v>
      </c>
    </row>
    <row r="8" spans="1:5" x14ac:dyDescent="0.3">
      <c r="B8" s="314"/>
      <c r="C8" s="314"/>
      <c r="D8" s="314"/>
      <c r="E8" s="189"/>
    </row>
    <row r="9" spans="1:5" x14ac:dyDescent="0.3">
      <c r="A9" s="315"/>
    </row>
    <row r="10" spans="1:5" x14ac:dyDescent="0.3">
      <c r="B10" s="64"/>
      <c r="D10" s="64"/>
      <c r="E10" s="64"/>
    </row>
    <row r="11" spans="1:5" x14ac:dyDescent="0.3">
      <c r="B11" s="64"/>
      <c r="C11" s="64"/>
      <c r="D11" s="64"/>
      <c r="E11" s="64"/>
    </row>
    <row r="12" spans="1:5" x14ac:dyDescent="0.3">
      <c r="B12" s="64"/>
      <c r="C12" s="64"/>
      <c r="D12" s="64"/>
      <c r="E12" s="64"/>
    </row>
    <row r="13" spans="1:5" x14ac:dyDescent="0.3">
      <c r="B13" s="64"/>
      <c r="C13" s="64"/>
      <c r="D13" s="64"/>
      <c r="E13" s="64"/>
    </row>
    <row r="14" spans="1:5" x14ac:dyDescent="0.3">
      <c r="B14" s="64"/>
      <c r="C14" s="64"/>
      <c r="D14" s="64"/>
      <c r="E14" s="64"/>
    </row>
    <row r="15" spans="1:5" x14ac:dyDescent="0.3">
      <c r="B15" s="64"/>
      <c r="C15" s="64"/>
      <c r="D15" s="64"/>
      <c r="E15" s="64"/>
    </row>
    <row r="16" spans="1:5" x14ac:dyDescent="0.3">
      <c r="B16" s="64"/>
      <c r="C16" s="64"/>
      <c r="D16" s="64"/>
      <c r="E16" s="64"/>
    </row>
    <row r="17" spans="1:5" x14ac:dyDescent="0.3">
      <c r="B17" s="64"/>
      <c r="C17" s="64"/>
      <c r="D17" s="64"/>
      <c r="E17" s="64"/>
    </row>
    <row r="18" spans="1:5" x14ac:dyDescent="0.3">
      <c r="A18" s="316"/>
      <c r="B18" s="64"/>
      <c r="C18" s="64"/>
      <c r="D18" s="64"/>
      <c r="E18" s="64"/>
    </row>
    <row r="20" spans="1:5" x14ac:dyDescent="0.3">
      <c r="A20" s="315"/>
      <c r="B20" s="314"/>
      <c r="C20" s="314"/>
      <c r="D20" s="314"/>
      <c r="E20" s="314"/>
    </row>
    <row r="21" spans="1:5" x14ac:dyDescent="0.3">
      <c r="B21" s="64"/>
      <c r="C21" s="64"/>
      <c r="D21" s="64"/>
      <c r="E21" s="64"/>
    </row>
    <row r="22" spans="1:5" x14ac:dyDescent="0.3">
      <c r="B22" s="64"/>
      <c r="C22" s="64"/>
      <c r="D22" s="64"/>
      <c r="E22" s="64"/>
    </row>
    <row r="23" spans="1:5" x14ac:dyDescent="0.3">
      <c r="B23" s="64"/>
      <c r="C23" s="64"/>
      <c r="D23" s="64"/>
      <c r="E23" s="64"/>
    </row>
    <row r="24" spans="1:5" x14ac:dyDescent="0.3">
      <c r="B24" s="64"/>
      <c r="C24" s="64"/>
      <c r="D24" s="64"/>
      <c r="E24" s="64"/>
    </row>
    <row r="25" spans="1:5" x14ac:dyDescent="0.3">
      <c r="B25" s="64"/>
      <c r="C25" s="64"/>
      <c r="D25" s="64"/>
      <c r="E25" s="64"/>
    </row>
    <row r="26" spans="1:5" x14ac:dyDescent="0.3">
      <c r="B26" s="64"/>
      <c r="C26" s="64"/>
      <c r="D26" s="64"/>
      <c r="E26" s="64"/>
    </row>
    <row r="27" spans="1:5" x14ac:dyDescent="0.3">
      <c r="B27" s="64"/>
      <c r="C27" s="64"/>
      <c r="D27" s="64"/>
      <c r="E27" s="64"/>
    </row>
    <row r="28" spans="1:5" x14ac:dyDescent="0.3">
      <c r="B28" s="64"/>
      <c r="C28" s="64"/>
      <c r="D28" s="64"/>
      <c r="E28" s="64"/>
    </row>
    <row r="29" spans="1:5" x14ac:dyDescent="0.3">
      <c r="B29" s="64"/>
      <c r="C29" s="64"/>
      <c r="D29" s="64"/>
      <c r="E29" s="64"/>
    </row>
    <row r="30" spans="1:5" x14ac:dyDescent="0.3">
      <c r="A30" s="316"/>
      <c r="B30" s="64"/>
      <c r="C30" s="64"/>
      <c r="D30" s="64"/>
      <c r="E30" s="64"/>
    </row>
    <row r="32" spans="1:5" x14ac:dyDescent="0.3">
      <c r="A32" s="317"/>
      <c r="B32" s="318"/>
      <c r="C32" s="318"/>
      <c r="D32" s="318"/>
    </row>
    <row r="34" spans="2:2" x14ac:dyDescent="0.3">
      <c r="B34" s="64"/>
    </row>
  </sheetData>
  <pageMargins left="0.7" right="0.7" top="0.75" bottom="0.75" header="0.3" footer="0.3"/>
  <pageSetup scale="81" orientation="portrait" r:id="rId1"/>
  <headerFooter>
    <oddFooter>&amp;R&amp;P of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822CA-6FC2-4AE9-8272-C3A302E7A648}">
  <sheetPr>
    <tabColor theme="8" tint="-0.249977111117893"/>
  </sheetPr>
  <dimension ref="A1:J31"/>
  <sheetViews>
    <sheetView topLeftCell="A11" zoomScale="110" zoomScaleNormal="110" workbookViewId="0">
      <selection activeCell="D36" sqref="D36"/>
    </sheetView>
  </sheetViews>
  <sheetFormatPr defaultRowHeight="14.4" x14ac:dyDescent="0.3"/>
  <cols>
    <col min="1" max="1" width="18" customWidth="1"/>
    <col min="2" max="2" width="36.6640625" bestFit="1" customWidth="1"/>
    <col min="3" max="4" width="12.109375" bestFit="1" customWidth="1"/>
    <col min="5" max="5" width="13.6640625" bestFit="1" customWidth="1"/>
    <col min="6" max="6" width="16.88671875" customWidth="1"/>
  </cols>
  <sheetData>
    <row r="1" spans="1:10" ht="18.600000000000001" thickBot="1" x14ac:dyDescent="0.4">
      <c r="A1" s="2" t="str">
        <f>'JEC-Jurczyk-2'!B1</f>
        <v>Jacksonville Village Electric Utility</v>
      </c>
      <c r="F1" s="319" t="s">
        <v>278</v>
      </c>
    </row>
    <row r="2" spans="1:10" ht="18" x14ac:dyDescent="0.35">
      <c r="A2" s="2" t="str">
        <f>'JEC-Jurczyk-2'!B2</f>
        <v>Rate Case Study</v>
      </c>
    </row>
    <row r="3" spans="1:10" ht="15.6" x14ac:dyDescent="0.3">
      <c r="A3" s="6" t="s">
        <v>280</v>
      </c>
    </row>
    <row r="4" spans="1:10" ht="15.6" x14ac:dyDescent="0.3">
      <c r="A4" s="7" t="s">
        <v>4</v>
      </c>
      <c r="B4" s="8" t="str">
        <f>'JEC-Jurczyk-2'!C4</f>
        <v>12 months ending December 31, 2025</v>
      </c>
    </row>
    <row r="5" spans="1:10" ht="15.6" x14ac:dyDescent="0.3">
      <c r="A5" s="7" t="s">
        <v>6</v>
      </c>
      <c r="B5" s="8" t="str">
        <f>'JEC-Jurczyk-2'!C5</f>
        <v>July 5, 2026 - July 4, 2027</v>
      </c>
    </row>
    <row r="6" spans="1:10" ht="15.6" x14ac:dyDescent="0.3">
      <c r="A6" s="7" t="s">
        <v>8</v>
      </c>
      <c r="B6" s="9">
        <f>'JEC-Jurczyk-2'!C6</f>
        <v>46163</v>
      </c>
    </row>
    <row r="9" spans="1:10" x14ac:dyDescent="0.3">
      <c r="A9">
        <v>1</v>
      </c>
      <c r="B9" s="320" t="s">
        <v>281</v>
      </c>
      <c r="C9" s="320"/>
      <c r="D9" s="320"/>
      <c r="E9" s="320" t="s">
        <v>138</v>
      </c>
      <c r="F9" s="321" t="s">
        <v>282</v>
      </c>
      <c r="H9" s="429" t="s">
        <v>359</v>
      </c>
      <c r="I9" s="429"/>
      <c r="J9" s="429"/>
    </row>
    <row r="10" spans="1:10" x14ac:dyDescent="0.3">
      <c r="A10">
        <f>A9+1</f>
        <v>2</v>
      </c>
      <c r="F10" s="322"/>
    </row>
    <row r="11" spans="1:10" x14ac:dyDescent="0.3">
      <c r="A11">
        <f t="shared" ref="A11:A27" si="0">A10+1</f>
        <v>3</v>
      </c>
      <c r="B11" s="323" t="s">
        <v>283</v>
      </c>
      <c r="C11" s="324">
        <v>30</v>
      </c>
      <c r="D11" s="323" t="s">
        <v>284</v>
      </c>
      <c r="E11" s="325">
        <f>('JEC-Jurczyk-2'!D18)/365*C11</f>
        <v>122015.42876712332</v>
      </c>
      <c r="F11" s="326" t="s">
        <v>285</v>
      </c>
      <c r="H11">
        <v>120</v>
      </c>
      <c r="I11">
        <v>60</v>
      </c>
      <c r="J11">
        <v>30</v>
      </c>
    </row>
    <row r="12" spans="1:10" x14ac:dyDescent="0.3">
      <c r="A12">
        <f t="shared" si="0"/>
        <v>4</v>
      </c>
      <c r="C12" s="295"/>
      <c r="D12" s="295"/>
      <c r="E12" s="295"/>
      <c r="F12" s="327"/>
    </row>
    <row r="13" spans="1:10" x14ac:dyDescent="0.3">
      <c r="A13">
        <f t="shared" si="0"/>
        <v>5</v>
      </c>
      <c r="B13" t="s">
        <v>286</v>
      </c>
      <c r="C13" s="295"/>
      <c r="D13" s="265">
        <v>59513</v>
      </c>
      <c r="E13" s="295"/>
      <c r="F13" s="327" t="s">
        <v>287</v>
      </c>
    </row>
    <row r="14" spans="1:10" x14ac:dyDescent="0.3">
      <c r="A14">
        <f t="shared" si="0"/>
        <v>6</v>
      </c>
      <c r="B14" t="s">
        <v>288</v>
      </c>
      <c r="C14" s="60">
        <f>'JEC-Jurczyk-2'!D20</f>
        <v>49226.8</v>
      </c>
      <c r="D14" s="295"/>
      <c r="E14" s="295"/>
      <c r="F14" s="327" t="s">
        <v>289</v>
      </c>
    </row>
    <row r="15" spans="1:10" x14ac:dyDescent="0.3">
      <c r="A15">
        <f t="shared" si="0"/>
        <v>7</v>
      </c>
      <c r="B15" t="s">
        <v>290</v>
      </c>
      <c r="C15" s="295">
        <f>'JEC-Jurczyk-2'!F39</f>
        <v>0</v>
      </c>
      <c r="D15" s="295"/>
      <c r="E15" s="295"/>
      <c r="F15" s="327" t="s">
        <v>291</v>
      </c>
    </row>
    <row r="16" spans="1:10" x14ac:dyDescent="0.3">
      <c r="A16">
        <f t="shared" si="0"/>
        <v>8</v>
      </c>
      <c r="B16" t="s">
        <v>292</v>
      </c>
      <c r="C16" s="295">
        <v>0</v>
      </c>
      <c r="D16" s="295"/>
      <c r="E16" s="295"/>
      <c r="F16" s="327"/>
    </row>
    <row r="17" spans="1:10" x14ac:dyDescent="0.3">
      <c r="A17">
        <f t="shared" si="0"/>
        <v>9</v>
      </c>
      <c r="B17" s="323" t="s">
        <v>293</v>
      </c>
      <c r="C17" s="328"/>
      <c r="D17" s="325">
        <f>SUM(C14:C16)</f>
        <v>49226.8</v>
      </c>
      <c r="E17" s="328"/>
      <c r="F17" s="326" t="s">
        <v>294</v>
      </c>
    </row>
    <row r="18" spans="1:10" x14ac:dyDescent="0.3">
      <c r="A18">
        <f t="shared" si="0"/>
        <v>10</v>
      </c>
      <c r="C18" s="295"/>
      <c r="D18" s="295"/>
      <c r="E18" s="295"/>
      <c r="F18" s="327"/>
    </row>
    <row r="19" spans="1:10" x14ac:dyDescent="0.3">
      <c r="A19">
        <f t="shared" si="0"/>
        <v>11</v>
      </c>
      <c r="B19" t="s">
        <v>295</v>
      </c>
      <c r="C19" s="265">
        <f>'JEC-Jurczyk-4'!H16</f>
        <v>16792.06483160955</v>
      </c>
      <c r="D19" s="295"/>
      <c r="E19" s="295"/>
      <c r="F19" s="327" t="s">
        <v>296</v>
      </c>
    </row>
    <row r="20" spans="1:10" x14ac:dyDescent="0.3">
      <c r="A20">
        <f t="shared" si="0"/>
        <v>12</v>
      </c>
      <c r="B20" t="s">
        <v>297</v>
      </c>
      <c r="C20" s="295">
        <v>114083</v>
      </c>
      <c r="D20" s="295"/>
      <c r="E20" s="295"/>
      <c r="F20" s="327" t="s">
        <v>298</v>
      </c>
    </row>
    <row r="21" spans="1:10" x14ac:dyDescent="0.3">
      <c r="A21">
        <f t="shared" si="0"/>
        <v>13</v>
      </c>
      <c r="B21" s="323" t="s">
        <v>299</v>
      </c>
      <c r="C21" s="328"/>
      <c r="D21" s="325">
        <f>SUM(C19:C20)</f>
        <v>130875.06483160955</v>
      </c>
      <c r="E21" s="328"/>
      <c r="F21" s="326" t="s">
        <v>300</v>
      </c>
    </row>
    <row r="22" spans="1:10" x14ac:dyDescent="0.3">
      <c r="A22">
        <f t="shared" si="0"/>
        <v>14</v>
      </c>
      <c r="C22" s="295"/>
      <c r="D22" s="295"/>
      <c r="E22" s="295"/>
      <c r="F22" s="327"/>
    </row>
    <row r="23" spans="1:10" x14ac:dyDescent="0.3">
      <c r="A23">
        <f t="shared" si="0"/>
        <v>15</v>
      </c>
      <c r="B23" t="s">
        <v>301</v>
      </c>
      <c r="C23" s="295"/>
      <c r="D23" s="295"/>
      <c r="E23" s="60">
        <f>D13+D17-D21</f>
        <v>-22135.264831609544</v>
      </c>
      <c r="F23" s="327" t="s">
        <v>302</v>
      </c>
    </row>
    <row r="24" spans="1:10" x14ac:dyDescent="0.3">
      <c r="A24">
        <f t="shared" si="0"/>
        <v>16</v>
      </c>
      <c r="C24" s="295"/>
      <c r="D24" s="295"/>
      <c r="E24" s="295"/>
      <c r="F24" s="327"/>
    </row>
    <row r="25" spans="1:10" x14ac:dyDescent="0.3">
      <c r="A25">
        <f t="shared" si="0"/>
        <v>17</v>
      </c>
      <c r="B25" t="s">
        <v>303</v>
      </c>
      <c r="C25" s="295"/>
      <c r="D25" s="295"/>
      <c r="E25" s="60">
        <f>E11-E23</f>
        <v>144150.69359873288</v>
      </c>
      <c r="F25" s="327" t="s">
        <v>304</v>
      </c>
    </row>
    <row r="26" spans="1:10" x14ac:dyDescent="0.3">
      <c r="A26">
        <f t="shared" si="0"/>
        <v>18</v>
      </c>
      <c r="C26" s="295"/>
      <c r="D26" s="295"/>
      <c r="E26" s="295"/>
      <c r="F26" s="327"/>
    </row>
    <row r="27" spans="1:10" x14ac:dyDescent="0.3">
      <c r="A27">
        <f t="shared" si="0"/>
        <v>19</v>
      </c>
      <c r="B27" s="323" t="s">
        <v>305</v>
      </c>
      <c r="C27" s="329">
        <v>0.1</v>
      </c>
      <c r="D27" s="323"/>
      <c r="E27" s="325">
        <f>E25*C27</f>
        <v>14415.069359873289</v>
      </c>
      <c r="F27" s="326" t="s">
        <v>355</v>
      </c>
      <c r="H27" s="392">
        <v>0.05</v>
      </c>
      <c r="I27" s="392">
        <v>0.1</v>
      </c>
      <c r="J27" s="392">
        <v>0.2</v>
      </c>
    </row>
    <row r="29" spans="1:10" x14ac:dyDescent="0.3">
      <c r="B29" t="s">
        <v>357</v>
      </c>
      <c r="E29" s="64">
        <f>SUM(E27,D13)</f>
        <v>73928.069359873291</v>
      </c>
    </row>
    <row r="30" spans="1:10" x14ac:dyDescent="0.3">
      <c r="B30" s="323" t="s">
        <v>358</v>
      </c>
      <c r="C30" s="323"/>
      <c r="D30" s="323"/>
      <c r="E30" s="328">
        <f>ROUND(E29/(('JEC-Jurczyk-2'!D18)/365),0)</f>
        <v>18</v>
      </c>
      <c r="F30" s="323"/>
    </row>
    <row r="31" spans="1:10" x14ac:dyDescent="0.3">
      <c r="B31" t="s">
        <v>356</v>
      </c>
      <c r="E31" s="391">
        <f ca="1">'JEC-Jurczyk-2'!F54</f>
        <v>0.17720989135787651</v>
      </c>
    </row>
  </sheetData>
  <mergeCells count="1">
    <mergeCell ref="H9:J9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73A06-8D11-4F08-B625-5AB8820DC6EA}">
  <dimension ref="A1"/>
  <sheetViews>
    <sheetView workbookViewId="0">
      <selection activeCell="Q30" sqref="Q30"/>
    </sheetView>
  </sheetViews>
  <sheetFormatPr defaultRowHeight="14.4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A57EF-3289-4967-A219-3141E67B6AEA}">
  <sheetPr>
    <tabColor theme="8" tint="0.79998168889431442"/>
  </sheetPr>
  <dimension ref="A1:L39"/>
  <sheetViews>
    <sheetView topLeftCell="A15" workbookViewId="0">
      <selection activeCell="I39" sqref="I39"/>
    </sheetView>
  </sheetViews>
  <sheetFormatPr defaultRowHeight="14.4" x14ac:dyDescent="0.3"/>
  <cols>
    <col min="1" max="1" width="8.6640625" bestFit="1" customWidth="1"/>
    <col min="2" max="2" width="25.88671875" bestFit="1" customWidth="1"/>
    <col min="3" max="4" width="11.33203125" hidden="1" customWidth="1"/>
    <col min="5" max="9" width="11.33203125" customWidth="1"/>
  </cols>
  <sheetData>
    <row r="1" spans="1:12" ht="28.8" x14ac:dyDescent="0.3">
      <c r="A1" s="335" t="s">
        <v>342</v>
      </c>
      <c r="B1" s="334" t="s">
        <v>14</v>
      </c>
      <c r="C1" s="335">
        <v>2019</v>
      </c>
      <c r="D1" s="335">
        <v>2020</v>
      </c>
      <c r="E1" s="335">
        <v>2021</v>
      </c>
      <c r="F1" s="335">
        <v>2022</v>
      </c>
      <c r="G1" s="335">
        <v>2023</v>
      </c>
      <c r="H1" s="335">
        <v>2024</v>
      </c>
      <c r="I1" s="335" t="s">
        <v>307</v>
      </c>
      <c r="J1" s="196"/>
      <c r="K1" s="196"/>
      <c r="L1" s="196"/>
    </row>
    <row r="2" spans="1:12" ht="6.6" customHeight="1" x14ac:dyDescent="0.3">
      <c r="A2" s="339"/>
      <c r="B2" s="316"/>
      <c r="C2" s="339"/>
      <c r="D2" s="339"/>
      <c r="E2" s="339"/>
      <c r="F2" s="339"/>
      <c r="G2" s="339"/>
      <c r="H2" s="339"/>
      <c r="I2" s="339"/>
      <c r="J2" s="196"/>
      <c r="K2" s="196"/>
      <c r="L2" s="196"/>
    </row>
    <row r="3" spans="1:12" x14ac:dyDescent="0.3">
      <c r="A3" s="334"/>
      <c r="B3" s="334" t="s">
        <v>343</v>
      </c>
      <c r="C3" s="334"/>
      <c r="D3" s="334"/>
      <c r="E3" s="334"/>
      <c r="F3" s="334"/>
      <c r="G3" s="334"/>
      <c r="H3" s="334"/>
      <c r="I3" s="334"/>
      <c r="J3" s="196"/>
      <c r="K3" s="196"/>
      <c r="L3" s="196"/>
    </row>
    <row r="4" spans="1:12" x14ac:dyDescent="0.3">
      <c r="A4" s="71">
        <v>545</v>
      </c>
      <c r="B4" t="s">
        <v>22</v>
      </c>
      <c r="C4" s="71">
        <v>568137.93999999994</v>
      </c>
      <c r="D4" s="71">
        <v>558685.18000000005</v>
      </c>
      <c r="E4" s="71">
        <v>587504.72</v>
      </c>
      <c r="F4" s="71">
        <v>679141.39</v>
      </c>
      <c r="G4" s="71">
        <v>614692.25</v>
      </c>
      <c r="H4" s="71">
        <v>692647.6</v>
      </c>
      <c r="I4" s="71">
        <v>810389.19</v>
      </c>
      <c r="J4" s="196"/>
      <c r="K4" s="196"/>
      <c r="L4" s="196"/>
    </row>
    <row r="5" spans="1:12" x14ac:dyDescent="0.3">
      <c r="A5" s="71">
        <v>546</v>
      </c>
      <c r="B5" t="s">
        <v>308</v>
      </c>
      <c r="C5" s="71">
        <v>0</v>
      </c>
      <c r="D5" s="71">
        <v>0</v>
      </c>
      <c r="E5" s="71">
        <v>0</v>
      </c>
      <c r="F5" s="71">
        <v>0</v>
      </c>
      <c r="G5" s="71">
        <v>79595</v>
      </c>
      <c r="H5" s="71">
        <v>0</v>
      </c>
      <c r="I5" s="71">
        <v>0</v>
      </c>
      <c r="J5" s="196"/>
      <c r="K5" s="196"/>
      <c r="L5" s="196"/>
    </row>
    <row r="6" spans="1:12" x14ac:dyDescent="0.3">
      <c r="A6" s="336">
        <v>562</v>
      </c>
      <c r="B6" t="s">
        <v>309</v>
      </c>
      <c r="C6" s="71">
        <v>5093.6899999999996</v>
      </c>
      <c r="D6" s="71">
        <v>3128.83</v>
      </c>
      <c r="E6" s="71">
        <v>28397.69</v>
      </c>
      <c r="F6" s="71">
        <v>8724.92</v>
      </c>
      <c r="G6" s="71">
        <v>9533.7800000000007</v>
      </c>
      <c r="H6" s="71">
        <v>-9730.65</v>
      </c>
      <c r="I6" s="71">
        <v>50553.86</v>
      </c>
      <c r="J6" s="196"/>
      <c r="K6" s="196"/>
      <c r="L6" s="196"/>
    </row>
    <row r="7" spans="1:12" x14ac:dyDescent="0.3">
      <c r="A7" s="71">
        <v>566</v>
      </c>
      <c r="B7" t="s">
        <v>310</v>
      </c>
      <c r="C7" s="71">
        <v>630</v>
      </c>
      <c r="D7" s="71">
        <v>560</v>
      </c>
      <c r="E7" s="71">
        <v>0</v>
      </c>
      <c r="F7" s="71">
        <v>1065</v>
      </c>
      <c r="G7" s="71">
        <v>225</v>
      </c>
      <c r="H7" s="71">
        <v>280</v>
      </c>
      <c r="I7" s="71">
        <v>170</v>
      </c>
      <c r="J7" s="196"/>
      <c r="K7" s="196"/>
      <c r="L7" s="196"/>
    </row>
    <row r="8" spans="1:12" x14ac:dyDescent="0.3">
      <c r="A8" s="336">
        <v>567</v>
      </c>
      <c r="B8" t="s">
        <v>311</v>
      </c>
      <c r="C8" s="71">
        <v>0</v>
      </c>
      <c r="D8" s="71">
        <v>3860.62</v>
      </c>
      <c r="E8" s="71">
        <v>0</v>
      </c>
      <c r="F8" s="71">
        <v>0</v>
      </c>
      <c r="G8" s="71">
        <v>0</v>
      </c>
      <c r="H8" s="71">
        <v>5361.01</v>
      </c>
      <c r="I8" s="71">
        <v>1749.21</v>
      </c>
      <c r="J8" s="196"/>
      <c r="K8" s="196"/>
      <c r="L8" s="196"/>
    </row>
    <row r="9" spans="1:12" x14ac:dyDescent="0.3">
      <c r="A9" s="336">
        <v>571</v>
      </c>
      <c r="B9" t="s">
        <v>312</v>
      </c>
      <c r="C9" s="71">
        <v>0</v>
      </c>
      <c r="D9" s="71">
        <v>0</v>
      </c>
      <c r="E9" s="71">
        <v>0</v>
      </c>
      <c r="F9" s="71">
        <v>7941.36</v>
      </c>
      <c r="G9" s="71">
        <v>2872.81</v>
      </c>
      <c r="H9" s="71">
        <v>0</v>
      </c>
      <c r="I9" s="71">
        <v>11343.990000000002</v>
      </c>
      <c r="J9" s="196"/>
      <c r="K9" s="196"/>
      <c r="L9" s="196"/>
    </row>
    <row r="10" spans="1:12" x14ac:dyDescent="0.3">
      <c r="A10" s="336">
        <v>572</v>
      </c>
      <c r="B10" t="s">
        <v>313</v>
      </c>
      <c r="C10" s="71">
        <v>155701.54999999999</v>
      </c>
      <c r="D10" s="71">
        <v>109376.46</v>
      </c>
      <c r="E10" s="71">
        <v>163685.04</v>
      </c>
      <c r="F10" s="71">
        <v>131348.57999999999</v>
      </c>
      <c r="G10" s="71">
        <v>122493.35</v>
      </c>
      <c r="H10" s="71">
        <v>123790.7</v>
      </c>
      <c r="I10" s="71">
        <v>196953.34</v>
      </c>
      <c r="J10" s="196"/>
      <c r="K10" s="196"/>
      <c r="L10" s="196"/>
    </row>
    <row r="11" spans="1:12" x14ac:dyDescent="0.3">
      <c r="A11" s="336">
        <v>622</v>
      </c>
      <c r="B11" t="s">
        <v>314</v>
      </c>
      <c r="C11" s="71">
        <v>4636.9799999999996</v>
      </c>
      <c r="D11" s="71">
        <v>4000.79</v>
      </c>
      <c r="E11" s="71">
        <v>36258.5</v>
      </c>
      <c r="F11" s="71">
        <v>5424.1</v>
      </c>
      <c r="G11" s="71">
        <v>4340.58</v>
      </c>
      <c r="H11" s="71">
        <v>4970.17</v>
      </c>
      <c r="I11" s="71">
        <v>7009.34</v>
      </c>
      <c r="J11" s="196"/>
      <c r="K11" s="196"/>
      <c r="L11" s="196"/>
    </row>
    <row r="12" spans="1:12" x14ac:dyDescent="0.3">
      <c r="A12" s="336">
        <v>652</v>
      </c>
      <c r="B12" t="s">
        <v>315</v>
      </c>
      <c r="C12" s="71">
        <v>909.36</v>
      </c>
      <c r="D12" s="71">
        <v>960.63</v>
      </c>
      <c r="E12" s="71">
        <v>1104.1300000000001</v>
      </c>
      <c r="F12" s="71">
        <v>1249.51</v>
      </c>
      <c r="G12" s="71">
        <v>1568.74</v>
      </c>
      <c r="H12" s="71">
        <v>2226.19</v>
      </c>
      <c r="I12" s="71">
        <v>3061.75</v>
      </c>
      <c r="J12" s="196"/>
      <c r="K12" s="196"/>
      <c r="L12" s="196"/>
    </row>
    <row r="13" spans="1:12" x14ac:dyDescent="0.3">
      <c r="A13" s="336">
        <v>901</v>
      </c>
      <c r="B13" t="s">
        <v>316</v>
      </c>
      <c r="C13" s="71">
        <v>8172</v>
      </c>
      <c r="D13" s="71">
        <v>7970</v>
      </c>
      <c r="E13" s="71">
        <v>8215.5</v>
      </c>
      <c r="F13" s="71">
        <v>10200.75</v>
      </c>
      <c r="G13" s="71">
        <v>8739.5</v>
      </c>
      <c r="H13" s="71">
        <v>10293.75</v>
      </c>
      <c r="I13" s="71">
        <v>10135.33</v>
      </c>
      <c r="J13" s="196"/>
      <c r="K13" s="196"/>
      <c r="L13" s="196"/>
    </row>
    <row r="14" spans="1:12" x14ac:dyDescent="0.3">
      <c r="A14" s="336">
        <v>902</v>
      </c>
      <c r="B14" t="s">
        <v>317</v>
      </c>
      <c r="C14" s="71">
        <v>29068</v>
      </c>
      <c r="D14" s="71">
        <v>32476.35</v>
      </c>
      <c r="E14" s="71">
        <v>47453.96</v>
      </c>
      <c r="F14" s="71">
        <v>48850.15</v>
      </c>
      <c r="G14" s="71">
        <v>45044.32</v>
      </c>
      <c r="H14" s="71">
        <v>34370.910000000003</v>
      </c>
      <c r="I14" s="71">
        <v>8324.7199999999993</v>
      </c>
      <c r="J14" s="196"/>
      <c r="K14" s="196"/>
      <c r="L14" s="196"/>
    </row>
    <row r="15" spans="1:12" x14ac:dyDescent="0.3">
      <c r="A15" s="336">
        <v>903</v>
      </c>
      <c r="B15" t="s">
        <v>318</v>
      </c>
      <c r="C15" s="71">
        <v>0</v>
      </c>
      <c r="D15" s="71">
        <v>0</v>
      </c>
      <c r="E15" s="71">
        <v>0</v>
      </c>
      <c r="F15" s="71">
        <v>0</v>
      </c>
      <c r="G15" s="71">
        <v>3546.76</v>
      </c>
      <c r="H15" s="71">
        <v>281</v>
      </c>
      <c r="I15" s="71">
        <v>43.99</v>
      </c>
      <c r="J15" s="196"/>
      <c r="K15" s="196"/>
      <c r="L15" s="196"/>
    </row>
    <row r="16" spans="1:12" x14ac:dyDescent="0.3">
      <c r="A16" s="336">
        <v>904</v>
      </c>
      <c r="B16" t="s">
        <v>319</v>
      </c>
      <c r="C16" s="71">
        <v>2079.2399999999998</v>
      </c>
      <c r="D16" s="71">
        <v>1349.53</v>
      </c>
      <c r="E16" s="71">
        <v>934.8</v>
      </c>
      <c r="F16" s="71">
        <v>0</v>
      </c>
      <c r="G16" s="71">
        <v>4651.58</v>
      </c>
      <c r="H16" s="71">
        <v>-23365.78</v>
      </c>
      <c r="I16" s="71">
        <v>-89.45</v>
      </c>
      <c r="J16" s="196"/>
      <c r="K16" s="196"/>
      <c r="L16" s="196"/>
    </row>
    <row r="17" spans="1:12" x14ac:dyDescent="0.3">
      <c r="A17" s="336">
        <v>910</v>
      </c>
      <c r="B17" t="s">
        <v>320</v>
      </c>
      <c r="C17" s="71">
        <v>41598.15</v>
      </c>
      <c r="D17" s="71">
        <v>41430.400000000001</v>
      </c>
      <c r="E17" s="71">
        <v>41430.400000000001</v>
      </c>
      <c r="F17" s="71">
        <v>41430.400000000001</v>
      </c>
      <c r="G17" s="71">
        <v>40512.74</v>
      </c>
      <c r="H17" s="71">
        <v>46932.03</v>
      </c>
      <c r="I17" s="71">
        <v>49226.8</v>
      </c>
      <c r="J17" s="196"/>
      <c r="K17" s="196"/>
      <c r="L17" s="196"/>
    </row>
    <row r="18" spans="1:12" x14ac:dyDescent="0.3">
      <c r="A18" s="336">
        <v>920</v>
      </c>
      <c r="B18" t="s">
        <v>321</v>
      </c>
      <c r="C18" s="71">
        <v>15052.4</v>
      </c>
      <c r="D18" s="71">
        <v>14341.6</v>
      </c>
      <c r="E18" s="71">
        <v>9423.8100000000013</v>
      </c>
      <c r="F18" s="71">
        <v>3697.5</v>
      </c>
      <c r="G18" s="71">
        <v>4547</v>
      </c>
      <c r="H18" s="71">
        <v>65733.08</v>
      </c>
      <c r="I18" s="71">
        <v>108116.19</v>
      </c>
      <c r="J18" s="196"/>
      <c r="K18" s="196"/>
      <c r="L18" s="196"/>
    </row>
    <row r="19" spans="1:12" x14ac:dyDescent="0.3">
      <c r="A19" s="336">
        <v>921</v>
      </c>
      <c r="B19" t="s">
        <v>322</v>
      </c>
      <c r="C19" s="71">
        <v>3772.6400000000003</v>
      </c>
      <c r="D19" s="71">
        <v>8893.0300000000007</v>
      </c>
      <c r="E19" s="71">
        <v>8955.7900000000009</v>
      </c>
      <c r="F19" s="71">
        <v>8340.119999999999</v>
      </c>
      <c r="G19" s="71">
        <v>12181.77</v>
      </c>
      <c r="H19" s="71">
        <v>27998.7</v>
      </c>
      <c r="I19" s="71">
        <v>23932.78</v>
      </c>
      <c r="J19" s="196"/>
      <c r="K19" s="196"/>
      <c r="L19" s="196"/>
    </row>
    <row r="20" spans="1:12" x14ac:dyDescent="0.3">
      <c r="A20" s="336">
        <v>922</v>
      </c>
      <c r="B20" t="s">
        <v>323</v>
      </c>
      <c r="C20" s="71">
        <v>0</v>
      </c>
      <c r="D20" s="71">
        <v>0</v>
      </c>
      <c r="E20" s="71">
        <v>0</v>
      </c>
      <c r="F20" s="71">
        <v>0</v>
      </c>
      <c r="G20" s="71">
        <v>746.99</v>
      </c>
      <c r="H20" s="71">
        <v>0</v>
      </c>
      <c r="I20" s="71">
        <v>0</v>
      </c>
      <c r="J20" s="196"/>
      <c r="K20" s="196"/>
      <c r="L20" s="196"/>
    </row>
    <row r="21" spans="1:12" x14ac:dyDescent="0.3">
      <c r="A21" s="336">
        <v>923</v>
      </c>
      <c r="B21" t="s">
        <v>324</v>
      </c>
      <c r="C21" s="71">
        <v>41594.51</v>
      </c>
      <c r="D21" s="71">
        <v>46702.3</v>
      </c>
      <c r="E21" s="71">
        <v>77603.56</v>
      </c>
      <c r="F21" s="71">
        <v>71121.119999999995</v>
      </c>
      <c r="G21" s="71">
        <v>97481.16</v>
      </c>
      <c r="H21" s="71">
        <v>138323.48000000001</v>
      </c>
      <c r="I21" s="71">
        <v>159664.95999999999</v>
      </c>
      <c r="J21" s="196"/>
      <c r="K21" s="196"/>
      <c r="L21" s="196"/>
    </row>
    <row r="22" spans="1:12" x14ac:dyDescent="0.3">
      <c r="A22" s="336">
        <v>924</v>
      </c>
      <c r="B22" t="s">
        <v>325</v>
      </c>
      <c r="C22" s="71">
        <v>5311</v>
      </c>
      <c r="D22" s="71">
        <v>5062</v>
      </c>
      <c r="E22" s="71">
        <v>4268</v>
      </c>
      <c r="F22" s="71">
        <v>5246.5</v>
      </c>
      <c r="G22" s="71">
        <v>6961</v>
      </c>
      <c r="H22" s="71">
        <v>16398</v>
      </c>
      <c r="I22" s="71">
        <v>16141.41</v>
      </c>
      <c r="J22" s="196"/>
      <c r="K22" s="196"/>
      <c r="L22" s="196"/>
    </row>
    <row r="23" spans="1:12" x14ac:dyDescent="0.3">
      <c r="A23" s="336">
        <v>925</v>
      </c>
      <c r="B23" t="s">
        <v>326</v>
      </c>
      <c r="C23" s="71">
        <v>738</v>
      </c>
      <c r="D23" s="71">
        <v>719</v>
      </c>
      <c r="E23" s="71">
        <v>577</v>
      </c>
      <c r="F23" s="71">
        <v>41</v>
      </c>
      <c r="G23" s="71">
        <v>2157</v>
      </c>
      <c r="H23" s="71">
        <v>0</v>
      </c>
      <c r="I23" s="71">
        <v>0</v>
      </c>
      <c r="J23" s="196"/>
      <c r="K23" s="196"/>
      <c r="L23" s="196"/>
    </row>
    <row r="24" spans="1:12" x14ac:dyDescent="0.3">
      <c r="A24" s="336">
        <v>926</v>
      </c>
      <c r="B24" t="s">
        <v>327</v>
      </c>
      <c r="C24" s="71">
        <v>23195.059999999998</v>
      </c>
      <c r="D24" s="71">
        <v>22843</v>
      </c>
      <c r="E24" s="71">
        <v>15520.2</v>
      </c>
      <c r="F24" s="71">
        <v>10754.39</v>
      </c>
      <c r="G24" s="71">
        <v>18225.490000000002</v>
      </c>
      <c r="H24" s="71">
        <v>47346.130000000005</v>
      </c>
      <c r="I24" s="71">
        <v>69906.45</v>
      </c>
      <c r="J24" s="196"/>
      <c r="K24" s="196"/>
      <c r="L24" s="196"/>
    </row>
    <row r="25" spans="1:12" x14ac:dyDescent="0.3">
      <c r="A25" s="336">
        <v>927</v>
      </c>
      <c r="B25" t="s">
        <v>328</v>
      </c>
      <c r="C25" s="71">
        <v>36211.730000000003</v>
      </c>
      <c r="D25" s="71">
        <v>38432.1</v>
      </c>
      <c r="E25" s="71">
        <v>8974.61</v>
      </c>
      <c r="F25" s="71">
        <v>39701.460000000006</v>
      </c>
      <c r="G25" s="71">
        <v>61668.84</v>
      </c>
      <c r="H25" s="71">
        <v>62131.56</v>
      </c>
      <c r="I25" s="71">
        <v>42901.310000000005</v>
      </c>
      <c r="J25" s="196"/>
      <c r="K25" s="196"/>
      <c r="L25" s="196"/>
    </row>
    <row r="26" spans="1:12" x14ac:dyDescent="0.3">
      <c r="A26" s="336">
        <v>930</v>
      </c>
      <c r="B26" t="s">
        <v>329</v>
      </c>
      <c r="C26" s="71">
        <v>145.66</v>
      </c>
      <c r="D26" s="71">
        <v>282.39999999999998</v>
      </c>
      <c r="E26" s="71">
        <v>156.71</v>
      </c>
      <c r="F26" s="71">
        <v>8173.41</v>
      </c>
      <c r="G26" s="71">
        <v>744.23</v>
      </c>
      <c r="H26" s="71">
        <v>1410.98</v>
      </c>
      <c r="I26" s="71">
        <v>24058.04</v>
      </c>
      <c r="J26" s="196"/>
      <c r="K26" s="196"/>
      <c r="L26" s="196"/>
    </row>
    <row r="27" spans="1:12" x14ac:dyDescent="0.3">
      <c r="A27" s="336">
        <v>933</v>
      </c>
      <c r="B27" t="s">
        <v>330</v>
      </c>
      <c r="C27" s="71">
        <v>2080.52</v>
      </c>
      <c r="D27" s="71">
        <v>1868.4</v>
      </c>
      <c r="E27" s="71">
        <v>2133.98</v>
      </c>
      <c r="F27" s="71">
        <v>2530.3000000000002</v>
      </c>
      <c r="G27" s="71">
        <v>5905.74</v>
      </c>
      <c r="H27" s="71">
        <v>12606.48</v>
      </c>
      <c r="I27" s="71">
        <v>7162.7599999999993</v>
      </c>
      <c r="J27" s="196"/>
      <c r="K27" s="196"/>
      <c r="L27" s="196"/>
    </row>
    <row r="28" spans="1:12" x14ac:dyDescent="0.3">
      <c r="A28" s="336">
        <v>935</v>
      </c>
      <c r="B28" t="s">
        <v>331</v>
      </c>
      <c r="C28" s="71">
        <v>3643.24</v>
      </c>
      <c r="D28" s="71">
        <v>2896</v>
      </c>
      <c r="E28" s="71">
        <v>3661.71</v>
      </c>
      <c r="F28" s="71">
        <v>1871</v>
      </c>
      <c r="G28" s="71">
        <v>1813.58</v>
      </c>
      <c r="H28" s="71">
        <v>10896.64</v>
      </c>
      <c r="I28" s="71">
        <v>4766.7700000000004</v>
      </c>
      <c r="J28" s="196"/>
      <c r="K28" s="196"/>
      <c r="L28" s="196"/>
    </row>
    <row r="29" spans="1:12" x14ac:dyDescent="0.3">
      <c r="A29" s="316"/>
      <c r="B29" s="317" t="s">
        <v>345</v>
      </c>
      <c r="C29" s="337">
        <v>947771.67</v>
      </c>
      <c r="D29" s="337">
        <v>905838.62000000011</v>
      </c>
      <c r="E29" s="337">
        <v>1046260.11</v>
      </c>
      <c r="F29" s="337">
        <v>1086852.96</v>
      </c>
      <c r="G29" s="337">
        <v>1150249.21</v>
      </c>
      <c r="H29" s="337">
        <v>1270901.9799999997</v>
      </c>
      <c r="I29" s="337">
        <v>1605522.74</v>
      </c>
      <c r="J29" s="196"/>
      <c r="K29" s="196"/>
      <c r="L29" s="196"/>
    </row>
    <row r="30" spans="1:12" x14ac:dyDescent="0.3">
      <c r="A30" s="334"/>
      <c r="B30" s="334" t="s">
        <v>332</v>
      </c>
      <c r="C30" s="334"/>
      <c r="D30" s="334"/>
      <c r="E30" s="334"/>
      <c r="F30" s="334"/>
      <c r="G30" s="334"/>
      <c r="H30" s="334"/>
      <c r="I30" s="334"/>
      <c r="J30" s="196"/>
      <c r="K30" s="196"/>
      <c r="L30" s="196"/>
    </row>
    <row r="31" spans="1:12" x14ac:dyDescent="0.3">
      <c r="A31" s="336">
        <v>419</v>
      </c>
      <c r="B31" t="s">
        <v>333</v>
      </c>
      <c r="C31" s="295">
        <v>-25678.47</v>
      </c>
      <c r="D31" s="295">
        <v>-26974.15</v>
      </c>
      <c r="E31" s="295">
        <v>-27334.639999999999</v>
      </c>
      <c r="F31" s="295">
        <v>-10610.1</v>
      </c>
      <c r="G31" s="295">
        <v>-31036.69</v>
      </c>
      <c r="H31" s="295">
        <v>-34554.9</v>
      </c>
      <c r="I31" s="295">
        <v>-8596.69</v>
      </c>
      <c r="J31" s="196"/>
      <c r="K31" s="196"/>
      <c r="L31" s="196"/>
    </row>
    <row r="32" spans="1:12" x14ac:dyDescent="0.3">
      <c r="A32" s="336">
        <v>420</v>
      </c>
      <c r="B32" t="s">
        <v>334</v>
      </c>
      <c r="C32" s="295">
        <v>-184.74</v>
      </c>
      <c r="D32" s="295">
        <v>-62.8</v>
      </c>
      <c r="E32" s="295">
        <v>-33.26</v>
      </c>
      <c r="F32" s="295">
        <v>-18.850000000000001</v>
      </c>
      <c r="G32" s="295">
        <v>-39.380000000000003</v>
      </c>
      <c r="H32" s="295">
        <v>-930.26</v>
      </c>
      <c r="I32" s="295">
        <v>-2605.4699999999998</v>
      </c>
      <c r="J32" s="196"/>
      <c r="K32" s="196"/>
      <c r="L32" s="196"/>
    </row>
    <row r="33" spans="1:12" x14ac:dyDescent="0.3">
      <c r="A33" s="336">
        <v>421</v>
      </c>
      <c r="B33" t="s">
        <v>335</v>
      </c>
      <c r="C33" s="295">
        <v>0</v>
      </c>
      <c r="D33" s="295">
        <v>0</v>
      </c>
      <c r="E33" s="295">
        <v>-300</v>
      </c>
      <c r="F33" s="295">
        <v>140</v>
      </c>
      <c r="G33" s="295">
        <v>0</v>
      </c>
      <c r="H33" s="295">
        <v>-254.89</v>
      </c>
      <c r="I33" s="295">
        <v>0</v>
      </c>
      <c r="J33" s="196"/>
      <c r="K33" s="196"/>
      <c r="L33" s="196"/>
    </row>
    <row r="34" spans="1:12" x14ac:dyDescent="0.3">
      <c r="A34" s="295" t="s">
        <v>336</v>
      </c>
      <c r="B34" t="s">
        <v>337</v>
      </c>
      <c r="C34" s="295">
        <v>-838916.2699999999</v>
      </c>
      <c r="D34" s="295">
        <v>-858876.92999999993</v>
      </c>
      <c r="E34" s="295">
        <v>-904478.82</v>
      </c>
      <c r="F34" s="295">
        <v>-978461.88</v>
      </c>
      <c r="G34" s="295">
        <v>-946745.86999999976</v>
      </c>
      <c r="H34" s="295">
        <v>-972046.77999999991</v>
      </c>
      <c r="I34" s="295">
        <v>-1259784.54</v>
      </c>
      <c r="J34" s="196"/>
      <c r="K34" s="196"/>
      <c r="L34" s="196"/>
    </row>
    <row r="35" spans="1:12" x14ac:dyDescent="0.3">
      <c r="A35" s="295">
        <v>458</v>
      </c>
      <c r="B35" t="s">
        <v>338</v>
      </c>
      <c r="C35" s="295">
        <v>-12995.84</v>
      </c>
      <c r="D35" s="295">
        <v>-13104.32</v>
      </c>
      <c r="E35" s="295">
        <v>-14403.45</v>
      </c>
      <c r="F35" s="295">
        <v>-1367.5</v>
      </c>
      <c r="G35" s="295">
        <v>-37289.040000000001</v>
      </c>
      <c r="H35" s="295">
        <v>-39144.080000000002</v>
      </c>
      <c r="I35" s="295">
        <v>-106942.95</v>
      </c>
      <c r="J35" s="196"/>
      <c r="K35" s="196"/>
      <c r="L35" s="196"/>
    </row>
    <row r="36" spans="1:12" x14ac:dyDescent="0.3">
      <c r="A36" s="336">
        <v>459</v>
      </c>
      <c r="B36" s="196" t="s">
        <v>339</v>
      </c>
      <c r="C36" s="71">
        <v>-35045.360000000001</v>
      </c>
      <c r="D36" s="71">
        <v>-50379.31</v>
      </c>
      <c r="E36" s="71">
        <v>-68326.649999999994</v>
      </c>
      <c r="F36" s="71">
        <v>-52989.81</v>
      </c>
      <c r="G36" s="71">
        <v>-41348.99</v>
      </c>
      <c r="H36" s="71">
        <v>-29901.429999999997</v>
      </c>
      <c r="I36" s="71">
        <v>-61416.47</v>
      </c>
    </row>
    <row r="37" spans="1:12" x14ac:dyDescent="0.3">
      <c r="A37" s="295" t="s">
        <v>340</v>
      </c>
      <c r="B37" t="s">
        <v>45</v>
      </c>
      <c r="C37" s="295">
        <v>0</v>
      </c>
      <c r="D37" s="295">
        <v>0</v>
      </c>
      <c r="E37" s="295">
        <v>0</v>
      </c>
      <c r="F37" s="295">
        <v>0</v>
      </c>
      <c r="G37" s="295">
        <v>22061.85</v>
      </c>
      <c r="H37" s="295">
        <v>27838.37</v>
      </c>
      <c r="I37" s="295">
        <v>37901.19</v>
      </c>
    </row>
    <row r="38" spans="1:12" x14ac:dyDescent="0.3">
      <c r="A38" s="317"/>
      <c r="B38" s="317" t="s">
        <v>341</v>
      </c>
      <c r="C38" s="338">
        <v>-912820.67999999982</v>
      </c>
      <c r="D38" s="338">
        <v>-949397.50999999978</v>
      </c>
      <c r="E38" s="338">
        <v>-1014876.82</v>
      </c>
      <c r="F38" s="338">
        <v>-1043308.1399999999</v>
      </c>
      <c r="G38" s="338">
        <v>-1034398.1199999998</v>
      </c>
      <c r="H38" s="338">
        <v>-1048993.9699999997</v>
      </c>
      <c r="I38" s="338">
        <v>-1401444.93</v>
      </c>
    </row>
    <row r="39" spans="1:12" x14ac:dyDescent="0.3">
      <c r="A39" s="340"/>
      <c r="B39" s="340" t="s">
        <v>344</v>
      </c>
      <c r="C39" s="341">
        <f>-C38-C29</f>
        <v>-34950.990000000224</v>
      </c>
      <c r="D39" s="341">
        <f t="shared" ref="D39:I39" si="0">-D38-D29</f>
        <v>43558.889999999665</v>
      </c>
      <c r="E39" s="341">
        <f t="shared" si="0"/>
        <v>-31383.290000000037</v>
      </c>
      <c r="F39" s="341">
        <f t="shared" si="0"/>
        <v>-43544.820000000065</v>
      </c>
      <c r="G39" s="341">
        <f t="shared" si="0"/>
        <v>-115851.0900000002</v>
      </c>
      <c r="H39" s="341">
        <f t="shared" si="0"/>
        <v>-221908.01</v>
      </c>
      <c r="I39" s="341">
        <f t="shared" si="0"/>
        <v>-204077.81000000006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</vt:i4>
      </vt:variant>
      <vt:variant>
        <vt:lpstr>Named Ranges</vt:lpstr>
      </vt:variant>
      <vt:variant>
        <vt:i4>27</vt:i4>
      </vt:variant>
    </vt:vector>
  </HeadingPairs>
  <TitlesOfParts>
    <vt:vector size="56" baseType="lpstr">
      <vt:lpstr>JEC-Jurczyk-2</vt:lpstr>
      <vt:lpstr>JEC-Jurczyk-3</vt:lpstr>
      <vt:lpstr>JEC-Jurczyk-4</vt:lpstr>
      <vt:lpstr>JEC-Jurczyk-5</vt:lpstr>
      <vt:lpstr>JEC-Jurczyk-6</vt:lpstr>
      <vt:lpstr>JEC-Jurczyk-7</vt:lpstr>
      <vt:lpstr>JEC-Jurczyk-8</vt:lpstr>
      <vt:lpstr>JEC-Jurczyk-9</vt:lpstr>
      <vt:lpstr>JEC-Jurczyk-10A</vt:lpstr>
      <vt:lpstr>10B</vt:lpstr>
      <vt:lpstr>10C</vt:lpstr>
      <vt:lpstr>JEC-Jurczyk-11A</vt:lpstr>
      <vt:lpstr>11B</vt:lpstr>
      <vt:lpstr>11C</vt:lpstr>
      <vt:lpstr>11D</vt:lpstr>
      <vt:lpstr>11E</vt:lpstr>
      <vt:lpstr>11F</vt:lpstr>
      <vt:lpstr>JEC-Jurczyk-12A</vt:lpstr>
      <vt:lpstr>12B</vt:lpstr>
      <vt:lpstr>12C</vt:lpstr>
      <vt:lpstr>12D</vt:lpstr>
      <vt:lpstr>12E</vt:lpstr>
      <vt:lpstr>JEC-Jurczyk-13A</vt:lpstr>
      <vt:lpstr>13B</vt:lpstr>
      <vt:lpstr>JEC-Jurczyk-14</vt:lpstr>
      <vt:lpstr>JEC-Jurczyk-15</vt:lpstr>
      <vt:lpstr>JEC-Jurczyk-16</vt:lpstr>
      <vt:lpstr>END</vt:lpstr>
      <vt:lpstr>Historic</vt:lpstr>
      <vt:lpstr>'10B'!Print_Area</vt:lpstr>
      <vt:lpstr>'10C'!Print_Area</vt:lpstr>
      <vt:lpstr>'11C'!Print_Area</vt:lpstr>
      <vt:lpstr>'11D'!Print_Area</vt:lpstr>
      <vt:lpstr>'11E'!Print_Area</vt:lpstr>
      <vt:lpstr>'11F'!Print_Area</vt:lpstr>
      <vt:lpstr>'12B'!Print_Area</vt:lpstr>
      <vt:lpstr>'13B'!Print_Area</vt:lpstr>
      <vt:lpstr>'JEC-Jurczyk-10A'!Print_Area</vt:lpstr>
      <vt:lpstr>'JEC-Jurczyk-12A'!Print_Area</vt:lpstr>
      <vt:lpstr>'JEC-Jurczyk-13A'!Print_Area</vt:lpstr>
      <vt:lpstr>'JEC-Jurczyk-14'!Print_Area</vt:lpstr>
      <vt:lpstr>'JEC-Jurczyk-2'!Print_Area</vt:lpstr>
      <vt:lpstr>'JEC-Jurczyk-3'!Print_Area</vt:lpstr>
      <vt:lpstr>'JEC-Jurczyk-4'!Print_Area</vt:lpstr>
      <vt:lpstr>'JEC-Jurczyk-5'!Print_Area</vt:lpstr>
      <vt:lpstr>'JEC-Jurczyk-6'!Print_Area</vt:lpstr>
      <vt:lpstr>'11C'!Print_Titles</vt:lpstr>
      <vt:lpstr>'11D'!Print_Titles</vt:lpstr>
      <vt:lpstr>'11E'!Print_Titles</vt:lpstr>
      <vt:lpstr>'11F'!Print_Titles</vt:lpstr>
      <vt:lpstr>'12C'!Print_Titles</vt:lpstr>
      <vt:lpstr>'12D'!Print_Titles</vt:lpstr>
      <vt:lpstr>'12E'!Print_Titles</vt:lpstr>
      <vt:lpstr>'JEC-Jurczyk-14'!Print_Titles</vt:lpstr>
      <vt:lpstr>'JEC-Jurczyk-15'!Print_Titles</vt:lpstr>
      <vt:lpstr>'JEC-Jurczyk-6'!Print_Titles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Jillian Jurczyk</dc:creator>
  <cp:lastModifiedBy>Jillian Jurczyk</cp:lastModifiedBy>
  <cp:lastPrinted>2026-05-22T20:53:50Z</cp:lastPrinted>
  <dcterms:created xsi:type="dcterms:W3CDTF">2026-05-13T13:38:58Z</dcterms:created>
  <dcterms:modified xsi:type="dcterms:W3CDTF">2026-05-22T21:00:00Z</dcterms:modified>
</cp:coreProperties>
</file>