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eenmountainpower.sharepoint.com/sites/Innovation/Shared Documents/OBrien Project/Pilot Filing/"/>
    </mc:Choice>
  </mc:AlternateContent>
  <xr:revisionPtr revIDLastSave="2" documentId="8_{DD82FFE1-DFA7-41D9-B2AF-F500F16EEF3F}" xr6:coauthVersionLast="47" xr6:coauthVersionMax="47" xr10:uidLastSave="{3EE3F979-37D2-4D60-8450-6F004EE552CA}"/>
  <bookViews>
    <workbookView xWindow="28680" yWindow="1695" windowWidth="29040" windowHeight="15720" activeTab="1" xr2:uid="{353EA497-9058-2A47-A923-A2037BCD8648}"/>
  </bookViews>
  <sheets>
    <sheet name="Res Package" sheetId="2" r:id="rId1"/>
    <sheet name="Proforma" sheetId="1" r:id="rId2"/>
  </sheets>
  <externalReferences>
    <externalReference r:id="rId3"/>
    <externalReference r:id="rId4"/>
    <externalReference r:id="rId5"/>
    <externalReference r:id="rId6"/>
  </externalReferences>
  <definedNames>
    <definedName name="BatterySizekWh">[1]RTE2!$N$3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3" i="2" l="1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F63" i="2"/>
  <c r="D22" i="1"/>
  <c r="D30" i="1"/>
  <c r="D26" i="2"/>
  <c r="I6" i="2"/>
  <c r="F53" i="2"/>
  <c r="F61" i="2"/>
  <c r="F56" i="2"/>
  <c r="F59" i="2" l="1"/>
  <c r="F47" i="2"/>
  <c r="F58" i="2"/>
  <c r="F48" i="2"/>
  <c r="D27" i="1"/>
  <c r="D29" i="1" s="1"/>
  <c r="D14" i="1" l="1"/>
  <c r="D10" i="2" l="1"/>
  <c r="D6" i="2"/>
  <c r="D8" i="1" l="1"/>
  <c r="E8" i="1"/>
  <c r="F8" i="1"/>
  <c r="G8" i="1"/>
  <c r="H8" i="1"/>
  <c r="I8" i="1"/>
  <c r="J8" i="1"/>
  <c r="K8" i="1"/>
  <c r="L8" i="1"/>
  <c r="M8" i="1"/>
  <c r="E9" i="1"/>
  <c r="F9" i="1"/>
  <c r="G9" i="1"/>
  <c r="H9" i="1"/>
  <c r="I9" i="1"/>
  <c r="J9" i="1"/>
  <c r="K9" i="1"/>
  <c r="L9" i="1"/>
  <c r="M9" i="1"/>
  <c r="N9" i="1"/>
  <c r="D11" i="1"/>
  <c r="D13" i="1" s="1"/>
  <c r="F23" i="1" l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E23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D10" i="1" l="1"/>
  <c r="D16" i="1"/>
  <c r="F51" i="2"/>
  <c r="E28" i="1" l="1"/>
  <c r="F15" i="1" l="1"/>
  <c r="G15" i="1"/>
  <c r="H15" i="1"/>
  <c r="I15" i="1"/>
  <c r="J15" i="1"/>
  <c r="K15" i="1"/>
  <c r="L15" i="1"/>
  <c r="M15" i="1"/>
  <c r="N15" i="1"/>
  <c r="N16" i="1" s="1"/>
  <c r="E15" i="1"/>
  <c r="E26" i="1"/>
  <c r="D26" i="1"/>
  <c r="E25" i="1"/>
  <c r="D25" i="1"/>
  <c r="T24" i="1"/>
  <c r="AD26" i="1" l="1"/>
  <c r="AD15" i="1"/>
  <c r="AD25" i="1"/>
  <c r="R24" i="1"/>
  <c r="O24" i="1"/>
  <c r="S24" i="1"/>
  <c r="Q24" i="1"/>
  <c r="P24" i="1"/>
  <c r="D24" i="1" l="1"/>
  <c r="E24" i="1" l="1"/>
  <c r="F24" i="1"/>
  <c r="G24" i="1" l="1"/>
  <c r="H24" i="1" l="1"/>
  <c r="I24" i="1" l="1"/>
  <c r="J24" i="1" l="1"/>
  <c r="K24" i="1" l="1"/>
  <c r="L24" i="1" l="1"/>
  <c r="AD23" i="1" l="1"/>
  <c r="AD22" i="1"/>
  <c r="M24" i="1" l="1"/>
  <c r="N24" i="1"/>
  <c r="AD24" i="1" s="1"/>
  <c r="E14" i="1" l="1"/>
  <c r="E16" i="1" s="1"/>
  <c r="F14" i="1"/>
  <c r="G14" i="1"/>
  <c r="G16" i="1" s="1"/>
  <c r="H14" i="1"/>
  <c r="H16" i="1" s="1"/>
  <c r="I14" i="1"/>
  <c r="I16" i="1" s="1"/>
  <c r="J14" i="1"/>
  <c r="J16" i="1" s="1"/>
  <c r="K14" i="1"/>
  <c r="K16" i="1" s="1"/>
  <c r="L14" i="1"/>
  <c r="L16" i="1" s="1"/>
  <c r="M14" i="1"/>
  <c r="M16" i="1" s="1"/>
  <c r="O12" i="1"/>
  <c r="P12" i="1"/>
  <c r="Q12" i="1"/>
  <c r="R12" i="1"/>
  <c r="S12" i="1"/>
  <c r="S13" i="1" s="1"/>
  <c r="N11" i="1"/>
  <c r="O11" i="1"/>
  <c r="Q11" i="1"/>
  <c r="F16" i="1" l="1"/>
  <c r="AD16" i="1" s="1"/>
  <c r="AD14" i="1"/>
  <c r="Q13" i="1"/>
  <c r="O13" i="1"/>
  <c r="R11" i="1"/>
  <c r="R13" i="1" s="1"/>
  <c r="P11" i="1"/>
  <c r="P13" i="1" s="1"/>
  <c r="G51" i="2" l="1"/>
  <c r="H51" i="2" s="1"/>
  <c r="I51" i="2" s="1"/>
  <c r="J51" i="2" s="1"/>
  <c r="K51" i="2" s="1"/>
  <c r="L51" i="2" s="1"/>
  <c r="M51" i="2" s="1"/>
  <c r="N51" i="2" s="1"/>
  <c r="O51" i="2" s="1"/>
  <c r="P51" i="2" s="1"/>
  <c r="Q51" i="2" s="1"/>
  <c r="R51" i="2" s="1"/>
  <c r="S51" i="2" s="1"/>
  <c r="T51" i="2" s="1"/>
  <c r="U51" i="2" s="1"/>
  <c r="V51" i="2" s="1"/>
  <c r="W51" i="2" s="1"/>
  <c r="X51" i="2" s="1"/>
  <c r="Y51" i="2" s="1"/>
  <c r="Z51" i="2" s="1"/>
  <c r="AA51" i="2" s="1"/>
  <c r="AB51" i="2" s="1"/>
  <c r="AC51" i="2" s="1"/>
  <c r="AD51" i="2" s="1"/>
  <c r="AE51" i="2" s="1"/>
  <c r="Q47" i="2"/>
  <c r="R47" i="2" s="1"/>
  <c r="S47" i="2" s="1"/>
  <c r="T47" i="2" s="1"/>
  <c r="U47" i="2" s="1"/>
  <c r="V47" i="2" s="1"/>
  <c r="W47" i="2" s="1"/>
  <c r="X47" i="2" s="1"/>
  <c r="Y47" i="2" s="1"/>
  <c r="Z47" i="2" s="1"/>
  <c r="AA47" i="2" s="1"/>
  <c r="AB47" i="2" s="1"/>
  <c r="AC47" i="2" s="1"/>
  <c r="AD47" i="2" s="1"/>
  <c r="AE47" i="2" s="1"/>
  <c r="M47" i="2"/>
  <c r="F36" i="2"/>
  <c r="F35" i="2"/>
  <c r="G35" i="2" s="1"/>
  <c r="H35" i="2" s="1"/>
  <c r="I35" i="2" s="1"/>
  <c r="J35" i="2" s="1"/>
  <c r="K35" i="2" s="1"/>
  <c r="L35" i="2" s="1"/>
  <c r="M35" i="2" s="1"/>
  <c r="N35" i="2" s="1"/>
  <c r="O35" i="2" s="1"/>
  <c r="P35" i="2" s="1"/>
  <c r="Q35" i="2" s="1"/>
  <c r="R35" i="2" s="1"/>
  <c r="S35" i="2" s="1"/>
  <c r="T35" i="2" s="1"/>
  <c r="U35" i="2" s="1"/>
  <c r="V35" i="2" s="1"/>
  <c r="W35" i="2" s="1"/>
  <c r="X35" i="2" s="1"/>
  <c r="Y35" i="2" s="1"/>
  <c r="Z35" i="2" s="1"/>
  <c r="AA35" i="2" s="1"/>
  <c r="AB35" i="2" s="1"/>
  <c r="AC35" i="2" s="1"/>
  <c r="AD35" i="2" s="1"/>
  <c r="AE35" i="2" s="1"/>
  <c r="F34" i="2"/>
  <c r="F33" i="2"/>
  <c r="F32" i="2"/>
  <c r="G32" i="2" s="1"/>
  <c r="H32" i="2" s="1"/>
  <c r="I32" i="2" s="1"/>
  <c r="J32" i="2" s="1"/>
  <c r="K32" i="2" s="1"/>
  <c r="L32" i="2" s="1"/>
  <c r="M32" i="2" s="1"/>
  <c r="N32" i="2" s="1"/>
  <c r="O32" i="2" s="1"/>
  <c r="P32" i="2" s="1"/>
  <c r="Q32" i="2" s="1"/>
  <c r="R32" i="2" s="1"/>
  <c r="S32" i="2" s="1"/>
  <c r="T32" i="2" s="1"/>
  <c r="U32" i="2" s="1"/>
  <c r="V32" i="2" s="1"/>
  <c r="W32" i="2" s="1"/>
  <c r="X32" i="2" s="1"/>
  <c r="Y32" i="2" s="1"/>
  <c r="Z32" i="2" s="1"/>
  <c r="AA32" i="2" s="1"/>
  <c r="AB32" i="2" s="1"/>
  <c r="AC32" i="2" s="1"/>
  <c r="AD32" i="2" s="1"/>
  <c r="AE32" i="2" s="1"/>
  <c r="F31" i="2"/>
  <c r="D8" i="2"/>
  <c r="F38" i="2" l="1"/>
  <c r="F39" i="2"/>
  <c r="F41" i="2" s="1"/>
  <c r="F43" i="2"/>
  <c r="F45" i="2" s="1"/>
  <c r="D33" i="1"/>
  <c r="F50" i="2"/>
  <c r="F52" i="2" s="1"/>
  <c r="G34" i="2"/>
  <c r="E30" i="1"/>
  <c r="I47" i="2"/>
  <c r="G33" i="2"/>
  <c r="H33" i="2" s="1"/>
  <c r="I33" i="2" s="1"/>
  <c r="J33" i="2" s="1"/>
  <c r="H47" i="2"/>
  <c r="J47" i="2"/>
  <c r="G47" i="2"/>
  <c r="K47" i="2"/>
  <c r="O47" i="2"/>
  <c r="H34" i="2"/>
  <c r="G31" i="2"/>
  <c r="H31" i="2" s="1"/>
  <c r="I31" i="2" s="1"/>
  <c r="J31" i="2" s="1"/>
  <c r="K31" i="2" s="1"/>
  <c r="L31" i="2" s="1"/>
  <c r="M31" i="2" s="1"/>
  <c r="N31" i="2" s="1"/>
  <c r="O31" i="2" s="1"/>
  <c r="P31" i="2" s="1"/>
  <c r="Q31" i="2" s="1"/>
  <c r="R31" i="2" s="1"/>
  <c r="S31" i="2" s="1"/>
  <c r="T31" i="2" s="1"/>
  <c r="U31" i="2" s="1"/>
  <c r="V31" i="2" s="1"/>
  <c r="W31" i="2" s="1"/>
  <c r="X31" i="2" s="1"/>
  <c r="Y31" i="2" s="1"/>
  <c r="Z31" i="2" s="1"/>
  <c r="AA31" i="2" s="1"/>
  <c r="AB31" i="2" s="1"/>
  <c r="AC31" i="2" s="1"/>
  <c r="AD31" i="2" s="1"/>
  <c r="AE31" i="2" s="1"/>
  <c r="G36" i="2"/>
  <c r="N47" i="2"/>
  <c r="G48" i="2"/>
  <c r="L47" i="2"/>
  <c r="G31" i="1" l="1"/>
  <c r="F30" i="1"/>
  <c r="E31" i="1"/>
  <c r="E32" i="1" s="1"/>
  <c r="D32" i="1"/>
  <c r="F31" i="1"/>
  <c r="D17" i="1"/>
  <c r="D19" i="1" s="1"/>
  <c r="F28" i="1"/>
  <c r="E27" i="1"/>
  <c r="E34" i="1"/>
  <c r="E18" i="1"/>
  <c r="H48" i="2"/>
  <c r="G38" i="2"/>
  <c r="H36" i="2"/>
  <c r="G39" i="2"/>
  <c r="G43" i="2"/>
  <c r="K33" i="2"/>
  <c r="G50" i="2"/>
  <c r="G52" i="2" s="1"/>
  <c r="G53" i="2" s="1"/>
  <c r="I34" i="2"/>
  <c r="H50" i="2"/>
  <c r="H52" i="2" s="1"/>
  <c r="H53" i="2" s="1"/>
  <c r="F32" i="1" l="1"/>
  <c r="H31" i="1"/>
  <c r="G30" i="1"/>
  <c r="G32" i="1" s="1"/>
  <c r="G28" i="1"/>
  <c r="F27" i="1"/>
  <c r="F29" i="1" s="1"/>
  <c r="E29" i="1"/>
  <c r="E17" i="1"/>
  <c r="E19" i="1" s="1"/>
  <c r="F18" i="1"/>
  <c r="F34" i="1"/>
  <c r="E33" i="1"/>
  <c r="E35" i="1" s="1"/>
  <c r="D35" i="1"/>
  <c r="G41" i="2"/>
  <c r="I48" i="2"/>
  <c r="G45" i="2"/>
  <c r="L33" i="2"/>
  <c r="I36" i="2"/>
  <c r="H43" i="2"/>
  <c r="H38" i="2"/>
  <c r="H39" i="2"/>
  <c r="J34" i="2"/>
  <c r="I50" i="2"/>
  <c r="I52" i="2" s="1"/>
  <c r="I53" i="2" s="1"/>
  <c r="E36" i="1" l="1"/>
  <c r="I31" i="1"/>
  <c r="H30" i="1"/>
  <c r="H28" i="1"/>
  <c r="G27" i="1"/>
  <c r="G34" i="1"/>
  <c r="F33" i="1"/>
  <c r="F17" i="1"/>
  <c r="G18" i="1"/>
  <c r="D36" i="1"/>
  <c r="H41" i="2"/>
  <c r="J48" i="2"/>
  <c r="M33" i="2"/>
  <c r="H45" i="2"/>
  <c r="I43" i="2"/>
  <c r="I39" i="2"/>
  <c r="J36" i="2"/>
  <c r="I38" i="2"/>
  <c r="K34" i="2"/>
  <c r="H32" i="1" l="1"/>
  <c r="J31" i="1"/>
  <c r="I30" i="1"/>
  <c r="I32" i="1" s="1"/>
  <c r="I28" i="1"/>
  <c r="H27" i="1"/>
  <c r="H29" i="1" s="1"/>
  <c r="G29" i="1"/>
  <c r="F35" i="1"/>
  <c r="G17" i="1"/>
  <c r="G19" i="1" s="1"/>
  <c r="H18" i="1"/>
  <c r="H34" i="1"/>
  <c r="G33" i="1"/>
  <c r="G35" i="1" s="1"/>
  <c r="F19" i="1"/>
  <c r="K48" i="2"/>
  <c r="I41" i="2"/>
  <c r="J50" i="2"/>
  <c r="J52" i="2" s="1"/>
  <c r="J53" i="2" s="1"/>
  <c r="K36" i="2"/>
  <c r="J43" i="2"/>
  <c r="J38" i="2"/>
  <c r="J39" i="2"/>
  <c r="I45" i="2"/>
  <c r="N33" i="2"/>
  <c r="L34" i="2"/>
  <c r="G36" i="1" l="1"/>
  <c r="K31" i="1"/>
  <c r="J30" i="1"/>
  <c r="J32" i="1" s="1"/>
  <c r="J28" i="1"/>
  <c r="I27" i="1"/>
  <c r="I34" i="1"/>
  <c r="H33" i="1"/>
  <c r="H17" i="1"/>
  <c r="I18" i="1"/>
  <c r="F36" i="1"/>
  <c r="L48" i="2"/>
  <c r="L50" i="2" s="1"/>
  <c r="L52" i="2" s="1"/>
  <c r="L53" i="2" s="1"/>
  <c r="J41" i="2"/>
  <c r="K50" i="2"/>
  <c r="K52" i="2" s="1"/>
  <c r="K53" i="2" s="1"/>
  <c r="O33" i="2"/>
  <c r="J45" i="2"/>
  <c r="M34" i="2"/>
  <c r="L36" i="2"/>
  <c r="K43" i="2"/>
  <c r="K38" i="2"/>
  <c r="K39" i="2"/>
  <c r="L31" i="1" l="1"/>
  <c r="K30" i="1"/>
  <c r="K28" i="1"/>
  <c r="J27" i="1"/>
  <c r="J29" i="1" s="1"/>
  <c r="I29" i="1"/>
  <c r="H35" i="1"/>
  <c r="J34" i="1"/>
  <c r="I33" i="1"/>
  <c r="I35" i="1" s="1"/>
  <c r="I17" i="1"/>
  <c r="I19" i="1" s="1"/>
  <c r="J18" i="1"/>
  <c r="H19" i="1"/>
  <c r="K41" i="2"/>
  <c r="M48" i="2"/>
  <c r="M50" i="2" s="1"/>
  <c r="M52" i="2" s="1"/>
  <c r="M53" i="2" s="1"/>
  <c r="M36" i="2"/>
  <c r="L43" i="2"/>
  <c r="L38" i="2"/>
  <c r="L39" i="2"/>
  <c r="K45" i="2"/>
  <c r="N34" i="2"/>
  <c r="P33" i="2"/>
  <c r="K32" i="1" l="1"/>
  <c r="M31" i="1"/>
  <c r="L30" i="1"/>
  <c r="L32" i="1" s="1"/>
  <c r="I36" i="1"/>
  <c r="L28" i="1"/>
  <c r="K27" i="1"/>
  <c r="K34" i="1"/>
  <c r="J33" i="1"/>
  <c r="H36" i="1"/>
  <c r="J17" i="1"/>
  <c r="J19" i="1" s="1"/>
  <c r="K18" i="1"/>
  <c r="L41" i="2"/>
  <c r="N48" i="2"/>
  <c r="L45" i="2"/>
  <c r="O34" i="2"/>
  <c r="N50" i="2"/>
  <c r="N52" i="2" s="1"/>
  <c r="N53" i="2" s="1"/>
  <c r="Q33" i="2"/>
  <c r="M39" i="2"/>
  <c r="M43" i="2"/>
  <c r="M38" i="2"/>
  <c r="N36" i="2"/>
  <c r="N31" i="1" l="1"/>
  <c r="M30" i="1"/>
  <c r="M32" i="1" s="1"/>
  <c r="M28" i="1"/>
  <c r="L27" i="1"/>
  <c r="L29" i="1" s="1"/>
  <c r="K29" i="1"/>
  <c r="J35" i="1"/>
  <c r="K17" i="1"/>
  <c r="L18" i="1"/>
  <c r="K33" i="1"/>
  <c r="K35" i="1" s="1"/>
  <c r="L34" i="1"/>
  <c r="M45" i="2"/>
  <c r="M41" i="2"/>
  <c r="O48" i="2"/>
  <c r="O50" i="2" s="1"/>
  <c r="O52" i="2" s="1"/>
  <c r="O53" i="2" s="1"/>
  <c r="N39" i="2"/>
  <c r="O36" i="2"/>
  <c r="N43" i="2"/>
  <c r="N38" i="2"/>
  <c r="R33" i="2"/>
  <c r="P34" i="2"/>
  <c r="O31" i="1" l="1"/>
  <c r="N30" i="1"/>
  <c r="N32" i="1" s="1"/>
  <c r="K36" i="1"/>
  <c r="N28" i="1"/>
  <c r="M27" i="1"/>
  <c r="M18" i="1"/>
  <c r="L17" i="1"/>
  <c r="L19" i="1" s="1"/>
  <c r="J36" i="1"/>
  <c r="K19" i="1"/>
  <c r="M34" i="1"/>
  <c r="L33" i="1"/>
  <c r="P48" i="2"/>
  <c r="S33" i="2"/>
  <c r="O38" i="2"/>
  <c r="O39" i="2"/>
  <c r="O43" i="2"/>
  <c r="P36" i="2"/>
  <c r="Q34" i="2"/>
  <c r="N45" i="2"/>
  <c r="N41" i="2"/>
  <c r="P31" i="1" l="1"/>
  <c r="O30" i="1"/>
  <c r="O32" i="1" s="1"/>
  <c r="O28" i="1"/>
  <c r="N27" i="1"/>
  <c r="N29" i="1" s="1"/>
  <c r="M29" i="1"/>
  <c r="N34" i="1"/>
  <c r="M33" i="1"/>
  <c r="M35" i="1" s="1"/>
  <c r="N18" i="1"/>
  <c r="M17" i="1"/>
  <c r="M19" i="1" s="1"/>
  <c r="L35" i="1"/>
  <c r="O41" i="2"/>
  <c r="Q48" i="2"/>
  <c r="P50" i="2"/>
  <c r="P52" i="2" s="1"/>
  <c r="P53" i="2" s="1"/>
  <c r="O45" i="2"/>
  <c r="Q36" i="2"/>
  <c r="P43" i="2"/>
  <c r="P39" i="2"/>
  <c r="P38" i="2"/>
  <c r="R34" i="2"/>
  <c r="T33" i="2"/>
  <c r="Q31" i="1" l="1"/>
  <c r="P30" i="1"/>
  <c r="P32" i="1" s="1"/>
  <c r="M36" i="1"/>
  <c r="Q50" i="2"/>
  <c r="Q52" i="2" s="1"/>
  <c r="Q53" i="2" s="1"/>
  <c r="P28" i="1"/>
  <c r="O27" i="1"/>
  <c r="N33" i="1"/>
  <c r="N35" i="1" s="1"/>
  <c r="N36" i="1" s="1"/>
  <c r="O34" i="1"/>
  <c r="N17" i="1"/>
  <c r="N19" i="1" s="1"/>
  <c r="O18" i="1"/>
  <c r="L36" i="1"/>
  <c r="R48" i="2"/>
  <c r="P41" i="2"/>
  <c r="U33" i="2"/>
  <c r="S34" i="2"/>
  <c r="P45" i="2"/>
  <c r="Q43" i="2"/>
  <c r="R36" i="2"/>
  <c r="Q38" i="2"/>
  <c r="Q39" i="2"/>
  <c r="R31" i="1" l="1"/>
  <c r="Q30" i="1"/>
  <c r="Q32" i="1" s="1"/>
  <c r="R50" i="2"/>
  <c r="R52" i="2" s="1"/>
  <c r="R53" i="2" s="1"/>
  <c r="Q28" i="1"/>
  <c r="P27" i="1"/>
  <c r="P29" i="1" s="1"/>
  <c r="O29" i="1"/>
  <c r="P18" i="1"/>
  <c r="O17" i="1"/>
  <c r="O19" i="1" s="1"/>
  <c r="O20" i="1" s="1"/>
  <c r="O33" i="1"/>
  <c r="O35" i="1" s="1"/>
  <c r="P34" i="1"/>
  <c r="S48" i="2"/>
  <c r="Q45" i="2"/>
  <c r="S36" i="2"/>
  <c r="R43" i="2"/>
  <c r="R39" i="2"/>
  <c r="R38" i="2"/>
  <c r="V33" i="2"/>
  <c r="T34" i="2"/>
  <c r="S50" i="2"/>
  <c r="S52" i="2" s="1"/>
  <c r="S53" i="2" s="1"/>
  <c r="Q41" i="2"/>
  <c r="S31" i="1" l="1"/>
  <c r="R30" i="1"/>
  <c r="R32" i="1" s="1"/>
  <c r="R28" i="1"/>
  <c r="Q27" i="1"/>
  <c r="O36" i="1"/>
  <c r="O37" i="1" s="1"/>
  <c r="P33" i="1"/>
  <c r="P35" i="1" s="1"/>
  <c r="P36" i="1" s="1"/>
  <c r="Q34" i="1"/>
  <c r="P17" i="1"/>
  <c r="P19" i="1" s="1"/>
  <c r="P20" i="1" s="1"/>
  <c r="Q18" i="1"/>
  <c r="R41" i="2"/>
  <c r="T48" i="2"/>
  <c r="U34" i="2"/>
  <c r="W33" i="2"/>
  <c r="R45" i="2"/>
  <c r="T36" i="2"/>
  <c r="S38" i="2"/>
  <c r="S43" i="2"/>
  <c r="S39" i="2"/>
  <c r="T31" i="1" l="1"/>
  <c r="S30" i="1"/>
  <c r="S32" i="1" s="1"/>
  <c r="S28" i="1"/>
  <c r="R27" i="1"/>
  <c r="R29" i="1" s="1"/>
  <c r="Q29" i="1"/>
  <c r="Q33" i="1"/>
  <c r="Q35" i="1" s="1"/>
  <c r="R34" i="1"/>
  <c r="Q17" i="1"/>
  <c r="Q19" i="1" s="1"/>
  <c r="Q20" i="1" s="1"/>
  <c r="R18" i="1"/>
  <c r="P37" i="1"/>
  <c r="U48" i="2"/>
  <c r="T50" i="2"/>
  <c r="T52" i="2" s="1"/>
  <c r="T53" i="2" s="1"/>
  <c r="S45" i="2"/>
  <c r="U36" i="2"/>
  <c r="T38" i="2"/>
  <c r="T39" i="2"/>
  <c r="T43" i="2"/>
  <c r="X33" i="2"/>
  <c r="S41" i="2"/>
  <c r="V34" i="2"/>
  <c r="U50" i="2"/>
  <c r="U52" i="2" s="1"/>
  <c r="U53" i="2" s="1"/>
  <c r="U31" i="1" l="1"/>
  <c r="T30" i="1"/>
  <c r="T32" i="1" s="1"/>
  <c r="Q36" i="1"/>
  <c r="Q37" i="1" s="1"/>
  <c r="T28" i="1"/>
  <c r="S27" i="1"/>
  <c r="S18" i="1"/>
  <c r="R17" i="1"/>
  <c r="R19" i="1" s="1"/>
  <c r="R20" i="1" s="1"/>
  <c r="S34" i="1"/>
  <c r="R33" i="1"/>
  <c r="R35" i="1" s="1"/>
  <c r="R36" i="1" s="1"/>
  <c r="T45" i="2"/>
  <c r="T41" i="2"/>
  <c r="V48" i="2"/>
  <c r="U39" i="2"/>
  <c r="U38" i="2"/>
  <c r="U43" i="2"/>
  <c r="V36" i="2"/>
  <c r="Y33" i="2"/>
  <c r="W34" i="2"/>
  <c r="V31" i="1" l="1"/>
  <c r="U30" i="1"/>
  <c r="U32" i="1" s="1"/>
  <c r="U28" i="1"/>
  <c r="T27" i="1"/>
  <c r="T29" i="1" s="1"/>
  <c r="S29" i="1"/>
  <c r="R37" i="1"/>
  <c r="T18" i="1"/>
  <c r="S17" i="1"/>
  <c r="S19" i="1" s="1"/>
  <c r="S20" i="1" s="1"/>
  <c r="S33" i="1"/>
  <c r="S35" i="1" s="1"/>
  <c r="T34" i="1"/>
  <c r="U45" i="2"/>
  <c r="W48" i="2"/>
  <c r="V50" i="2"/>
  <c r="V52" i="2" s="1"/>
  <c r="V53" i="2" s="1"/>
  <c r="X34" i="2"/>
  <c r="Z33" i="2"/>
  <c r="V38" i="2"/>
  <c r="V43" i="2"/>
  <c r="V39" i="2"/>
  <c r="W36" i="2"/>
  <c r="U41" i="2"/>
  <c r="S36" i="1" l="1"/>
  <c r="S37" i="1" s="1"/>
  <c r="W31" i="1"/>
  <c r="V30" i="1"/>
  <c r="V32" i="1" s="1"/>
  <c r="W50" i="2"/>
  <c r="W52" i="2" s="1"/>
  <c r="W53" i="2" s="1"/>
  <c r="V28" i="1"/>
  <c r="U27" i="1"/>
  <c r="U18" i="1"/>
  <c r="T17" i="1"/>
  <c r="T19" i="1" s="1"/>
  <c r="T20" i="1" s="1"/>
  <c r="U34" i="1"/>
  <c r="T33" i="1"/>
  <c r="T35" i="1" s="1"/>
  <c r="T36" i="1" s="1"/>
  <c r="V41" i="2"/>
  <c r="X48" i="2"/>
  <c r="W38" i="2"/>
  <c r="W43" i="2"/>
  <c r="W39" i="2"/>
  <c r="X36" i="2"/>
  <c r="V45" i="2"/>
  <c r="AA33" i="2"/>
  <c r="Y34" i="2"/>
  <c r="X31" i="1" l="1"/>
  <c r="W30" i="1"/>
  <c r="W32" i="1" s="1"/>
  <c r="W28" i="1"/>
  <c r="V27" i="1"/>
  <c r="V29" i="1" s="1"/>
  <c r="U29" i="1"/>
  <c r="T37" i="1"/>
  <c r="V18" i="1"/>
  <c r="U17" i="1"/>
  <c r="U19" i="1" s="1"/>
  <c r="U20" i="1" s="1"/>
  <c r="V34" i="1"/>
  <c r="U33" i="1"/>
  <c r="U35" i="1" s="1"/>
  <c r="Y48" i="2"/>
  <c r="Y50" i="2" s="1"/>
  <c r="Y52" i="2" s="1"/>
  <c r="Y53" i="2" s="1"/>
  <c r="W45" i="2"/>
  <c r="W41" i="2"/>
  <c r="X50" i="2"/>
  <c r="X52" i="2" s="1"/>
  <c r="X53" i="2" s="1"/>
  <c r="AB33" i="2"/>
  <c r="Z34" i="2"/>
  <c r="Y36" i="2"/>
  <c r="X43" i="2"/>
  <c r="X39" i="2"/>
  <c r="X38" i="2"/>
  <c r="Y31" i="1" l="1"/>
  <c r="X30" i="1"/>
  <c r="X32" i="1" s="1"/>
  <c r="U36" i="1"/>
  <c r="X28" i="1"/>
  <c r="W27" i="1"/>
  <c r="W34" i="1"/>
  <c r="V33" i="1"/>
  <c r="V35" i="1" s="1"/>
  <c r="V36" i="1" s="1"/>
  <c r="W18" i="1"/>
  <c r="V17" i="1"/>
  <c r="V19" i="1" s="1"/>
  <c r="V20" i="1" s="1"/>
  <c r="X45" i="2"/>
  <c r="Z48" i="2"/>
  <c r="Y43" i="2"/>
  <c r="Y38" i="2"/>
  <c r="Z36" i="2"/>
  <c r="Y39" i="2"/>
  <c r="AC33" i="2"/>
  <c r="X41" i="2"/>
  <c r="AA34" i="2"/>
  <c r="U37" i="1" l="1"/>
  <c r="Z31" i="1"/>
  <c r="Y30" i="1"/>
  <c r="Y32" i="1" s="1"/>
  <c r="Y28" i="1"/>
  <c r="X27" i="1"/>
  <c r="X29" i="1" s="1"/>
  <c r="W29" i="1"/>
  <c r="X18" i="1"/>
  <c r="W17" i="1"/>
  <c r="W19" i="1" s="1"/>
  <c r="W20" i="1" s="1"/>
  <c r="V37" i="1"/>
  <c r="X34" i="1"/>
  <c r="W33" i="1"/>
  <c r="W35" i="1" s="1"/>
  <c r="Y41" i="2"/>
  <c r="AA48" i="2"/>
  <c r="Z50" i="2"/>
  <c r="Z52" i="2" s="1"/>
  <c r="Z53" i="2" s="1"/>
  <c r="AB34" i="2"/>
  <c r="AD33" i="2"/>
  <c r="Z39" i="2"/>
  <c r="AA36" i="2"/>
  <c r="Z38" i="2"/>
  <c r="Z43" i="2"/>
  <c r="Y45" i="2"/>
  <c r="AA31" i="1" l="1"/>
  <c r="Z30" i="1"/>
  <c r="Z32" i="1" s="1"/>
  <c r="W36" i="1"/>
  <c r="Z28" i="1"/>
  <c r="Y27" i="1"/>
  <c r="X17" i="1"/>
  <c r="X19" i="1" s="1"/>
  <c r="X20" i="1" s="1"/>
  <c r="Y18" i="1"/>
  <c r="Y34" i="1"/>
  <c r="X33" i="1"/>
  <c r="X35" i="1" s="1"/>
  <c r="X36" i="1" s="1"/>
  <c r="AB48" i="2"/>
  <c r="AB50" i="2" s="1"/>
  <c r="AB52" i="2" s="1"/>
  <c r="AB53" i="2" s="1"/>
  <c r="AA50" i="2"/>
  <c r="AA52" i="2" s="1"/>
  <c r="AA53" i="2" s="1"/>
  <c r="Z45" i="2"/>
  <c r="AB36" i="2"/>
  <c r="AA39" i="2"/>
  <c r="AA38" i="2"/>
  <c r="AA43" i="2"/>
  <c r="Z41" i="2"/>
  <c r="AE33" i="2"/>
  <c r="AC34" i="2"/>
  <c r="W37" i="1" l="1"/>
  <c r="AB31" i="1"/>
  <c r="AA30" i="1"/>
  <c r="AA32" i="1" s="1"/>
  <c r="AA28" i="1"/>
  <c r="Z27" i="1"/>
  <c r="Z29" i="1" s="1"/>
  <c r="Y29" i="1"/>
  <c r="X37" i="1"/>
  <c r="Y17" i="1"/>
  <c r="Y19" i="1" s="1"/>
  <c r="Y20" i="1" s="1"/>
  <c r="Z18" i="1"/>
  <c r="Z34" i="1"/>
  <c r="Y33" i="1"/>
  <c r="Y35" i="1" s="1"/>
  <c r="AC48" i="2"/>
  <c r="AA45" i="2"/>
  <c r="AA41" i="2"/>
  <c r="AD34" i="2"/>
  <c r="AC50" i="2"/>
  <c r="AC52" i="2" s="1"/>
  <c r="AC53" i="2" s="1"/>
  <c r="AC36" i="2"/>
  <c r="AB38" i="2"/>
  <c r="AB43" i="2"/>
  <c r="AB39" i="2"/>
  <c r="AC31" i="1" l="1"/>
  <c r="AB30" i="1"/>
  <c r="Y36" i="1"/>
  <c r="AB28" i="1"/>
  <c r="AA27" i="1"/>
  <c r="AA18" i="1"/>
  <c r="Z17" i="1"/>
  <c r="Z19" i="1" s="1"/>
  <c r="Z20" i="1" s="1"/>
  <c r="AA34" i="1"/>
  <c r="Z33" i="1"/>
  <c r="Z35" i="1" s="1"/>
  <c r="Z36" i="1" s="1"/>
  <c r="AB41" i="2"/>
  <c r="AB45" i="2"/>
  <c r="AD48" i="2"/>
  <c r="AC39" i="2"/>
  <c r="AD36" i="2"/>
  <c r="AC38" i="2"/>
  <c r="AC43" i="2"/>
  <c r="AE34" i="2"/>
  <c r="Y37" i="1" l="1"/>
  <c r="AB32" i="1"/>
  <c r="AD30" i="1"/>
  <c r="AC32" i="1"/>
  <c r="AD31" i="1"/>
  <c r="AC28" i="1"/>
  <c r="AC29" i="1" s="1"/>
  <c r="AB27" i="1"/>
  <c r="AB29" i="1" s="1"/>
  <c r="AA29" i="1"/>
  <c r="AD28" i="1"/>
  <c r="Z37" i="1"/>
  <c r="AA17" i="1"/>
  <c r="AA19" i="1" s="1"/>
  <c r="AA20" i="1" s="1"/>
  <c r="AB18" i="1"/>
  <c r="AB34" i="1"/>
  <c r="AA33" i="1"/>
  <c r="AA35" i="1" s="1"/>
  <c r="AE48" i="2"/>
  <c r="AE50" i="2"/>
  <c r="AE52" i="2" s="1"/>
  <c r="AE53" i="2" s="1"/>
  <c r="AD50" i="2"/>
  <c r="AD52" i="2" s="1"/>
  <c r="AD53" i="2" s="1"/>
  <c r="AC45" i="2"/>
  <c r="AD38" i="2"/>
  <c r="AE36" i="2"/>
  <c r="AD43" i="2"/>
  <c r="AD39" i="2"/>
  <c r="AC41" i="2"/>
  <c r="AD32" i="1" l="1"/>
  <c r="AA36" i="1"/>
  <c r="AA37" i="1" s="1"/>
  <c r="AD27" i="1"/>
  <c r="AD29" i="1"/>
  <c r="AC18" i="1"/>
  <c r="AB17" i="1"/>
  <c r="AC34" i="1"/>
  <c r="AB33" i="1"/>
  <c r="AD41" i="2"/>
  <c r="AD45" i="2"/>
  <c r="AE38" i="2"/>
  <c r="AE43" i="2"/>
  <c r="AE39" i="2"/>
  <c r="AB35" i="1" l="1"/>
  <c r="AB36" i="1" s="1"/>
  <c r="AD33" i="1"/>
  <c r="AC19" i="1"/>
  <c r="AD18" i="1"/>
  <c r="AC35" i="1"/>
  <c r="AD34" i="1"/>
  <c r="AB19" i="1"/>
  <c r="AB20" i="1" s="1"/>
  <c r="AD17" i="1"/>
  <c r="AE41" i="2"/>
  <c r="F55" i="2" s="1"/>
  <c r="AE45" i="2"/>
  <c r="AC36" i="1" l="1"/>
  <c r="AD36" i="1" s="1"/>
  <c r="AD35" i="1"/>
  <c r="AC20" i="1"/>
  <c r="AD19" i="1"/>
  <c r="AB37" i="1"/>
  <c r="E12" i="1"/>
  <c r="AC37" i="1" l="1"/>
  <c r="F11" i="1"/>
  <c r="E11" i="1"/>
  <c r="E13" i="1" s="1"/>
  <c r="D20" i="1" l="1"/>
  <c r="F12" i="1" l="1"/>
  <c r="I11" i="1"/>
  <c r="J12" i="1"/>
  <c r="I12" i="1"/>
  <c r="H11" i="1"/>
  <c r="G11" i="1"/>
  <c r="H12" i="1"/>
  <c r="K12" i="1"/>
  <c r="J11" i="1"/>
  <c r="L12" i="1"/>
  <c r="K11" i="1"/>
  <c r="M12" i="1"/>
  <c r="L11" i="1"/>
  <c r="G12" i="1"/>
  <c r="M11" i="1"/>
  <c r="N12" i="1"/>
  <c r="N13" i="1" s="1"/>
  <c r="AD11" i="1" l="1"/>
  <c r="AD12" i="1"/>
  <c r="L13" i="1"/>
  <c r="F13" i="1"/>
  <c r="I13" i="1"/>
  <c r="H13" i="1"/>
  <c r="M13" i="1"/>
  <c r="K13" i="1"/>
  <c r="J13" i="1"/>
  <c r="G13" i="1"/>
  <c r="AD13" i="1" l="1"/>
  <c r="F10" i="1" l="1"/>
  <c r="F20" i="1" s="1"/>
  <c r="F37" i="1" s="1"/>
  <c r="G10" i="1" l="1"/>
  <c r="G20" i="1" s="1"/>
  <c r="G37" i="1" s="1"/>
  <c r="E10" i="1"/>
  <c r="E20" i="1" s="1"/>
  <c r="E37" i="1" s="1"/>
  <c r="D37" i="1" l="1"/>
  <c r="I10" i="1" l="1"/>
  <c r="H10" i="1"/>
  <c r="J10" i="1"/>
  <c r="J20" i="1" s="1"/>
  <c r="J37" i="1" s="1"/>
  <c r="H20" i="1" l="1"/>
  <c r="I20" i="1"/>
  <c r="I37" i="1" s="1"/>
  <c r="K10" i="1"/>
  <c r="K20" i="1" s="1"/>
  <c r="K37" i="1" s="1"/>
  <c r="H37" i="1" l="1"/>
  <c r="L10" i="1"/>
  <c r="L20" i="1" s="1"/>
  <c r="L37" i="1" s="1"/>
  <c r="AD9" i="1" l="1"/>
  <c r="N10" i="1" l="1"/>
  <c r="M10" i="1"/>
  <c r="AD8" i="1"/>
  <c r="M20" i="1" l="1"/>
  <c r="AD10" i="1"/>
  <c r="N20" i="1"/>
  <c r="N37" i="1" s="1"/>
  <c r="M37" i="1" l="1"/>
  <c r="AD20" i="1"/>
  <c r="AD37" i="1" l="1"/>
  <c r="D4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tc={883A6749-779E-49A2-9BC9-00494A45B0C5}</author>
    <author>tc={CEF45D67-20BB-49FB-98A6-9CC5A419B062}</author>
  </authors>
  <commentList>
    <comment ref="D6" authorId="0" shapeId="0" xr:uid="{883A6749-779E-49A2-9BC9-00494A45B0C5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 to revised estimate of 1,200/month</t>
      </text>
    </comment>
    <comment ref="D10" authorId="1" shapeId="0" xr:uid="{CEF45D67-20BB-49FB-98A6-9CC5A419B062}">
      <text>
        <t>[Threaded comment]
Your version of Excel allows you to read this threaded comment; however, any edits to it will get removed if the file is opened in a newer version of Excel. Learn more: https://go.microsoft.com/fwlink/?linkid=870924
Comment:
    5 of 23 have EVs</t>
      </text>
    </comment>
  </commentList>
</comments>
</file>

<file path=xl/sharedStrings.xml><?xml version="1.0" encoding="utf-8"?>
<sst xmlns="http://schemas.openxmlformats.org/spreadsheetml/2006/main" count="118" uniqueCount="109">
  <si>
    <t>Unit</t>
  </si>
  <si>
    <t>notes</t>
  </si>
  <si>
    <t>Rate Escalation</t>
  </si>
  <si>
    <t>Rate 1  2024</t>
  </si>
  <si>
    <t>per kWh</t>
  </si>
  <si>
    <t>Rate 74</t>
  </si>
  <si>
    <t>Customer Charge</t>
  </si>
  <si>
    <t>per Day</t>
  </si>
  <si>
    <t>Annual Consumption</t>
  </si>
  <si>
    <t>kWh</t>
  </si>
  <si>
    <t>All Electric Home Consumption (No EV)</t>
  </si>
  <si>
    <t>Annual EV Consumption</t>
  </si>
  <si>
    <t>Typical Residential Average</t>
  </si>
  <si>
    <t>Average residential monthly consumption</t>
  </si>
  <si>
    <t>Additional EV Consumption</t>
  </si>
  <si>
    <t>Annual EV consumption - use if wanting to add a 2nd EV to the home</t>
  </si>
  <si>
    <t>Customers with EV</t>
  </si>
  <si>
    <t>Power Supply Margin</t>
  </si>
  <si>
    <t>Estimated marginal cost of Rate 01 above the variable Power Supply Components</t>
  </si>
  <si>
    <t>3PW System cost</t>
  </si>
  <si>
    <t>Monthly Lease for 3 Powerwall System</t>
  </si>
  <si>
    <t>2PW System cost</t>
  </si>
  <si>
    <t>Monthly Lease for 2 Powerwall System</t>
  </si>
  <si>
    <t>Solar Fee Addition</t>
  </si>
  <si>
    <t>Solar Component Monthly Fee</t>
  </si>
  <si>
    <t>NPV Of 3 PW System</t>
  </si>
  <si>
    <t>NPV of just the Battery System over life at the Fee listed</t>
  </si>
  <si>
    <t>Solar Annual Output Yr 1</t>
  </si>
  <si>
    <t>Based on 8kW Rooftop System with 14% Capacity Factor</t>
  </si>
  <si>
    <t>Degradation Factor</t>
  </si>
  <si>
    <t>Annual Degradation of Solar</t>
  </si>
  <si>
    <t>Levelized Solar Value</t>
  </si>
  <si>
    <t>/kWh</t>
  </si>
  <si>
    <t>Current GMP forecast for levelized avoided value of Solar including REC</t>
  </si>
  <si>
    <t>Levelized Solar Cost</t>
  </si>
  <si>
    <t>Based on GMP Ownership Model including PTC</t>
  </si>
  <si>
    <t>Levelized Cost of Net Metering</t>
  </si>
  <si>
    <t>Based on 2023 net Metering rates going out 25 years</t>
  </si>
  <si>
    <t>Monthly Flexible Load Credit</t>
  </si>
  <si>
    <t>This is the credit provided for flexible loads in the home, mostly the EV.</t>
  </si>
  <si>
    <t>Customer Marginal Contribution</t>
  </si>
  <si>
    <t>Amount that an all electric home contributes above and beyond the average home to our marginal costs (above power supply costs) over 25 years</t>
  </si>
  <si>
    <t>Year</t>
  </si>
  <si>
    <t>Rate 1</t>
  </si>
  <si>
    <t>Rate 72</t>
  </si>
  <si>
    <t>Annual Cust Charge</t>
  </si>
  <si>
    <t>Annual Cust Usage</t>
  </si>
  <si>
    <t>Annual Cust EV Usage</t>
  </si>
  <si>
    <t>Solar Production</t>
  </si>
  <si>
    <t>Avoided Value of Solar</t>
  </si>
  <si>
    <t>NEM Cost of Solar</t>
  </si>
  <si>
    <t>Non Participant Impact</t>
  </si>
  <si>
    <t>GMP Solar Cost</t>
  </si>
  <si>
    <t>GMP Solar NP Impact</t>
  </si>
  <si>
    <t>Stop customer payments after yr 10</t>
  </si>
  <si>
    <t>Battery Fee</t>
  </si>
  <si>
    <t>Solar Add On Fee</t>
  </si>
  <si>
    <t>Annual Customer Cost</t>
  </si>
  <si>
    <t>Annual Flex Load/EV Credit</t>
  </si>
  <si>
    <t>Annual Net Cost</t>
  </si>
  <si>
    <t>Monthly Cost</t>
  </si>
  <si>
    <t>Total Solar Cost NEM</t>
  </si>
  <si>
    <t>Above Market Cost of Solar to Non Participants for Net Metering</t>
  </si>
  <si>
    <t>Total Solar Cost GMP</t>
  </si>
  <si>
    <t>Above Market Cost of Solar to Non Participants for the GMP owned solar prior to collecting a fee from the host customer</t>
  </si>
  <si>
    <t>Total Battery System Fee</t>
  </si>
  <si>
    <t>Total Solar Fee</t>
  </si>
  <si>
    <t>Note that the combined Battery System and Solar System creates the Resiliency Package</t>
  </si>
  <si>
    <t>Net GMP Solar Impact</t>
  </si>
  <si>
    <t>This is the net cost to Non Participating customers after including the solar fee</t>
  </si>
  <si>
    <t>Span Package Rev Reqt (1 system)</t>
  </si>
  <si>
    <t>Discount Rate</t>
  </si>
  <si>
    <t>Span Panel</t>
  </si>
  <si>
    <t>&lt;--Incremental cost over traditional 200amp Panel</t>
  </si>
  <si>
    <t>Span Drive</t>
  </si>
  <si>
    <t>Customers</t>
  </si>
  <si>
    <t>Costs</t>
  </si>
  <si>
    <t>Lifetime NPV</t>
  </si>
  <si>
    <t>Powerwall System Costs Yr 1</t>
  </si>
  <si>
    <t>Powerwall System Costs Yr 2</t>
  </si>
  <si>
    <t>Powerwall System Costs</t>
  </si>
  <si>
    <t>Powerwall Software Fees Yr 1</t>
  </si>
  <si>
    <t>Powerwall Software Fees Yr 2</t>
  </si>
  <si>
    <t>Powerwall Software Fees</t>
  </si>
  <si>
    <t>Span Package (Panel + Drive) Yr 1</t>
  </si>
  <si>
    <t>Span Package (Panel + Drive) Yr 2</t>
  </si>
  <si>
    <t>Span Package (Panel + Drive)</t>
  </si>
  <si>
    <t>Cost of Solar Yr 1</t>
  </si>
  <si>
    <t>Cost of Solar Yr 2</t>
  </si>
  <si>
    <t xml:space="preserve">Cost of Solar </t>
  </si>
  <si>
    <t>Total Costs</t>
  </si>
  <si>
    <t>Revenues</t>
  </si>
  <si>
    <t>Powerwall Power Supply Value Yr 1</t>
  </si>
  <si>
    <t>Powerwall Power Supply Value Yr 2</t>
  </si>
  <si>
    <t>Powerwall Power Supply Value</t>
  </si>
  <si>
    <t>Powerwall Tier 3 Value</t>
  </si>
  <si>
    <t>Powerwall Capitalized A&amp;G</t>
  </si>
  <si>
    <t>Resiliency Package Payments Yr 1</t>
  </si>
  <si>
    <t>Resiliency Package Payments Yr 2</t>
  </si>
  <si>
    <t>Resiliency Package Payments</t>
  </si>
  <si>
    <t>All Electric Cust. Marginal Contribution Yr 1</t>
  </si>
  <si>
    <t>All Electric Cust. Marginal Contribution Yr 2</t>
  </si>
  <si>
    <t>All Electric Cust. Marginal Contribution</t>
  </si>
  <si>
    <t>Value of Solar Yr 1</t>
  </si>
  <si>
    <t>Value of Solar Yr 2</t>
  </si>
  <si>
    <t>Value of Solar</t>
  </si>
  <si>
    <t>Total Revenue</t>
  </si>
  <si>
    <t xml:space="preserve">Net Benefit </t>
  </si>
  <si>
    <t>Total Net Present Benefit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</si>
</sst>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"/>
    <numFmt numFmtId="165" formatCode="_(&quot;$&quot;* #,##0.0000_);_(&quot;$&quot;* \(#,##0.0000\);_(&quot;$&quot;* &quot;-&quot;??_);_(@_)"/>
    <numFmt numFmtId="166" formatCode="_(&quot;$&quot;* #,##0_);_(&quot;$&quot;* \(#,##0\);_(&quot;$&quot;* &quot;-&quot;??_);_(@_)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left" indent="2"/>
    </xf>
    <xf numFmtId="0" fontId="2" fillId="0" borderId="0" xfId="0" applyFont="1" applyAlignment="1">
      <alignment horizontal="left"/>
    </xf>
    <xf numFmtId="6" fontId="0" fillId="0" borderId="0" xfId="0" applyNumberFormat="1"/>
    <xf numFmtId="8" fontId="0" fillId="0" borderId="0" xfId="0" applyNumberFormat="1"/>
    <xf numFmtId="6" fontId="0" fillId="0" borderId="1" xfId="0" applyNumberFormat="1" applyBorder="1"/>
    <xf numFmtId="0" fontId="1" fillId="0" borderId="0" xfId="0" applyFont="1"/>
    <xf numFmtId="6" fontId="1" fillId="0" borderId="0" xfId="0" applyNumberFormat="1" applyFont="1"/>
    <xf numFmtId="164" fontId="0" fillId="0" borderId="0" xfId="0" applyNumberFormat="1"/>
    <xf numFmtId="9" fontId="0" fillId="0" borderId="0" xfId="2" applyFont="1"/>
    <xf numFmtId="44" fontId="0" fillId="0" borderId="0" xfId="1" applyFont="1"/>
    <xf numFmtId="10" fontId="0" fillId="0" borderId="0" xfId="2" applyNumberFormat="1" applyFont="1"/>
    <xf numFmtId="165" fontId="0" fillId="0" borderId="0" xfId="0" applyNumberFormat="1"/>
    <xf numFmtId="44" fontId="0" fillId="0" borderId="0" xfId="0" applyNumberFormat="1"/>
    <xf numFmtId="0" fontId="6" fillId="0" borderId="0" xfId="0" applyFont="1"/>
    <xf numFmtId="10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horizontal="left"/>
    </xf>
    <xf numFmtId="0" fontId="8" fillId="0" borderId="0" xfId="0" applyFont="1" applyAlignment="1">
      <alignment horizontal="left" indent="2"/>
    </xf>
    <xf numFmtId="6" fontId="1" fillId="0" borderId="2" xfId="0" applyNumberFormat="1" applyFont="1" applyBorder="1"/>
    <xf numFmtId="165" fontId="0" fillId="0" borderId="0" xfId="1" applyNumberFormat="1" applyFont="1" applyFill="1"/>
    <xf numFmtId="166" fontId="0" fillId="0" borderId="0" xfId="1" applyNumberFormat="1" applyFont="1" applyFill="1"/>
    <xf numFmtId="0" fontId="0" fillId="2" borderId="0" xfId="0" applyFill="1"/>
    <xf numFmtId="9" fontId="0" fillId="2" borderId="0" xfId="0" applyNumberFormat="1" applyFill="1"/>
    <xf numFmtId="165" fontId="0" fillId="2" borderId="0" xfId="1" applyNumberFormat="1" applyFont="1" applyFill="1"/>
    <xf numFmtId="44" fontId="0" fillId="2" borderId="0" xfId="1" applyFont="1" applyFill="1"/>
  </cellXfs>
  <cellStyles count="5">
    <cellStyle name="Currency" xfId="1" builtinId="4"/>
    <cellStyle name="Normal" xfId="0" builtinId="0"/>
    <cellStyle name="Normal 2" xfId="3" xr:uid="{BF300A15-B14F-204A-8EF7-6B601B0B9AC3}"/>
    <cellStyle name="Percent" xfId="2" builtinId="5"/>
    <cellStyle name="Percent 2" xfId="4" xr:uid="{A71A2860-A008-8D45-BFE0-BE6FD6059A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microsoft.com/office/2017/10/relationships/person" Target="persons/perso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reenmountainpower.sharepoint.com/sites/Innovation/Shared%20Documents/OBrien%20Project/Pilot%20Filing/Powerwall%20Models/Frequency%20Regulation%20Market%208-9-22%20.xlsx" TargetMode="External"/><Relationship Id="rId1" Type="http://schemas.openxmlformats.org/officeDocument/2006/relationships/externalLinkPath" Target="Powerwall%20Models/Frequency%20Regulation%20Market%208-9-22%20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reenmountainpower.sharepoint.com/sites/Innovation/Shared%20Documents/OBrien%20Project/Pilot%20Filing/Powerwall%20Models/OBB%202PW%20Financial%20Model%20(ITC)%203-15-23.xlsx" TargetMode="External"/><Relationship Id="rId1" Type="http://schemas.openxmlformats.org/officeDocument/2006/relationships/externalLinkPath" Target="Powerwall%20Models/OBB%202PW%20Financial%20Model%20(ITC)%203-15-23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reenmountainpower.sharepoint.com/sites/Innovation/Shared%20Documents/OBrien%20Project/Pilot%20Filing/Powerwall%20Models/OBB%203PW%20Financial%20Model%20(ITC)%203-15-23.xlsx" TargetMode="External"/><Relationship Id="rId1" Type="http://schemas.openxmlformats.org/officeDocument/2006/relationships/externalLinkPath" Target="Powerwall%20Models/OBB%203PW%20Financial%20Model%20(ITC)%203-15-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OBB%20Proforma%203-16-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kW"/>
      <sheetName val="5MW"/>
      <sheetName val="RTE"/>
      <sheetName val="RTE2"/>
      <sheetName val="Proforma"/>
      <sheetName val="Proforma (2)"/>
    </sheetNames>
    <sheetDataSet>
      <sheetData sheetId="0"/>
      <sheetData sheetId="1"/>
      <sheetData sheetId="2"/>
      <sheetData sheetId="3">
        <row r="3">
          <cell r="N3">
            <v>27</v>
          </cell>
        </row>
      </sheetData>
      <sheetData sheetId="4">
        <row r="4">
          <cell r="B4">
            <v>5.74E-2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umptions"/>
      <sheetName val="Single System"/>
      <sheetName val="Full Program"/>
      <sheetName val="Monthly Capacity Value"/>
      <sheetName val="Rev Req't"/>
      <sheetName val="ADIT"/>
      <sheetName val="Regulatory Income Tax"/>
      <sheetName val="Tax"/>
      <sheetName val="Capacity Prices"/>
      <sheetName val="PowerhubCost"/>
      <sheetName val="CustomerPay"/>
      <sheetName val="Attachment 3"/>
    </sheetNames>
    <sheetDataSet>
      <sheetData sheetId="0"/>
      <sheetData sheetId="1"/>
      <sheetData sheetId="2">
        <row r="10">
          <cell r="D10">
            <v>-12730.021822268927</v>
          </cell>
          <cell r="E10">
            <v>-11854.324526259117</v>
          </cell>
          <cell r="F10">
            <v>-10952.991095017605</v>
          </cell>
          <cell r="G10">
            <v>-10156.884079985879</v>
          </cell>
          <cell r="H10">
            <v>-9426.6264539716794</v>
          </cell>
          <cell r="I10">
            <v>-8728.5423736485754</v>
          </cell>
          <cell r="J10">
            <v>-8030.4582933254724</v>
          </cell>
          <cell r="K10">
            <v>-7374.5944754714501</v>
          </cell>
          <cell r="L10">
            <v>-6791.1174570943494</v>
          </cell>
          <cell r="M10">
            <v>-6245.8202971459268</v>
          </cell>
        </row>
        <row r="11">
          <cell r="E11">
            <v>-28642.549100105087</v>
          </cell>
          <cell r="F11">
            <v>-26672.230184083015</v>
          </cell>
          <cell r="G11">
            <v>-24644.229963789614</v>
          </cell>
          <cell r="H11">
            <v>-22852.989179968226</v>
          </cell>
          <cell r="I11">
            <v>-21209.909521436279</v>
          </cell>
          <cell r="J11">
            <v>-19639.220340709297</v>
          </cell>
          <cell r="K11">
            <v>-18068.531159982314</v>
          </cell>
          <cell r="L11">
            <v>-16592.837569810763</v>
          </cell>
          <cell r="M11">
            <v>-15280.014278462286</v>
          </cell>
          <cell r="N11">
            <v>-14053.095668578335</v>
          </cell>
        </row>
        <row r="14">
          <cell r="D14">
            <v>-96</v>
          </cell>
          <cell r="E14">
            <v>-96</v>
          </cell>
          <cell r="F14">
            <v>-96</v>
          </cell>
          <cell r="G14">
            <v>-96</v>
          </cell>
          <cell r="H14">
            <v>-96</v>
          </cell>
          <cell r="I14">
            <v>-96</v>
          </cell>
          <cell r="J14">
            <v>-96</v>
          </cell>
          <cell r="K14">
            <v>-96</v>
          </cell>
          <cell r="L14">
            <v>-96</v>
          </cell>
          <cell r="M14">
            <v>-96</v>
          </cell>
          <cell r="N14">
            <v>-96</v>
          </cell>
          <cell r="O14">
            <v>-96</v>
          </cell>
          <cell r="P14">
            <v>-96</v>
          </cell>
          <cell r="Q14">
            <v>-96</v>
          </cell>
          <cell r="R14">
            <v>-96</v>
          </cell>
        </row>
        <row r="15">
          <cell r="E15">
            <v>-216</v>
          </cell>
          <cell r="F15">
            <v>-216</v>
          </cell>
          <cell r="G15">
            <v>-216</v>
          </cell>
          <cell r="H15">
            <v>-216</v>
          </cell>
          <cell r="I15">
            <v>-216</v>
          </cell>
          <cell r="J15">
            <v>-216</v>
          </cell>
          <cell r="K15">
            <v>-216</v>
          </cell>
          <cell r="L15">
            <v>-216</v>
          </cell>
          <cell r="M15">
            <v>-216</v>
          </cell>
          <cell r="N15">
            <v>-216</v>
          </cell>
          <cell r="O15">
            <v>-216</v>
          </cell>
          <cell r="P15">
            <v>-216</v>
          </cell>
          <cell r="Q15">
            <v>-216</v>
          </cell>
          <cell r="R15">
            <v>-216</v>
          </cell>
          <cell r="S15">
            <v>-216</v>
          </cell>
        </row>
        <row r="20">
          <cell r="D20">
            <v>1194.8400000000001</v>
          </cell>
          <cell r="E20">
            <v>4329.920000000001</v>
          </cell>
          <cell r="F20">
            <v>5208.0800000000008</v>
          </cell>
          <cell r="G20">
            <v>6188.08</v>
          </cell>
          <cell r="H20">
            <v>6619.3599999999988</v>
          </cell>
          <cell r="I20">
            <v>7385.4</v>
          </cell>
          <cell r="J20">
            <v>8091.6799999999994</v>
          </cell>
          <cell r="K20">
            <v>8362.36</v>
          </cell>
          <cell r="L20">
            <v>8586.1200000000026</v>
          </cell>
          <cell r="M20">
            <v>8809.08</v>
          </cell>
          <cell r="N20">
            <v>8202.5600000000013</v>
          </cell>
          <cell r="O20">
            <v>6824.6399999999994</v>
          </cell>
          <cell r="P20">
            <v>5971.1200000000008</v>
          </cell>
          <cell r="Q20">
            <v>3265.7599999999998</v>
          </cell>
          <cell r="R20">
            <v>821.24</v>
          </cell>
          <cell r="S20">
            <v>60.12</v>
          </cell>
        </row>
        <row r="21">
          <cell r="E21">
            <v>2688.3900000000003</v>
          </cell>
          <cell r="F21">
            <v>9742.3200000000015</v>
          </cell>
          <cell r="G21">
            <v>11718.180000000002</v>
          </cell>
          <cell r="H21">
            <v>13923.18</v>
          </cell>
          <cell r="I21">
            <v>14893.559999999998</v>
          </cell>
          <cell r="J21">
            <v>16617.149999999998</v>
          </cell>
          <cell r="K21">
            <v>18206.28</v>
          </cell>
          <cell r="L21">
            <v>18815.310000000001</v>
          </cell>
          <cell r="M21">
            <v>19318.770000000004</v>
          </cell>
          <cell r="N21">
            <v>19820.43</v>
          </cell>
          <cell r="O21">
            <v>18455.760000000002</v>
          </cell>
          <cell r="P21">
            <v>15355.439999999999</v>
          </cell>
          <cell r="Q21">
            <v>13435.020000000002</v>
          </cell>
          <cell r="R21">
            <v>7347.9599999999991</v>
          </cell>
          <cell r="S21">
            <v>1847.79</v>
          </cell>
          <cell r="T21">
            <v>135.26999999999998</v>
          </cell>
        </row>
        <row r="24">
          <cell r="D24">
            <v>2328</v>
          </cell>
          <cell r="E24">
            <v>5238</v>
          </cell>
        </row>
        <row r="25">
          <cell r="D25">
            <v>5174.4000000000005</v>
          </cell>
          <cell r="E25">
            <v>11642.400000000001</v>
          </cell>
        </row>
        <row r="27">
          <cell r="D27">
            <v>2640</v>
          </cell>
          <cell r="E27">
            <v>2640</v>
          </cell>
          <cell r="F27">
            <v>2640</v>
          </cell>
          <cell r="G27">
            <v>2640</v>
          </cell>
          <cell r="H27">
            <v>2640</v>
          </cell>
          <cell r="I27">
            <v>2640</v>
          </cell>
          <cell r="J27">
            <v>2640</v>
          </cell>
          <cell r="K27">
            <v>2640</v>
          </cell>
          <cell r="L27">
            <v>2640</v>
          </cell>
          <cell r="M27">
            <v>2640</v>
          </cell>
        </row>
        <row r="28">
          <cell r="E28">
            <v>5940</v>
          </cell>
          <cell r="F28">
            <v>5940</v>
          </cell>
          <cell r="G28">
            <v>5940</v>
          </cell>
          <cell r="H28">
            <v>5940</v>
          </cell>
          <cell r="I28">
            <v>5940</v>
          </cell>
          <cell r="J28">
            <v>5940</v>
          </cell>
          <cell r="K28">
            <v>5940</v>
          </cell>
          <cell r="L28">
            <v>5940</v>
          </cell>
          <cell r="M28">
            <v>5940</v>
          </cell>
          <cell r="N28">
            <v>5940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umptions"/>
      <sheetName val="Single System"/>
      <sheetName val="Full Program"/>
      <sheetName val="Monthly Capacity Value"/>
      <sheetName val="Rev Req't"/>
      <sheetName val="ADIT"/>
      <sheetName val="Regulatory Income Tax"/>
      <sheetName val="Tax"/>
      <sheetName val="Capacity Prices"/>
      <sheetName val="PowerhubCost"/>
      <sheetName val="CustomerPay"/>
      <sheetName val="Attachment 3"/>
    </sheetNames>
    <sheetDataSet>
      <sheetData sheetId="0"/>
      <sheetData sheetId="1"/>
      <sheetData sheetId="2">
        <row r="10">
          <cell r="D10">
            <v>-13867.28026419229</v>
          </cell>
          <cell r="E10">
            <v>-12914.477960692428</v>
          </cell>
          <cell r="F10">
            <v>-11932.091129655724</v>
          </cell>
          <cell r="G10">
            <v>-11062.161428397319</v>
          </cell>
          <cell r="H10">
            <v>-10267.279429209051</v>
          </cell>
          <cell r="I10">
            <v>-9510.7625170389183</v>
          </cell>
          <cell r="J10">
            <v>-8751.2153018384815</v>
          </cell>
          <cell r="K10">
            <v>-8033.5454612864523</v>
          </cell>
          <cell r="L10">
            <v>-7399.7038822858567</v>
          </cell>
          <cell r="M10">
            <v>-6807.7396779336668</v>
          </cell>
        </row>
        <row r="11">
          <cell r="E11">
            <v>-32356.987283115344</v>
          </cell>
          <cell r="F11">
            <v>-30133.78190828233</v>
          </cell>
          <cell r="G11">
            <v>-27841.54596919669</v>
          </cell>
          <cell r="H11">
            <v>-25811.709999593746</v>
          </cell>
          <cell r="I11">
            <v>-23956.985334821122</v>
          </cell>
          <cell r="J11">
            <v>-22191.77920642414</v>
          </cell>
          <cell r="K11">
            <v>-20419.502370956456</v>
          </cell>
          <cell r="L11">
            <v>-18744.939409668386</v>
          </cell>
          <cell r="M11">
            <v>-17265.975725333665</v>
          </cell>
          <cell r="N11">
            <v>-15884.725915178557</v>
          </cell>
        </row>
        <row r="14">
          <cell r="D14">
            <v>-72</v>
          </cell>
          <cell r="E14">
            <v>-72</v>
          </cell>
          <cell r="F14">
            <v>-72</v>
          </cell>
          <cell r="G14">
            <v>-72</v>
          </cell>
          <cell r="H14">
            <v>-72</v>
          </cell>
          <cell r="I14">
            <v>-72</v>
          </cell>
          <cell r="J14">
            <v>-72</v>
          </cell>
          <cell r="K14">
            <v>-72</v>
          </cell>
          <cell r="L14">
            <v>-72</v>
          </cell>
          <cell r="M14">
            <v>-72</v>
          </cell>
          <cell r="N14">
            <v>-72</v>
          </cell>
          <cell r="O14">
            <v>-72</v>
          </cell>
          <cell r="P14">
            <v>-72</v>
          </cell>
          <cell r="Q14">
            <v>-72</v>
          </cell>
          <cell r="R14">
            <v>-72</v>
          </cell>
        </row>
        <row r="15">
          <cell r="E15">
            <v>-168</v>
          </cell>
          <cell r="F15">
            <v>-168</v>
          </cell>
          <cell r="G15">
            <v>-168</v>
          </cell>
          <cell r="H15">
            <v>-168</v>
          </cell>
          <cell r="I15">
            <v>-168</v>
          </cell>
          <cell r="J15">
            <v>-168</v>
          </cell>
          <cell r="K15">
            <v>-168</v>
          </cell>
          <cell r="L15">
            <v>-168</v>
          </cell>
          <cell r="M15">
            <v>-168</v>
          </cell>
          <cell r="N15">
            <v>-168</v>
          </cell>
          <cell r="O15">
            <v>-168</v>
          </cell>
          <cell r="P15">
            <v>-168</v>
          </cell>
          <cell r="Q15">
            <v>-168</v>
          </cell>
          <cell r="R15">
            <v>-168</v>
          </cell>
          <cell r="S15">
            <v>-168</v>
          </cell>
        </row>
        <row r="20">
          <cell r="D20">
            <v>1197.3600000000001</v>
          </cell>
          <cell r="E20">
            <v>4529.3999999999996</v>
          </cell>
          <cell r="F20">
            <v>5526.0299999999988</v>
          </cell>
          <cell r="G20">
            <v>6643.6800000000012</v>
          </cell>
          <cell r="H20">
            <v>7138.14</v>
          </cell>
          <cell r="I20">
            <v>7941.5999999999995</v>
          </cell>
          <cell r="J20">
            <v>8658.84</v>
          </cell>
          <cell r="K20">
            <v>8948.7900000000009</v>
          </cell>
          <cell r="L20">
            <v>9187.02</v>
          </cell>
          <cell r="M20">
            <v>9423</v>
          </cell>
          <cell r="N20">
            <v>8915.8200000000015</v>
          </cell>
          <cell r="O20">
            <v>7677.66</v>
          </cell>
          <cell r="P20">
            <v>6717.7800000000007</v>
          </cell>
          <cell r="Q20">
            <v>3674.3099999999995</v>
          </cell>
          <cell r="R20">
            <v>923.73</v>
          </cell>
          <cell r="S20">
            <v>67.62</v>
          </cell>
        </row>
        <row r="21">
          <cell r="E21">
            <v>2793.8400000000006</v>
          </cell>
          <cell r="F21">
            <v>10568.6</v>
          </cell>
          <cell r="G21">
            <v>12894.069999999998</v>
          </cell>
          <cell r="H21">
            <v>15501.920000000002</v>
          </cell>
          <cell r="I21">
            <v>16655.66</v>
          </cell>
          <cell r="J21">
            <v>18530.399999999998</v>
          </cell>
          <cell r="K21">
            <v>20203.960000000003</v>
          </cell>
          <cell r="L21">
            <v>20880.510000000002</v>
          </cell>
          <cell r="M21">
            <v>21436.38</v>
          </cell>
          <cell r="N21">
            <v>21987</v>
          </cell>
          <cell r="O21">
            <v>20803.580000000002</v>
          </cell>
          <cell r="P21">
            <v>17914.539999999997</v>
          </cell>
          <cell r="Q21">
            <v>15674.820000000002</v>
          </cell>
          <cell r="R21">
            <v>8573.3899999999976</v>
          </cell>
          <cell r="S21">
            <v>2155.3700000000003</v>
          </cell>
          <cell r="T21">
            <v>157.78</v>
          </cell>
        </row>
        <row r="24">
          <cell r="D24">
            <v>1746</v>
          </cell>
          <cell r="E24">
            <v>4074</v>
          </cell>
        </row>
        <row r="25">
          <cell r="D25">
            <v>5636.4</v>
          </cell>
          <cell r="E25">
            <v>13151.6</v>
          </cell>
        </row>
        <row r="27">
          <cell r="D27">
            <v>2340</v>
          </cell>
          <cell r="E27">
            <v>2340</v>
          </cell>
          <cell r="F27">
            <v>2340</v>
          </cell>
          <cell r="G27">
            <v>2340</v>
          </cell>
          <cell r="H27">
            <v>2340</v>
          </cell>
          <cell r="I27">
            <v>2340</v>
          </cell>
          <cell r="J27">
            <v>2340</v>
          </cell>
          <cell r="K27">
            <v>2340</v>
          </cell>
          <cell r="L27">
            <v>2340</v>
          </cell>
          <cell r="M27">
            <v>2340</v>
          </cell>
        </row>
        <row r="28">
          <cell r="E28">
            <v>5460</v>
          </cell>
          <cell r="F28">
            <v>5460</v>
          </cell>
          <cell r="G28">
            <v>5460</v>
          </cell>
          <cell r="H28">
            <v>5460</v>
          </cell>
          <cell r="I28">
            <v>5460</v>
          </cell>
          <cell r="J28">
            <v>5460</v>
          </cell>
          <cell r="K28">
            <v>5460</v>
          </cell>
          <cell r="L28">
            <v>5460</v>
          </cell>
          <cell r="M28">
            <v>5460</v>
          </cell>
          <cell r="N28">
            <v>5460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forma"/>
      <sheetName val="NEM Comparison"/>
      <sheetName val="Res Package"/>
      <sheetName val="Frequency Reg"/>
    </sheetNames>
    <sheetDataSet>
      <sheetData sheetId="0"/>
      <sheetData sheetId="1"/>
      <sheetData sheetId="2"/>
      <sheetData sheetId="3">
        <row r="16">
          <cell r="L16">
            <v>182.59045543987529</v>
          </cell>
          <cell r="M16">
            <v>155.20188712389395</v>
          </cell>
          <cell r="N16">
            <v>131.92160405530984</v>
          </cell>
          <cell r="O16">
            <v>129.28317197420367</v>
          </cell>
          <cell r="P16">
            <v>126.69750853471959</v>
          </cell>
          <cell r="Q16">
            <v>124.16355836402519</v>
          </cell>
          <cell r="R16">
            <v>121.68028719674469</v>
          </cell>
          <cell r="S16">
            <v>119.24668145280981</v>
          </cell>
          <cell r="T16">
            <v>116.8617478237536</v>
          </cell>
          <cell r="U16">
            <v>114.52451286727852</v>
          </cell>
          <cell r="V16">
            <v>112.23</v>
          </cell>
          <cell r="W16"/>
          <cell r="X16"/>
          <cell r="Y16"/>
          <cell r="Z16"/>
          <cell r="AA16"/>
        </row>
        <row r="17">
          <cell r="L17">
            <v>7</v>
          </cell>
          <cell r="M17">
            <v>23</v>
          </cell>
          <cell r="N17">
            <v>23</v>
          </cell>
          <cell r="O17">
            <v>23</v>
          </cell>
          <cell r="P17">
            <v>23</v>
          </cell>
          <cell r="Q17">
            <v>23</v>
          </cell>
          <cell r="R17">
            <v>23</v>
          </cell>
          <cell r="S17">
            <v>23</v>
          </cell>
          <cell r="T17">
            <v>23</v>
          </cell>
          <cell r="U17">
            <v>23</v>
          </cell>
          <cell r="V17">
            <v>23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urray-Clasen, Madeline" id="{8FA48F01-1E1D-4A03-A7ED-7358CB5E87BD}" userId="S::madeline.murray@greenmountainpower.com::bc4f2cfd-e9da-47df-995f-e7de135a04dd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5-01-21T14:48:38.61" personId="{8FA48F01-1E1D-4A03-A7ED-7358CB5E87BD}" id="{883A6749-779E-49A2-9BC9-00494A45B0C5}">
    <text>Updated to revised estimate of 1,200/month</text>
  </threadedComment>
  <threadedComment ref="D10" dT="2025-01-21T14:48:56.93" personId="{8FA48F01-1E1D-4A03-A7ED-7358CB5E87BD}" id="{CEF45D67-20BB-49FB-98A6-9CC5A419B062}">
    <text>5 of 23 have EVs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8B39-A592-2E48-AEA2-D52C0AB9435A}">
  <dimension ref="C1:AF65"/>
  <sheetViews>
    <sheetView topLeftCell="J32" zoomScale="80" zoomScaleNormal="80" workbookViewId="0">
      <selection activeCell="F63" sqref="F63:AE63"/>
    </sheetView>
  </sheetViews>
  <sheetFormatPr defaultColWidth="11.125" defaultRowHeight="15.75" x14ac:dyDescent="0.25"/>
  <cols>
    <col min="3" max="3" width="31" bestFit="1" customWidth="1"/>
    <col min="4" max="4" width="20.125" customWidth="1"/>
    <col min="5" max="5" width="8" bestFit="1" customWidth="1"/>
    <col min="6" max="6" width="15.125" customWidth="1"/>
    <col min="7" max="7" width="12.125" customWidth="1"/>
    <col min="8" max="31" width="12.5" bestFit="1" customWidth="1"/>
    <col min="32" max="32" width="13.125" bestFit="1" customWidth="1"/>
  </cols>
  <sheetData>
    <row r="1" spans="3:9" x14ac:dyDescent="0.25">
      <c r="E1" t="s">
        <v>0</v>
      </c>
      <c r="F1" t="s">
        <v>1</v>
      </c>
    </row>
    <row r="2" spans="3:9" x14ac:dyDescent="0.25">
      <c r="C2" t="s">
        <v>2</v>
      </c>
      <c r="D2" s="13">
        <v>0.02</v>
      </c>
    </row>
    <row r="3" spans="3:9" x14ac:dyDescent="0.25">
      <c r="C3" t="s">
        <v>3</v>
      </c>
      <c r="D3" s="28">
        <v>0.18989</v>
      </c>
      <c r="E3" t="s">
        <v>4</v>
      </c>
    </row>
    <row r="4" spans="3:9" x14ac:dyDescent="0.25">
      <c r="C4" s="26" t="s">
        <v>5</v>
      </c>
      <c r="D4" s="28">
        <v>0.15212000000000001</v>
      </c>
      <c r="E4" t="s">
        <v>4</v>
      </c>
    </row>
    <row r="5" spans="3:9" x14ac:dyDescent="0.25">
      <c r="C5" t="s">
        <v>6</v>
      </c>
      <c r="D5" s="24">
        <v>0.55400000000000005</v>
      </c>
      <c r="E5" t="s">
        <v>7</v>
      </c>
    </row>
    <row r="6" spans="3:9" x14ac:dyDescent="0.25">
      <c r="C6" t="s">
        <v>8</v>
      </c>
      <c r="D6" s="26">
        <f>1200*12</f>
        <v>14400</v>
      </c>
      <c r="E6" t="s">
        <v>9</v>
      </c>
      <c r="F6" t="s">
        <v>10</v>
      </c>
      <c r="I6">
        <f>D6/12</f>
        <v>1200</v>
      </c>
    </row>
    <row r="7" spans="3:9" x14ac:dyDescent="0.25">
      <c r="C7" t="s">
        <v>11</v>
      </c>
      <c r="D7">
        <v>3000</v>
      </c>
      <c r="E7" t="s">
        <v>9</v>
      </c>
    </row>
    <row r="8" spans="3:9" x14ac:dyDescent="0.25">
      <c r="C8" t="s">
        <v>12</v>
      </c>
      <c r="D8">
        <f>550*12</f>
        <v>6600</v>
      </c>
      <c r="E8" t="s">
        <v>9</v>
      </c>
      <c r="F8" t="s">
        <v>13</v>
      </c>
    </row>
    <row r="9" spans="3:9" x14ac:dyDescent="0.25">
      <c r="C9" t="s">
        <v>14</v>
      </c>
      <c r="D9">
        <v>3000</v>
      </c>
      <c r="E9" t="s">
        <v>9</v>
      </c>
      <c r="F9" t="s">
        <v>15</v>
      </c>
    </row>
    <row r="10" spans="3:9" x14ac:dyDescent="0.25">
      <c r="C10" t="s">
        <v>16</v>
      </c>
      <c r="D10" s="27">
        <f>5/23</f>
        <v>0.21739130434782608</v>
      </c>
    </row>
    <row r="11" spans="3:9" x14ac:dyDescent="0.25">
      <c r="C11" t="s">
        <v>17</v>
      </c>
      <c r="D11">
        <v>7.0000000000000007E-2</v>
      </c>
      <c r="F11" t="s">
        <v>18</v>
      </c>
    </row>
    <row r="12" spans="3:9" x14ac:dyDescent="0.25">
      <c r="C12" t="s">
        <v>19</v>
      </c>
      <c r="D12" s="14">
        <v>65</v>
      </c>
      <c r="F12" t="s">
        <v>20</v>
      </c>
    </row>
    <row r="13" spans="3:9" x14ac:dyDescent="0.25">
      <c r="C13" t="s">
        <v>21</v>
      </c>
      <c r="D13" s="14">
        <v>55</v>
      </c>
      <c r="F13" t="s">
        <v>22</v>
      </c>
    </row>
    <row r="14" spans="3:9" x14ac:dyDescent="0.25">
      <c r="C14" t="s">
        <v>23</v>
      </c>
      <c r="D14" s="14">
        <v>20</v>
      </c>
      <c r="F14" t="s">
        <v>24</v>
      </c>
    </row>
    <row r="15" spans="3:9" x14ac:dyDescent="0.25">
      <c r="C15" t="s">
        <v>25</v>
      </c>
      <c r="D15" s="25">
        <v>3000</v>
      </c>
      <c r="F15" t="s">
        <v>26</v>
      </c>
    </row>
    <row r="16" spans="3:9" x14ac:dyDescent="0.25">
      <c r="C16" t="s">
        <v>27</v>
      </c>
      <c r="D16" s="26">
        <v>8060</v>
      </c>
      <c r="E16" t="s">
        <v>9</v>
      </c>
      <c r="F16" t="s">
        <v>28</v>
      </c>
    </row>
    <row r="17" spans="3:31" x14ac:dyDescent="0.25">
      <c r="C17" t="s">
        <v>29</v>
      </c>
      <c r="D17" s="15">
        <v>5.0000000000000001E-3</v>
      </c>
      <c r="F17" t="s">
        <v>30</v>
      </c>
    </row>
    <row r="19" spans="3:31" x14ac:dyDescent="0.25">
      <c r="C19" t="s">
        <v>31</v>
      </c>
      <c r="D19" s="29">
        <v>0.12</v>
      </c>
      <c r="E19" t="s">
        <v>32</v>
      </c>
      <c r="F19" t="s">
        <v>33</v>
      </c>
    </row>
    <row r="20" spans="3:31" x14ac:dyDescent="0.25">
      <c r="C20" t="s">
        <v>34</v>
      </c>
      <c r="D20" s="29">
        <v>0.17</v>
      </c>
      <c r="E20" t="s">
        <v>32</v>
      </c>
      <c r="F20" t="s">
        <v>35</v>
      </c>
    </row>
    <row r="22" spans="3:31" x14ac:dyDescent="0.25">
      <c r="C22" t="s">
        <v>36</v>
      </c>
      <c r="D22" s="14">
        <v>0.2</v>
      </c>
      <c r="E22" t="s">
        <v>32</v>
      </c>
      <c r="F22" t="s">
        <v>37</v>
      </c>
    </row>
    <row r="24" spans="3:31" x14ac:dyDescent="0.25">
      <c r="C24" t="s">
        <v>38</v>
      </c>
      <c r="D24" s="14">
        <v>0</v>
      </c>
      <c r="F24" t="s">
        <v>39</v>
      </c>
    </row>
    <row r="26" spans="3:31" x14ac:dyDescent="0.25">
      <c r="C26" t="s">
        <v>40</v>
      </c>
      <c r="D26" s="14">
        <f>((D6-D8)*D11)*25*12</f>
        <v>163800</v>
      </c>
      <c r="F26" t="s">
        <v>41</v>
      </c>
    </row>
    <row r="27" spans="3:31" x14ac:dyDescent="0.25">
      <c r="D27" s="17"/>
    </row>
    <row r="29" spans="3:31" x14ac:dyDescent="0.25">
      <c r="D29" t="s">
        <v>42</v>
      </c>
      <c r="F29">
        <v>2024</v>
      </c>
      <c r="G29">
        <v>2025</v>
      </c>
      <c r="H29">
        <v>2026</v>
      </c>
      <c r="I29">
        <v>2027</v>
      </c>
      <c r="J29">
        <v>2028</v>
      </c>
      <c r="K29">
        <v>2029</v>
      </c>
      <c r="L29">
        <v>2030</v>
      </c>
      <c r="M29">
        <v>2031</v>
      </c>
      <c r="N29">
        <v>2032</v>
      </c>
      <c r="O29">
        <v>2033</v>
      </c>
      <c r="P29">
        <v>2034</v>
      </c>
      <c r="Q29">
        <v>2035</v>
      </c>
      <c r="R29">
        <v>2036</v>
      </c>
      <c r="S29">
        <v>2037</v>
      </c>
      <c r="T29">
        <v>2038</v>
      </c>
      <c r="U29">
        <v>2039</v>
      </c>
      <c r="V29">
        <v>2040</v>
      </c>
      <c r="W29">
        <v>2041</v>
      </c>
      <c r="X29">
        <v>2042</v>
      </c>
      <c r="Y29">
        <v>2043</v>
      </c>
      <c r="Z29">
        <v>2044</v>
      </c>
      <c r="AA29">
        <v>2045</v>
      </c>
      <c r="AB29">
        <v>2046</v>
      </c>
      <c r="AC29">
        <v>2047</v>
      </c>
      <c r="AD29">
        <v>2048</v>
      </c>
      <c r="AE29">
        <v>2049</v>
      </c>
    </row>
    <row r="31" spans="3:31" x14ac:dyDescent="0.25">
      <c r="D31" t="s">
        <v>43</v>
      </c>
      <c r="F31" s="16">
        <f>D3</f>
        <v>0.18989</v>
      </c>
      <c r="G31" s="16">
        <f>F31*(1+$D$2)</f>
        <v>0.19368779999999999</v>
      </c>
      <c r="H31" s="16">
        <f>G31*(1+$D$2)</f>
        <v>0.197561556</v>
      </c>
      <c r="I31" s="16">
        <f t="shared" ref="I31:X32" si="0">H31*(1+$D$2)</f>
        <v>0.20151278712000001</v>
      </c>
      <c r="J31" s="16">
        <f t="shared" si="0"/>
        <v>0.20554304286240002</v>
      </c>
      <c r="K31" s="16">
        <f t="shared" si="0"/>
        <v>0.20965390371964804</v>
      </c>
      <c r="L31" s="16">
        <f t="shared" si="0"/>
        <v>0.21384698179404099</v>
      </c>
      <c r="M31" s="16">
        <f t="shared" si="0"/>
        <v>0.21812392142992182</v>
      </c>
      <c r="N31" s="16">
        <f t="shared" si="0"/>
        <v>0.22248639985852026</v>
      </c>
      <c r="O31" s="16">
        <f t="shared" si="0"/>
        <v>0.22693612785569067</v>
      </c>
      <c r="P31" s="16">
        <f t="shared" si="0"/>
        <v>0.23147485041280449</v>
      </c>
      <c r="Q31" s="16">
        <f t="shared" si="0"/>
        <v>0.2361043474210606</v>
      </c>
      <c r="R31" s="16">
        <f t="shared" si="0"/>
        <v>0.24082643436948181</v>
      </c>
      <c r="S31" s="16">
        <f t="shared" si="0"/>
        <v>0.24564296305687144</v>
      </c>
      <c r="T31" s="16">
        <f t="shared" si="0"/>
        <v>0.25055582231800888</v>
      </c>
      <c r="U31" s="16">
        <f t="shared" si="0"/>
        <v>0.25556693876436909</v>
      </c>
      <c r="V31" s="16">
        <f t="shared" si="0"/>
        <v>0.2606782775396565</v>
      </c>
      <c r="W31" s="16">
        <f t="shared" si="0"/>
        <v>0.26589184309044961</v>
      </c>
      <c r="X31" s="16">
        <f t="shared" si="0"/>
        <v>0.27120967995225859</v>
      </c>
      <c r="Y31" s="16">
        <f t="shared" ref="Y31:AE32" si="1">X31*(1+$D$2)</f>
        <v>0.27663387355130376</v>
      </c>
      <c r="Z31" s="16">
        <f t="shared" si="1"/>
        <v>0.28216655102232985</v>
      </c>
      <c r="AA31" s="16">
        <f t="shared" si="1"/>
        <v>0.28780988204277647</v>
      </c>
      <c r="AB31" s="16">
        <f t="shared" si="1"/>
        <v>0.29356607968363202</v>
      </c>
      <c r="AC31" s="16">
        <f t="shared" si="1"/>
        <v>0.29943740127730467</v>
      </c>
      <c r="AD31" s="16">
        <f t="shared" si="1"/>
        <v>0.30542614930285078</v>
      </c>
      <c r="AE31" s="16">
        <f t="shared" si="1"/>
        <v>0.3115346722889078</v>
      </c>
    </row>
    <row r="32" spans="3:31" x14ac:dyDescent="0.25">
      <c r="D32" t="s">
        <v>44</v>
      </c>
      <c r="F32" s="16">
        <f>D4</f>
        <v>0.15212000000000001</v>
      </c>
      <c r="G32" s="16">
        <f>F32*(1+$D$2)</f>
        <v>0.15516240000000001</v>
      </c>
      <c r="H32" s="16">
        <f t="shared" ref="H32:AE33" si="2">G32*(1+$D$2)</f>
        <v>0.15826564800000001</v>
      </c>
      <c r="I32" s="16">
        <f t="shared" si="0"/>
        <v>0.16143096096000001</v>
      </c>
      <c r="J32" s="16">
        <f t="shared" si="0"/>
        <v>0.16465958017920002</v>
      </c>
      <c r="K32" s="16">
        <f t="shared" si="0"/>
        <v>0.16795277178278403</v>
      </c>
      <c r="L32" s="16">
        <f t="shared" si="0"/>
        <v>0.17131182721843971</v>
      </c>
      <c r="M32" s="16">
        <f t="shared" si="0"/>
        <v>0.17473806376280851</v>
      </c>
      <c r="N32" s="16">
        <f t="shared" si="0"/>
        <v>0.17823282503806467</v>
      </c>
      <c r="O32" s="16">
        <f t="shared" si="0"/>
        <v>0.18179748153882597</v>
      </c>
      <c r="P32" s="16">
        <f t="shared" si="0"/>
        <v>0.18543343116960248</v>
      </c>
      <c r="Q32" s="16">
        <f t="shared" si="0"/>
        <v>0.18914209979299454</v>
      </c>
      <c r="R32" s="16">
        <f t="shared" si="0"/>
        <v>0.19292494178885444</v>
      </c>
      <c r="S32" s="16">
        <f t="shared" si="0"/>
        <v>0.19678344062463154</v>
      </c>
      <c r="T32" s="16">
        <f t="shared" si="0"/>
        <v>0.20071910943712418</v>
      </c>
      <c r="U32" s="16">
        <f t="shared" si="0"/>
        <v>0.20473349162586665</v>
      </c>
      <c r="V32" s="16">
        <f t="shared" si="0"/>
        <v>0.20882816145838398</v>
      </c>
      <c r="W32" s="16">
        <f t="shared" si="0"/>
        <v>0.21300472468755166</v>
      </c>
      <c r="X32" s="16">
        <f t="shared" si="0"/>
        <v>0.21726481918130269</v>
      </c>
      <c r="Y32" s="16">
        <f t="shared" si="1"/>
        <v>0.22161011556492874</v>
      </c>
      <c r="Z32" s="16">
        <f t="shared" si="1"/>
        <v>0.22604231787622731</v>
      </c>
      <c r="AA32" s="16">
        <f t="shared" si="1"/>
        <v>0.23056316423375187</v>
      </c>
      <c r="AB32" s="16">
        <f t="shared" si="1"/>
        <v>0.2351744275184269</v>
      </c>
      <c r="AC32" s="16">
        <f t="shared" si="1"/>
        <v>0.23987791606879544</v>
      </c>
      <c r="AD32" s="16">
        <f t="shared" si="1"/>
        <v>0.24467547439017134</v>
      </c>
      <c r="AE32" s="16">
        <f t="shared" si="1"/>
        <v>0.24956898387797477</v>
      </c>
    </row>
    <row r="33" spans="3:31" x14ac:dyDescent="0.25">
      <c r="D33" t="s">
        <v>45</v>
      </c>
      <c r="F33" s="17">
        <f>D5*365</f>
        <v>202.21</v>
      </c>
      <c r="G33" s="17">
        <f>F33*(1+$D$2)</f>
        <v>206.25420000000003</v>
      </c>
      <c r="H33" s="17">
        <f t="shared" si="2"/>
        <v>210.37928400000004</v>
      </c>
      <c r="I33" s="17">
        <f t="shared" si="2"/>
        <v>214.58686968000004</v>
      </c>
      <c r="J33" s="17">
        <f t="shared" si="2"/>
        <v>218.87860707360005</v>
      </c>
      <c r="K33" s="17">
        <f t="shared" si="2"/>
        <v>223.25617921507205</v>
      </c>
      <c r="L33" s="17">
        <f t="shared" si="2"/>
        <v>227.72130279937349</v>
      </c>
      <c r="M33" s="17">
        <f t="shared" si="2"/>
        <v>232.27572885536097</v>
      </c>
      <c r="N33" s="17">
        <f t="shared" si="2"/>
        <v>236.9212434324682</v>
      </c>
      <c r="O33" s="17">
        <f t="shared" si="2"/>
        <v>241.65966830111756</v>
      </c>
      <c r="P33" s="17">
        <f t="shared" si="2"/>
        <v>246.49286166713992</v>
      </c>
      <c r="Q33" s="17">
        <f t="shared" si="2"/>
        <v>251.42271890048272</v>
      </c>
      <c r="R33" s="17">
        <f t="shared" si="2"/>
        <v>256.45117327849238</v>
      </c>
      <c r="S33" s="17">
        <f t="shared" si="2"/>
        <v>261.58019674406222</v>
      </c>
      <c r="T33" s="17">
        <f t="shared" si="2"/>
        <v>266.81180067894348</v>
      </c>
      <c r="U33" s="17">
        <f t="shared" si="2"/>
        <v>272.14803669252234</v>
      </c>
      <c r="V33" s="17">
        <f t="shared" si="2"/>
        <v>277.59099742637278</v>
      </c>
      <c r="W33" s="17">
        <f t="shared" si="2"/>
        <v>283.14281737490023</v>
      </c>
      <c r="X33" s="17">
        <f t="shared" si="2"/>
        <v>288.80567372239824</v>
      </c>
      <c r="Y33" s="17">
        <f t="shared" si="2"/>
        <v>294.58178719684622</v>
      </c>
      <c r="Z33" s="17">
        <f t="shared" si="2"/>
        <v>300.47342294078317</v>
      </c>
      <c r="AA33" s="17">
        <f t="shared" si="2"/>
        <v>306.48289139959883</v>
      </c>
      <c r="AB33" s="17">
        <f t="shared" si="2"/>
        <v>312.61254922759082</v>
      </c>
      <c r="AC33" s="17">
        <f t="shared" si="2"/>
        <v>318.86480021214265</v>
      </c>
      <c r="AD33" s="17">
        <f t="shared" si="2"/>
        <v>325.24209621638551</v>
      </c>
      <c r="AE33" s="17">
        <f t="shared" si="2"/>
        <v>331.74693814071321</v>
      </c>
    </row>
    <row r="34" spans="3:31" x14ac:dyDescent="0.25">
      <c r="D34" t="s">
        <v>46</v>
      </c>
      <c r="F34">
        <f>D6</f>
        <v>14400</v>
      </c>
      <c r="G34">
        <f>F34</f>
        <v>14400</v>
      </c>
      <c r="H34">
        <f>G34</f>
        <v>14400</v>
      </c>
      <c r="I34">
        <f t="shared" ref="I34:X35" si="3">H34</f>
        <v>14400</v>
      </c>
      <c r="J34">
        <f t="shared" si="3"/>
        <v>14400</v>
      </c>
      <c r="K34">
        <f t="shared" si="3"/>
        <v>14400</v>
      </c>
      <c r="L34">
        <f t="shared" si="3"/>
        <v>14400</v>
      </c>
      <c r="M34">
        <f t="shared" si="3"/>
        <v>14400</v>
      </c>
      <c r="N34">
        <f t="shared" si="3"/>
        <v>14400</v>
      </c>
      <c r="O34">
        <f t="shared" si="3"/>
        <v>14400</v>
      </c>
      <c r="P34">
        <f t="shared" si="3"/>
        <v>14400</v>
      </c>
      <c r="Q34">
        <f t="shared" si="3"/>
        <v>14400</v>
      </c>
      <c r="R34">
        <f t="shared" si="3"/>
        <v>14400</v>
      </c>
      <c r="S34">
        <f t="shared" si="3"/>
        <v>14400</v>
      </c>
      <c r="T34">
        <f t="shared" si="3"/>
        <v>14400</v>
      </c>
      <c r="U34">
        <f t="shared" si="3"/>
        <v>14400</v>
      </c>
      <c r="V34">
        <f t="shared" si="3"/>
        <v>14400</v>
      </c>
      <c r="W34">
        <f t="shared" si="3"/>
        <v>14400</v>
      </c>
      <c r="X34">
        <f t="shared" si="3"/>
        <v>14400</v>
      </c>
      <c r="Y34">
        <f t="shared" ref="Y34:AE35" si="4">X34</f>
        <v>14400</v>
      </c>
      <c r="Z34">
        <f t="shared" si="4"/>
        <v>14400</v>
      </c>
      <c r="AA34">
        <f t="shared" si="4"/>
        <v>14400</v>
      </c>
      <c r="AB34">
        <f t="shared" si="4"/>
        <v>14400</v>
      </c>
      <c r="AC34">
        <f t="shared" si="4"/>
        <v>14400</v>
      </c>
      <c r="AD34">
        <f t="shared" si="4"/>
        <v>14400</v>
      </c>
      <c r="AE34">
        <f t="shared" si="4"/>
        <v>14400</v>
      </c>
    </row>
    <row r="35" spans="3:31" x14ac:dyDescent="0.25">
      <c r="D35" t="s">
        <v>47</v>
      </c>
      <c r="F35">
        <f>D7</f>
        <v>3000</v>
      </c>
      <c r="G35">
        <f>F35</f>
        <v>3000</v>
      </c>
      <c r="H35">
        <f t="shared" ref="H35" si="5">G35</f>
        <v>3000</v>
      </c>
      <c r="I35">
        <f t="shared" si="3"/>
        <v>3000</v>
      </c>
      <c r="J35">
        <f t="shared" si="3"/>
        <v>3000</v>
      </c>
      <c r="K35">
        <f t="shared" si="3"/>
        <v>3000</v>
      </c>
      <c r="L35">
        <f t="shared" si="3"/>
        <v>3000</v>
      </c>
      <c r="M35">
        <f t="shared" si="3"/>
        <v>3000</v>
      </c>
      <c r="N35">
        <f t="shared" si="3"/>
        <v>3000</v>
      </c>
      <c r="O35">
        <f t="shared" si="3"/>
        <v>3000</v>
      </c>
      <c r="P35">
        <f t="shared" si="3"/>
        <v>3000</v>
      </c>
      <c r="Q35">
        <f t="shared" si="3"/>
        <v>3000</v>
      </c>
      <c r="R35">
        <f t="shared" si="3"/>
        <v>3000</v>
      </c>
      <c r="S35">
        <f t="shared" si="3"/>
        <v>3000</v>
      </c>
      <c r="T35">
        <f t="shared" si="3"/>
        <v>3000</v>
      </c>
      <c r="U35">
        <f t="shared" si="3"/>
        <v>3000</v>
      </c>
      <c r="V35">
        <f t="shared" si="3"/>
        <v>3000</v>
      </c>
      <c r="W35">
        <f t="shared" si="3"/>
        <v>3000</v>
      </c>
      <c r="X35">
        <f t="shared" si="3"/>
        <v>3000</v>
      </c>
      <c r="Y35">
        <f t="shared" si="4"/>
        <v>3000</v>
      </c>
      <c r="Z35">
        <f t="shared" si="4"/>
        <v>3000</v>
      </c>
      <c r="AA35">
        <f t="shared" si="4"/>
        <v>3000</v>
      </c>
      <c r="AB35">
        <f t="shared" si="4"/>
        <v>3000</v>
      </c>
      <c r="AC35">
        <f t="shared" si="4"/>
        <v>3000</v>
      </c>
      <c r="AD35">
        <f t="shared" si="4"/>
        <v>3000</v>
      </c>
      <c r="AE35">
        <f t="shared" si="4"/>
        <v>3000</v>
      </c>
    </row>
    <row r="36" spans="3:31" x14ac:dyDescent="0.25">
      <c r="D36" t="s">
        <v>48</v>
      </c>
      <c r="F36">
        <f>D16</f>
        <v>8060</v>
      </c>
      <c r="G36">
        <f>F36-(F36*$D$17)</f>
        <v>8019.7</v>
      </c>
      <c r="H36">
        <f>G36-(G36*$D$17)</f>
        <v>7979.6014999999998</v>
      </c>
      <c r="I36">
        <f t="shared" ref="I36:AE36" si="6">H36-(H36*$D$17)</f>
        <v>7939.7034924999998</v>
      </c>
      <c r="J36">
        <f t="shared" si="6"/>
        <v>7900.0049750375001</v>
      </c>
      <c r="K36">
        <f t="shared" si="6"/>
        <v>7860.5049501623125</v>
      </c>
      <c r="L36">
        <f t="shared" si="6"/>
        <v>7821.2024254115013</v>
      </c>
      <c r="M36">
        <f t="shared" si="6"/>
        <v>7782.0964132844438</v>
      </c>
      <c r="N36">
        <f t="shared" si="6"/>
        <v>7743.1859312180213</v>
      </c>
      <c r="O36">
        <f t="shared" si="6"/>
        <v>7704.470001561931</v>
      </c>
      <c r="P36">
        <f t="shared" si="6"/>
        <v>7665.947651554121</v>
      </c>
      <c r="Q36">
        <f t="shared" si="6"/>
        <v>7627.6179132963507</v>
      </c>
      <c r="R36">
        <f t="shared" si="6"/>
        <v>7589.4798237298692</v>
      </c>
      <c r="S36">
        <f t="shared" si="6"/>
        <v>7551.5324246112195</v>
      </c>
      <c r="T36">
        <f t="shared" si="6"/>
        <v>7513.7747624881631</v>
      </c>
      <c r="U36">
        <f t="shared" si="6"/>
        <v>7476.2058886757222</v>
      </c>
      <c r="V36">
        <f t="shared" si="6"/>
        <v>7438.8248592323434</v>
      </c>
      <c r="W36">
        <f t="shared" si="6"/>
        <v>7401.6307349361814</v>
      </c>
      <c r="X36">
        <f t="shared" si="6"/>
        <v>7364.6225812615003</v>
      </c>
      <c r="Y36">
        <f t="shared" si="6"/>
        <v>7327.7994683551924</v>
      </c>
      <c r="Z36">
        <f t="shared" si="6"/>
        <v>7291.1604710134161</v>
      </c>
      <c r="AA36">
        <f t="shared" si="6"/>
        <v>7254.704668658349</v>
      </c>
      <c r="AB36">
        <f t="shared" si="6"/>
        <v>7218.4311453150576</v>
      </c>
      <c r="AC36">
        <f t="shared" si="6"/>
        <v>7182.338989588482</v>
      </c>
      <c r="AD36">
        <f t="shared" si="6"/>
        <v>7146.4272946405399</v>
      </c>
      <c r="AE36">
        <f t="shared" si="6"/>
        <v>7110.6951581673375</v>
      </c>
    </row>
    <row r="38" spans="3:31" x14ac:dyDescent="0.25">
      <c r="D38" t="s">
        <v>49</v>
      </c>
      <c r="F38" s="17">
        <f>F36*$D$19</f>
        <v>967.19999999999993</v>
      </c>
      <c r="G38" s="17">
        <f t="shared" ref="G38:AE38" si="7">G36*$D$19</f>
        <v>962.36399999999992</v>
      </c>
      <c r="H38" s="17">
        <f t="shared" si="7"/>
        <v>957.55217999999991</v>
      </c>
      <c r="I38" s="17">
        <f t="shared" si="7"/>
        <v>952.76441909999994</v>
      </c>
      <c r="J38" s="17">
        <f t="shared" si="7"/>
        <v>948.00059700449992</v>
      </c>
      <c r="K38" s="17">
        <f t="shared" si="7"/>
        <v>943.26059401947748</v>
      </c>
      <c r="L38" s="17">
        <f t="shared" si="7"/>
        <v>938.54429104938015</v>
      </c>
      <c r="M38" s="17">
        <f t="shared" si="7"/>
        <v>933.85156959413325</v>
      </c>
      <c r="N38" s="17">
        <f t="shared" si="7"/>
        <v>929.18231174616255</v>
      </c>
      <c r="O38" s="17">
        <f t="shared" si="7"/>
        <v>924.5364001874317</v>
      </c>
      <c r="P38" s="17">
        <f t="shared" si="7"/>
        <v>919.91371818649452</v>
      </c>
      <c r="Q38" s="17">
        <f t="shared" si="7"/>
        <v>915.31414959556207</v>
      </c>
      <c r="R38" s="17">
        <f t="shared" si="7"/>
        <v>910.73757884758425</v>
      </c>
      <c r="S38" s="17">
        <f t="shared" si="7"/>
        <v>906.18389095334635</v>
      </c>
      <c r="T38" s="17">
        <f t="shared" si="7"/>
        <v>901.65297149857952</v>
      </c>
      <c r="U38" s="17">
        <f t="shared" si="7"/>
        <v>897.1447066410866</v>
      </c>
      <c r="V38" s="17">
        <f t="shared" si="7"/>
        <v>892.65898310788123</v>
      </c>
      <c r="W38" s="17">
        <f t="shared" si="7"/>
        <v>888.19568819234178</v>
      </c>
      <c r="X38" s="17">
        <f t="shared" si="7"/>
        <v>883.75470975138001</v>
      </c>
      <c r="Y38" s="17">
        <f t="shared" si="7"/>
        <v>879.33593620262309</v>
      </c>
      <c r="Z38" s="17">
        <f t="shared" si="7"/>
        <v>874.93925652160988</v>
      </c>
      <c r="AA38" s="17">
        <f t="shared" si="7"/>
        <v>870.56456023900182</v>
      </c>
      <c r="AB38" s="17">
        <f t="shared" si="7"/>
        <v>866.21173743780685</v>
      </c>
      <c r="AC38" s="17">
        <f t="shared" si="7"/>
        <v>861.88067875061779</v>
      </c>
      <c r="AD38" s="17">
        <f t="shared" si="7"/>
        <v>857.5712753568647</v>
      </c>
      <c r="AE38" s="17">
        <f t="shared" si="7"/>
        <v>853.28341898008046</v>
      </c>
    </row>
    <row r="39" spans="3:31" x14ac:dyDescent="0.25">
      <c r="D39" t="s">
        <v>50</v>
      </c>
      <c r="F39" s="17">
        <f>-(F36*$D$22)</f>
        <v>-1612</v>
      </c>
      <c r="G39" s="17">
        <f>-(G36*$D$22)</f>
        <v>-1603.94</v>
      </c>
      <c r="H39" s="17">
        <f>-(H36*$D$22)</f>
        <v>-1595.9203</v>
      </c>
      <c r="I39" s="17">
        <f t="shared" ref="I39:AE39" si="8">-(I36*$D$22)</f>
        <v>-1587.9406985000001</v>
      </c>
      <c r="J39" s="17">
        <f t="shared" si="8"/>
        <v>-1580.0009950075</v>
      </c>
      <c r="K39" s="17">
        <f t="shared" si="8"/>
        <v>-1572.1009900324625</v>
      </c>
      <c r="L39" s="17">
        <f t="shared" si="8"/>
        <v>-1564.2404850823004</v>
      </c>
      <c r="M39" s="17">
        <f t="shared" si="8"/>
        <v>-1556.4192826568888</v>
      </c>
      <c r="N39" s="17">
        <f t="shared" si="8"/>
        <v>-1548.6371862436044</v>
      </c>
      <c r="O39" s="17">
        <f t="shared" si="8"/>
        <v>-1540.8940003123862</v>
      </c>
      <c r="P39" s="17">
        <f t="shared" si="8"/>
        <v>-1533.1895303108242</v>
      </c>
      <c r="Q39" s="17">
        <f t="shared" si="8"/>
        <v>-1525.5235826592702</v>
      </c>
      <c r="R39" s="17">
        <f t="shared" si="8"/>
        <v>-1517.895964745974</v>
      </c>
      <c r="S39" s="17">
        <f t="shared" si="8"/>
        <v>-1510.306484922244</v>
      </c>
      <c r="T39" s="17">
        <f t="shared" si="8"/>
        <v>-1502.7549524976328</v>
      </c>
      <c r="U39" s="17">
        <f t="shared" si="8"/>
        <v>-1495.2411777351444</v>
      </c>
      <c r="V39" s="17">
        <f t="shared" si="8"/>
        <v>-1487.7649718464688</v>
      </c>
      <c r="W39" s="17">
        <f t="shared" si="8"/>
        <v>-1480.3261469872364</v>
      </c>
      <c r="X39" s="17">
        <f t="shared" si="8"/>
        <v>-1472.9245162523002</v>
      </c>
      <c r="Y39" s="17">
        <f t="shared" si="8"/>
        <v>-1465.5598936710385</v>
      </c>
      <c r="Z39" s="17">
        <f t="shared" si="8"/>
        <v>-1458.2320942026834</v>
      </c>
      <c r="AA39" s="17">
        <f t="shared" si="8"/>
        <v>-1450.9409337316699</v>
      </c>
      <c r="AB39" s="17">
        <f t="shared" si="8"/>
        <v>-1443.6862290630115</v>
      </c>
      <c r="AC39" s="17">
        <f t="shared" si="8"/>
        <v>-1436.4677979176965</v>
      </c>
      <c r="AD39" s="17">
        <f t="shared" si="8"/>
        <v>-1429.285458928108</v>
      </c>
      <c r="AE39" s="17">
        <f t="shared" si="8"/>
        <v>-1422.1390316334675</v>
      </c>
    </row>
    <row r="41" spans="3:31" x14ac:dyDescent="0.25">
      <c r="D41" t="s">
        <v>51</v>
      </c>
      <c r="F41" s="17">
        <f>F39+F38</f>
        <v>-644.80000000000007</v>
      </c>
      <c r="G41" s="17">
        <f t="shared" ref="G41:AE41" si="9">G39+G38</f>
        <v>-641.57600000000014</v>
      </c>
      <c r="H41" s="17">
        <f t="shared" si="9"/>
        <v>-638.36812000000009</v>
      </c>
      <c r="I41" s="17">
        <f t="shared" si="9"/>
        <v>-635.17627940000011</v>
      </c>
      <c r="J41" s="17">
        <f t="shared" si="9"/>
        <v>-632.0003980030001</v>
      </c>
      <c r="K41" s="17">
        <f t="shared" si="9"/>
        <v>-628.84039601298502</v>
      </c>
      <c r="L41" s="17">
        <f t="shared" si="9"/>
        <v>-625.69619403292029</v>
      </c>
      <c r="M41" s="17">
        <f t="shared" si="9"/>
        <v>-622.5677130627555</v>
      </c>
      <c r="N41" s="17">
        <f t="shared" si="9"/>
        <v>-619.45487449744189</v>
      </c>
      <c r="O41" s="17">
        <f t="shared" si="9"/>
        <v>-616.3576001249545</v>
      </c>
      <c r="P41" s="17">
        <f t="shared" si="9"/>
        <v>-613.27581212432972</v>
      </c>
      <c r="Q41" s="17">
        <f t="shared" si="9"/>
        <v>-610.20943306370816</v>
      </c>
      <c r="R41" s="17">
        <f t="shared" si="9"/>
        <v>-607.15838589838972</v>
      </c>
      <c r="S41" s="17">
        <f t="shared" si="9"/>
        <v>-604.1225939688976</v>
      </c>
      <c r="T41" s="17">
        <f t="shared" si="9"/>
        <v>-601.10198099905324</v>
      </c>
      <c r="U41" s="17">
        <f t="shared" si="9"/>
        <v>-598.09647109405785</v>
      </c>
      <c r="V41" s="17">
        <f t="shared" si="9"/>
        <v>-595.1059887385876</v>
      </c>
      <c r="W41" s="17">
        <f t="shared" si="9"/>
        <v>-592.13045879489459</v>
      </c>
      <c r="X41" s="17">
        <f t="shared" si="9"/>
        <v>-589.16980650092023</v>
      </c>
      <c r="Y41" s="17">
        <f t="shared" si="9"/>
        <v>-586.22395746841539</v>
      </c>
      <c r="Z41" s="17">
        <f t="shared" si="9"/>
        <v>-583.29283768107348</v>
      </c>
      <c r="AA41" s="17">
        <f t="shared" si="9"/>
        <v>-580.37637349266811</v>
      </c>
      <c r="AB41" s="17">
        <f t="shared" si="9"/>
        <v>-577.47449162520468</v>
      </c>
      <c r="AC41" s="17">
        <f t="shared" si="9"/>
        <v>-574.58711916707875</v>
      </c>
      <c r="AD41" s="17">
        <f t="shared" si="9"/>
        <v>-571.71418357124332</v>
      </c>
      <c r="AE41" s="17">
        <f t="shared" si="9"/>
        <v>-568.85561265338708</v>
      </c>
    </row>
    <row r="43" spans="3:31" x14ac:dyDescent="0.25">
      <c r="D43" t="s">
        <v>52</v>
      </c>
      <c r="F43" s="17">
        <f>-(F36*$D$20)</f>
        <v>-1370.2</v>
      </c>
      <c r="G43" s="17">
        <f>-(G36*$D$20)</f>
        <v>-1363.3490000000002</v>
      </c>
      <c r="H43" s="17">
        <f t="shared" ref="H43:AE43" si="10">-(H36*$D$20)</f>
        <v>-1356.5322550000001</v>
      </c>
      <c r="I43" s="17">
        <f t="shared" si="10"/>
        <v>-1349.7495937250001</v>
      </c>
      <c r="J43" s="17">
        <f t="shared" si="10"/>
        <v>-1343.0008457563752</v>
      </c>
      <c r="K43" s="17">
        <f t="shared" si="10"/>
        <v>-1336.2858415275932</v>
      </c>
      <c r="L43" s="17">
        <f t="shared" si="10"/>
        <v>-1329.6044123199554</v>
      </c>
      <c r="M43" s="17">
        <f t="shared" si="10"/>
        <v>-1322.9563902583554</v>
      </c>
      <c r="N43" s="17">
        <f t="shared" si="10"/>
        <v>-1316.3416083070638</v>
      </c>
      <c r="O43" s="17">
        <f t="shared" si="10"/>
        <v>-1309.7599002655284</v>
      </c>
      <c r="P43" s="17">
        <f t="shared" si="10"/>
        <v>-1303.2111007642006</v>
      </c>
      <c r="Q43" s="17">
        <f t="shared" si="10"/>
        <v>-1296.6950452603796</v>
      </c>
      <c r="R43" s="17">
        <f t="shared" si="10"/>
        <v>-1290.2115700340778</v>
      </c>
      <c r="S43" s="17">
        <f t="shared" si="10"/>
        <v>-1283.7605121839074</v>
      </c>
      <c r="T43" s="17">
        <f t="shared" si="10"/>
        <v>-1277.3417096229878</v>
      </c>
      <c r="U43" s="17">
        <f t="shared" si="10"/>
        <v>-1270.9550010748728</v>
      </c>
      <c r="V43" s="17">
        <f t="shared" si="10"/>
        <v>-1264.6002260694984</v>
      </c>
      <c r="W43" s="17">
        <f t="shared" si="10"/>
        <v>-1258.277224939151</v>
      </c>
      <c r="X43" s="17">
        <f t="shared" si="10"/>
        <v>-1251.9858388144551</v>
      </c>
      <c r="Y43" s="17">
        <f t="shared" si="10"/>
        <v>-1245.7259096203827</v>
      </c>
      <c r="Z43" s="17">
        <f t="shared" si="10"/>
        <v>-1239.4972800722808</v>
      </c>
      <c r="AA43" s="17">
        <f t="shared" si="10"/>
        <v>-1233.2997936719194</v>
      </c>
      <c r="AB43" s="17">
        <f t="shared" si="10"/>
        <v>-1227.1332947035598</v>
      </c>
      <c r="AC43" s="17">
        <f t="shared" si="10"/>
        <v>-1220.997628230042</v>
      </c>
      <c r="AD43" s="17">
        <f t="shared" si="10"/>
        <v>-1214.8926400888918</v>
      </c>
      <c r="AE43" s="17">
        <f t="shared" si="10"/>
        <v>-1208.8181768884474</v>
      </c>
    </row>
    <row r="45" spans="3:31" x14ac:dyDescent="0.25">
      <c r="D45" t="s">
        <v>53</v>
      </c>
      <c r="F45" s="17">
        <f>F43+F38</f>
        <v>-403.00000000000011</v>
      </c>
      <c r="G45" s="17">
        <f>G43+G38</f>
        <v>-400.98500000000024</v>
      </c>
      <c r="H45" s="17">
        <f t="shared" ref="H45:AE45" si="11">H43+H38</f>
        <v>-398.98007500000017</v>
      </c>
      <c r="I45" s="17">
        <f t="shared" si="11"/>
        <v>-396.98517462500013</v>
      </c>
      <c r="J45" s="17">
        <f t="shared" si="11"/>
        <v>-395.00024875187523</v>
      </c>
      <c r="K45" s="17">
        <f t="shared" si="11"/>
        <v>-393.02524750811574</v>
      </c>
      <c r="L45" s="17">
        <f t="shared" si="11"/>
        <v>-391.06012127057522</v>
      </c>
      <c r="M45" s="17">
        <f t="shared" si="11"/>
        <v>-389.10482066422219</v>
      </c>
      <c r="N45" s="17">
        <f t="shared" si="11"/>
        <v>-387.15929656090123</v>
      </c>
      <c r="O45" s="17">
        <f t="shared" si="11"/>
        <v>-385.22350007809666</v>
      </c>
      <c r="P45" s="17">
        <f t="shared" si="11"/>
        <v>-383.29738257770612</v>
      </c>
      <c r="Q45" s="17">
        <f t="shared" si="11"/>
        <v>-381.38089566481756</v>
      </c>
      <c r="R45" s="17">
        <f t="shared" si="11"/>
        <v>-379.47399118649355</v>
      </c>
      <c r="S45" s="17">
        <f t="shared" si="11"/>
        <v>-377.57662123056105</v>
      </c>
      <c r="T45" s="17">
        <f t="shared" si="11"/>
        <v>-375.68873812440825</v>
      </c>
      <c r="U45" s="17">
        <f t="shared" si="11"/>
        <v>-373.81029443378623</v>
      </c>
      <c r="V45" s="17">
        <f t="shared" si="11"/>
        <v>-371.94124296161715</v>
      </c>
      <c r="W45" s="17">
        <f t="shared" si="11"/>
        <v>-370.08153674680921</v>
      </c>
      <c r="X45" s="17">
        <f t="shared" si="11"/>
        <v>-368.23112906307506</v>
      </c>
      <c r="Y45" s="17">
        <f t="shared" si="11"/>
        <v>-366.38997341775962</v>
      </c>
      <c r="Z45" s="17">
        <f t="shared" si="11"/>
        <v>-364.5580235506709</v>
      </c>
      <c r="AA45" s="17">
        <f t="shared" si="11"/>
        <v>-362.73523343291754</v>
      </c>
      <c r="AB45" s="17">
        <f t="shared" si="11"/>
        <v>-360.92155726575299</v>
      </c>
      <c r="AC45" s="17">
        <f t="shared" si="11"/>
        <v>-359.11694947942419</v>
      </c>
      <c r="AD45" s="17">
        <f t="shared" si="11"/>
        <v>-357.32136473202706</v>
      </c>
      <c r="AE45" s="17">
        <f t="shared" si="11"/>
        <v>-355.53475790836694</v>
      </c>
    </row>
    <row r="47" spans="3:31" x14ac:dyDescent="0.25">
      <c r="C47" s="18" t="s">
        <v>54</v>
      </c>
      <c r="D47" t="s">
        <v>55</v>
      </c>
      <c r="F47" s="14">
        <f>D12*12</f>
        <v>780</v>
      </c>
      <c r="G47" s="14">
        <f t="shared" ref="G47:O47" si="12">$F$47</f>
        <v>780</v>
      </c>
      <c r="H47" s="14">
        <f t="shared" si="12"/>
        <v>780</v>
      </c>
      <c r="I47" s="14">
        <f t="shared" si="12"/>
        <v>780</v>
      </c>
      <c r="J47" s="14">
        <f t="shared" si="12"/>
        <v>780</v>
      </c>
      <c r="K47" s="14">
        <f t="shared" si="12"/>
        <v>780</v>
      </c>
      <c r="L47" s="14">
        <f t="shared" si="12"/>
        <v>780</v>
      </c>
      <c r="M47" s="14">
        <f t="shared" si="12"/>
        <v>780</v>
      </c>
      <c r="N47" s="14">
        <f t="shared" si="12"/>
        <v>780</v>
      </c>
      <c r="O47" s="14">
        <f t="shared" si="12"/>
        <v>780</v>
      </c>
      <c r="P47" s="14">
        <v>0</v>
      </c>
      <c r="Q47" s="14">
        <f>P47</f>
        <v>0</v>
      </c>
      <c r="R47" s="14">
        <f t="shared" ref="R47:AE47" si="13">Q47</f>
        <v>0</v>
      </c>
      <c r="S47" s="14">
        <f t="shared" si="13"/>
        <v>0</v>
      </c>
      <c r="T47" s="14">
        <f t="shared" si="13"/>
        <v>0</v>
      </c>
      <c r="U47" s="14">
        <f t="shared" si="13"/>
        <v>0</v>
      </c>
      <c r="V47" s="14">
        <f t="shared" si="13"/>
        <v>0</v>
      </c>
      <c r="W47" s="14">
        <f t="shared" si="13"/>
        <v>0</v>
      </c>
      <c r="X47" s="14">
        <f t="shared" si="13"/>
        <v>0</v>
      </c>
      <c r="Y47" s="14">
        <f t="shared" si="13"/>
        <v>0</v>
      </c>
      <c r="Z47" s="14">
        <f t="shared" si="13"/>
        <v>0</v>
      </c>
      <c r="AA47" s="14">
        <f t="shared" si="13"/>
        <v>0</v>
      </c>
      <c r="AB47" s="14">
        <f t="shared" si="13"/>
        <v>0</v>
      </c>
      <c r="AC47" s="14">
        <f t="shared" si="13"/>
        <v>0</v>
      </c>
      <c r="AD47" s="14">
        <f t="shared" si="13"/>
        <v>0</v>
      </c>
      <c r="AE47" s="14">
        <f t="shared" si="13"/>
        <v>0</v>
      </c>
    </row>
    <row r="48" spans="3:31" x14ac:dyDescent="0.25">
      <c r="D48" t="s">
        <v>56</v>
      </c>
      <c r="F48" s="14">
        <f>D14*12</f>
        <v>240</v>
      </c>
      <c r="G48" s="14">
        <f>F48</f>
        <v>240</v>
      </c>
      <c r="H48" s="14">
        <f t="shared" ref="H48:AE48" si="14">G48</f>
        <v>240</v>
      </c>
      <c r="I48" s="14">
        <f t="shared" si="14"/>
        <v>240</v>
      </c>
      <c r="J48" s="14">
        <f t="shared" si="14"/>
        <v>240</v>
      </c>
      <c r="K48" s="14">
        <f t="shared" si="14"/>
        <v>240</v>
      </c>
      <c r="L48" s="14">
        <f t="shared" si="14"/>
        <v>240</v>
      </c>
      <c r="M48" s="14">
        <f t="shared" si="14"/>
        <v>240</v>
      </c>
      <c r="N48" s="14">
        <f t="shared" si="14"/>
        <v>240</v>
      </c>
      <c r="O48" s="14">
        <f t="shared" si="14"/>
        <v>240</v>
      </c>
      <c r="P48" s="14">
        <f t="shared" si="14"/>
        <v>240</v>
      </c>
      <c r="Q48" s="14">
        <f t="shared" si="14"/>
        <v>240</v>
      </c>
      <c r="R48" s="14">
        <f t="shared" si="14"/>
        <v>240</v>
      </c>
      <c r="S48" s="14">
        <f t="shared" si="14"/>
        <v>240</v>
      </c>
      <c r="T48" s="14">
        <f t="shared" si="14"/>
        <v>240</v>
      </c>
      <c r="U48" s="14">
        <f t="shared" si="14"/>
        <v>240</v>
      </c>
      <c r="V48" s="14">
        <f t="shared" si="14"/>
        <v>240</v>
      </c>
      <c r="W48" s="14">
        <f t="shared" si="14"/>
        <v>240</v>
      </c>
      <c r="X48" s="14">
        <f t="shared" si="14"/>
        <v>240</v>
      </c>
      <c r="Y48" s="14">
        <f t="shared" si="14"/>
        <v>240</v>
      </c>
      <c r="Z48" s="14">
        <f t="shared" si="14"/>
        <v>240</v>
      </c>
      <c r="AA48" s="14">
        <f t="shared" si="14"/>
        <v>240</v>
      </c>
      <c r="AB48" s="14">
        <f t="shared" si="14"/>
        <v>240</v>
      </c>
      <c r="AC48" s="14">
        <f t="shared" si="14"/>
        <v>240</v>
      </c>
      <c r="AD48" s="14">
        <f t="shared" si="14"/>
        <v>240</v>
      </c>
      <c r="AE48" s="14">
        <f t="shared" si="14"/>
        <v>240</v>
      </c>
    </row>
    <row r="50" spans="3:31" x14ac:dyDescent="0.25">
      <c r="D50" t="s">
        <v>57</v>
      </c>
      <c r="F50" s="17">
        <f>(F33)+(F34*F31)+F47+F48+(F32*F35)</f>
        <v>4412.9859999999999</v>
      </c>
      <c r="G50" s="17">
        <f t="shared" ref="G50:AE50" si="15">(G33)+(G34*G31)+G47+G48+(G32*G35)</f>
        <v>4480.8457199999993</v>
      </c>
      <c r="H50" s="17">
        <f t="shared" si="15"/>
        <v>4550.0626344000002</v>
      </c>
      <c r="I50" s="17">
        <f t="shared" si="15"/>
        <v>4620.6638870880006</v>
      </c>
      <c r="J50" s="17">
        <f t="shared" si="15"/>
        <v>4692.6771648297608</v>
      </c>
      <c r="K50" s="17">
        <f t="shared" si="15"/>
        <v>4766.1307081263558</v>
      </c>
      <c r="L50" s="17">
        <f t="shared" si="15"/>
        <v>4841.0533222888826</v>
      </c>
      <c r="M50" s="17">
        <f t="shared" si="15"/>
        <v>4917.4743887346604</v>
      </c>
      <c r="N50" s="17">
        <f t="shared" si="15"/>
        <v>4995.4238765093542</v>
      </c>
      <c r="O50" s="17">
        <f t="shared" si="15"/>
        <v>5074.9323540395417</v>
      </c>
      <c r="P50" s="17">
        <f t="shared" si="15"/>
        <v>4376.0310011203319</v>
      </c>
      <c r="Q50" s="17">
        <f t="shared" si="15"/>
        <v>4458.7516211427392</v>
      </c>
      <c r="R50" s="17">
        <f t="shared" si="15"/>
        <v>4543.1266535655941</v>
      </c>
      <c r="S50" s="17">
        <f t="shared" si="15"/>
        <v>4629.1891866369051</v>
      </c>
      <c r="T50" s="17">
        <f t="shared" si="15"/>
        <v>4716.972970369643</v>
      </c>
      <c r="U50" s="17">
        <f t="shared" si="15"/>
        <v>4806.5124297770371</v>
      </c>
      <c r="V50" s="17">
        <f t="shared" si="15"/>
        <v>4897.8426783725781</v>
      </c>
      <c r="W50" s="17">
        <f t="shared" si="15"/>
        <v>4990.9995319400296</v>
      </c>
      <c r="X50" s="17">
        <f t="shared" si="15"/>
        <v>5086.0195225788293</v>
      </c>
      <c r="Y50" s="17">
        <f t="shared" si="15"/>
        <v>5182.9399130304064</v>
      </c>
      <c r="Z50" s="17">
        <f t="shared" si="15"/>
        <v>5281.7987112910141</v>
      </c>
      <c r="AA50" s="17">
        <f t="shared" si="15"/>
        <v>5382.6346855168358</v>
      </c>
      <c r="AB50" s="17">
        <f t="shared" si="15"/>
        <v>5485.4873792271719</v>
      </c>
      <c r="AC50" s="17">
        <f t="shared" si="15"/>
        <v>5590.3971268117166</v>
      </c>
      <c r="AD50" s="17">
        <f t="shared" si="15"/>
        <v>5697.4050693479503</v>
      </c>
      <c r="AE50" s="17">
        <f t="shared" si="15"/>
        <v>5806.5531707349101</v>
      </c>
    </row>
    <row r="51" spans="3:31" x14ac:dyDescent="0.25">
      <c r="C51" s="18"/>
      <c r="D51" t="s">
        <v>58</v>
      </c>
      <c r="F51" s="17">
        <f>D24*12</f>
        <v>0</v>
      </c>
      <c r="G51" s="17">
        <f>F51*(1+$D$2)</f>
        <v>0</v>
      </c>
      <c r="H51" s="17">
        <f t="shared" ref="H51:AE51" si="16">G51*(1+$D$2)</f>
        <v>0</v>
      </c>
      <c r="I51" s="17">
        <f t="shared" si="16"/>
        <v>0</v>
      </c>
      <c r="J51" s="17">
        <f t="shared" si="16"/>
        <v>0</v>
      </c>
      <c r="K51" s="17">
        <f t="shared" si="16"/>
        <v>0</v>
      </c>
      <c r="L51" s="17">
        <f t="shared" si="16"/>
        <v>0</v>
      </c>
      <c r="M51" s="17">
        <f t="shared" si="16"/>
        <v>0</v>
      </c>
      <c r="N51" s="17">
        <f t="shared" si="16"/>
        <v>0</v>
      </c>
      <c r="O51" s="17">
        <f t="shared" si="16"/>
        <v>0</v>
      </c>
      <c r="P51" s="17">
        <f t="shared" si="16"/>
        <v>0</v>
      </c>
      <c r="Q51" s="17">
        <f t="shared" si="16"/>
        <v>0</v>
      </c>
      <c r="R51" s="17">
        <f t="shared" si="16"/>
        <v>0</v>
      </c>
      <c r="S51" s="17">
        <f t="shared" si="16"/>
        <v>0</v>
      </c>
      <c r="T51" s="17">
        <f t="shared" si="16"/>
        <v>0</v>
      </c>
      <c r="U51" s="17">
        <f t="shared" si="16"/>
        <v>0</v>
      </c>
      <c r="V51" s="17">
        <f t="shared" si="16"/>
        <v>0</v>
      </c>
      <c r="W51" s="17">
        <f t="shared" si="16"/>
        <v>0</v>
      </c>
      <c r="X51" s="17">
        <f t="shared" si="16"/>
        <v>0</v>
      </c>
      <c r="Y51" s="17">
        <f t="shared" si="16"/>
        <v>0</v>
      </c>
      <c r="Z51" s="17">
        <f t="shared" si="16"/>
        <v>0</v>
      </c>
      <c r="AA51" s="17">
        <f t="shared" si="16"/>
        <v>0</v>
      </c>
      <c r="AB51" s="17">
        <f t="shared" si="16"/>
        <v>0</v>
      </c>
      <c r="AC51" s="17">
        <f t="shared" si="16"/>
        <v>0</v>
      </c>
      <c r="AD51" s="17">
        <f t="shared" si="16"/>
        <v>0</v>
      </c>
      <c r="AE51" s="17">
        <f t="shared" si="16"/>
        <v>0</v>
      </c>
    </row>
    <row r="52" spans="3:31" x14ac:dyDescent="0.25">
      <c r="D52" t="s">
        <v>59</v>
      </c>
      <c r="F52" s="17">
        <f>F50-F51</f>
        <v>4412.9859999999999</v>
      </c>
      <c r="G52" s="17">
        <f t="shared" ref="G52:AE52" si="17">G50-G51</f>
        <v>4480.8457199999993</v>
      </c>
      <c r="H52" s="17">
        <f t="shared" si="17"/>
        <v>4550.0626344000002</v>
      </c>
      <c r="I52" s="17">
        <f t="shared" si="17"/>
        <v>4620.6638870880006</v>
      </c>
      <c r="J52" s="17">
        <f t="shared" si="17"/>
        <v>4692.6771648297608</v>
      </c>
      <c r="K52" s="17">
        <f t="shared" si="17"/>
        <v>4766.1307081263558</v>
      </c>
      <c r="L52" s="17">
        <f t="shared" si="17"/>
        <v>4841.0533222888826</v>
      </c>
      <c r="M52" s="17">
        <f t="shared" si="17"/>
        <v>4917.4743887346604</v>
      </c>
      <c r="N52" s="17">
        <f t="shared" si="17"/>
        <v>4995.4238765093542</v>
      </c>
      <c r="O52" s="17">
        <f t="shared" si="17"/>
        <v>5074.9323540395417</v>
      </c>
      <c r="P52" s="17">
        <f t="shared" si="17"/>
        <v>4376.0310011203319</v>
      </c>
      <c r="Q52" s="17">
        <f t="shared" si="17"/>
        <v>4458.7516211427392</v>
      </c>
      <c r="R52" s="17">
        <f t="shared" si="17"/>
        <v>4543.1266535655941</v>
      </c>
      <c r="S52" s="17">
        <f t="shared" si="17"/>
        <v>4629.1891866369051</v>
      </c>
      <c r="T52" s="17">
        <f t="shared" si="17"/>
        <v>4716.972970369643</v>
      </c>
      <c r="U52" s="17">
        <f t="shared" si="17"/>
        <v>4806.5124297770371</v>
      </c>
      <c r="V52" s="17">
        <f t="shared" si="17"/>
        <v>4897.8426783725781</v>
      </c>
      <c r="W52" s="17">
        <f t="shared" si="17"/>
        <v>4990.9995319400296</v>
      </c>
      <c r="X52" s="17">
        <f t="shared" si="17"/>
        <v>5086.0195225788293</v>
      </c>
      <c r="Y52" s="17">
        <f t="shared" si="17"/>
        <v>5182.9399130304064</v>
      </c>
      <c r="Z52" s="17">
        <f t="shared" si="17"/>
        <v>5281.7987112910141</v>
      </c>
      <c r="AA52" s="17">
        <f t="shared" si="17"/>
        <v>5382.6346855168358</v>
      </c>
      <c r="AB52" s="17">
        <f t="shared" si="17"/>
        <v>5485.4873792271719</v>
      </c>
      <c r="AC52" s="17">
        <f t="shared" si="17"/>
        <v>5590.3971268117166</v>
      </c>
      <c r="AD52" s="17">
        <f t="shared" si="17"/>
        <v>5697.4050693479503</v>
      </c>
      <c r="AE52" s="17">
        <f t="shared" si="17"/>
        <v>5806.5531707349101</v>
      </c>
    </row>
    <row r="53" spans="3:31" x14ac:dyDescent="0.25">
      <c r="D53" t="s">
        <v>60</v>
      </c>
      <c r="F53" s="17">
        <f>F52/12</f>
        <v>367.74883333333332</v>
      </c>
      <c r="G53" s="17">
        <f t="shared" ref="G53:AE53" si="18">G52/12</f>
        <v>373.40380999999996</v>
      </c>
      <c r="H53" s="17">
        <f t="shared" si="18"/>
        <v>379.17188620000002</v>
      </c>
      <c r="I53" s="17">
        <f t="shared" si="18"/>
        <v>385.05532392400005</v>
      </c>
      <c r="J53" s="17">
        <f t="shared" si="18"/>
        <v>391.05643040248009</v>
      </c>
      <c r="K53" s="17">
        <f t="shared" si="18"/>
        <v>397.17755901052965</v>
      </c>
      <c r="L53" s="17">
        <f t="shared" si="18"/>
        <v>403.42111019074019</v>
      </c>
      <c r="M53" s="17">
        <f t="shared" si="18"/>
        <v>409.78953239455501</v>
      </c>
      <c r="N53" s="17">
        <f t="shared" si="18"/>
        <v>416.28532304244618</v>
      </c>
      <c r="O53" s="17">
        <f t="shared" si="18"/>
        <v>422.91102950329514</v>
      </c>
      <c r="P53" s="17">
        <f t="shared" si="18"/>
        <v>364.66925009336097</v>
      </c>
      <c r="Q53" s="17">
        <f t="shared" si="18"/>
        <v>371.56263509522825</v>
      </c>
      <c r="R53" s="17">
        <f t="shared" si="18"/>
        <v>378.59388779713282</v>
      </c>
      <c r="S53" s="17">
        <f t="shared" si="18"/>
        <v>385.76576555307543</v>
      </c>
      <c r="T53" s="17">
        <f t="shared" si="18"/>
        <v>393.08108086413694</v>
      </c>
      <c r="U53" s="17">
        <f t="shared" si="18"/>
        <v>400.54270248141978</v>
      </c>
      <c r="V53" s="17">
        <f t="shared" si="18"/>
        <v>408.1535565310482</v>
      </c>
      <c r="W53" s="17">
        <f t="shared" si="18"/>
        <v>415.91662766166911</v>
      </c>
      <c r="X53" s="17">
        <f t="shared" si="18"/>
        <v>423.83496021490242</v>
      </c>
      <c r="Y53" s="17">
        <f t="shared" si="18"/>
        <v>431.91165941920053</v>
      </c>
      <c r="Z53" s="17">
        <f t="shared" si="18"/>
        <v>440.14989260758449</v>
      </c>
      <c r="AA53" s="17">
        <f t="shared" si="18"/>
        <v>448.55289045973632</v>
      </c>
      <c r="AB53" s="17">
        <f t="shared" si="18"/>
        <v>457.12394826893097</v>
      </c>
      <c r="AC53" s="17">
        <f t="shared" si="18"/>
        <v>465.8664272343097</v>
      </c>
      <c r="AD53" s="17">
        <f t="shared" si="18"/>
        <v>474.78375577899584</v>
      </c>
      <c r="AE53" s="17">
        <f t="shared" si="18"/>
        <v>483.87943089457582</v>
      </c>
    </row>
    <row r="55" spans="3:31" x14ac:dyDescent="0.25">
      <c r="D55" t="s">
        <v>61</v>
      </c>
      <c r="F55" s="17">
        <f>SUM(F41:AE41)</f>
        <v>-15757.733081975968</v>
      </c>
      <c r="G55" t="s">
        <v>62</v>
      </c>
    </row>
    <row r="56" spans="3:31" x14ac:dyDescent="0.25">
      <c r="D56" t="s">
        <v>63</v>
      </c>
      <c r="F56" s="17">
        <f>SUM(F45:AE45)</f>
        <v>-9848.5831762349771</v>
      </c>
      <c r="G56" t="s">
        <v>64</v>
      </c>
    </row>
    <row r="58" spans="3:31" x14ac:dyDescent="0.25">
      <c r="D58" t="s">
        <v>65</v>
      </c>
      <c r="F58" s="17">
        <f>SUM(F47:AE47)</f>
        <v>7800</v>
      </c>
    </row>
    <row r="59" spans="3:31" x14ac:dyDescent="0.25">
      <c r="D59" t="s">
        <v>66</v>
      </c>
      <c r="F59" s="17">
        <f>SUM(F48:AE48)</f>
        <v>6240</v>
      </c>
      <c r="G59" t="s">
        <v>67</v>
      </c>
    </row>
    <row r="61" spans="3:31" x14ac:dyDescent="0.25">
      <c r="D61" t="s">
        <v>68</v>
      </c>
      <c r="F61" s="17">
        <f>F56+F59</f>
        <v>-3608.5831762349771</v>
      </c>
      <c r="G61" t="s">
        <v>69</v>
      </c>
    </row>
    <row r="63" spans="3:31" x14ac:dyDescent="0.25">
      <c r="D63" t="s">
        <v>40</v>
      </c>
      <c r="F63">
        <f>(((F34-$D$8)*$D$11))+($D$7*$D$10)</f>
        <v>1198.1739130434783</v>
      </c>
      <c r="G63">
        <f t="shared" ref="G63:AE63" si="19">(((G34-$D$8)*$D$11))+($D$7*$D$10)</f>
        <v>1198.1739130434783</v>
      </c>
      <c r="H63">
        <f t="shared" si="19"/>
        <v>1198.1739130434783</v>
      </c>
      <c r="I63">
        <f t="shared" si="19"/>
        <v>1198.1739130434783</v>
      </c>
      <c r="J63">
        <f t="shared" si="19"/>
        <v>1198.1739130434783</v>
      </c>
      <c r="K63">
        <f t="shared" si="19"/>
        <v>1198.1739130434783</v>
      </c>
      <c r="L63">
        <f t="shared" si="19"/>
        <v>1198.1739130434783</v>
      </c>
      <c r="M63">
        <f t="shared" si="19"/>
        <v>1198.1739130434783</v>
      </c>
      <c r="N63">
        <f t="shared" si="19"/>
        <v>1198.1739130434783</v>
      </c>
      <c r="O63">
        <f t="shared" si="19"/>
        <v>1198.1739130434783</v>
      </c>
      <c r="P63">
        <f t="shared" si="19"/>
        <v>1198.1739130434783</v>
      </c>
      <c r="Q63">
        <f t="shared" si="19"/>
        <v>1198.1739130434783</v>
      </c>
      <c r="R63">
        <f t="shared" si="19"/>
        <v>1198.1739130434783</v>
      </c>
      <c r="S63">
        <f t="shared" si="19"/>
        <v>1198.1739130434783</v>
      </c>
      <c r="T63">
        <f t="shared" si="19"/>
        <v>1198.1739130434783</v>
      </c>
      <c r="U63">
        <f t="shared" si="19"/>
        <v>1198.1739130434783</v>
      </c>
      <c r="V63">
        <f t="shared" si="19"/>
        <v>1198.1739130434783</v>
      </c>
      <c r="W63">
        <f t="shared" si="19"/>
        <v>1198.1739130434783</v>
      </c>
      <c r="X63">
        <f t="shared" si="19"/>
        <v>1198.1739130434783</v>
      </c>
      <c r="Y63">
        <f t="shared" si="19"/>
        <v>1198.1739130434783</v>
      </c>
      <c r="Z63">
        <f t="shared" si="19"/>
        <v>1198.1739130434783</v>
      </c>
      <c r="AA63">
        <f t="shared" si="19"/>
        <v>1198.1739130434783</v>
      </c>
      <c r="AB63">
        <f t="shared" si="19"/>
        <v>1198.1739130434783</v>
      </c>
      <c r="AC63">
        <f t="shared" si="19"/>
        <v>1198.1739130434783</v>
      </c>
      <c r="AD63">
        <f t="shared" si="19"/>
        <v>1198.1739130434783</v>
      </c>
      <c r="AE63">
        <f t="shared" si="19"/>
        <v>1198.1739130434783</v>
      </c>
    </row>
    <row r="64" spans="3:31" x14ac:dyDescent="0.25"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4:32" x14ac:dyDescent="0.25">
      <c r="D65" t="s">
        <v>70</v>
      </c>
      <c r="F65" s="7">
        <v>-534.74405053076305</v>
      </c>
      <c r="G65" s="7">
        <v>-503.42345186518139</v>
      </c>
      <c r="H65" s="7">
        <v>-473.26977813943103</v>
      </c>
      <c r="I65" s="7">
        <v>-445.30579245496978</v>
      </c>
      <c r="J65" s="7">
        <v>-419.62432296050014</v>
      </c>
      <c r="K65" s="7">
        <v>-396.91499272902115</v>
      </c>
      <c r="L65" s="7">
        <v>-373.19556148744107</v>
      </c>
      <c r="M65" s="7">
        <v>-351.67548618672862</v>
      </c>
      <c r="N65" s="7">
        <v>-332.53658723842568</v>
      </c>
      <c r="O65" s="7">
        <v>-314.58694322088934</v>
      </c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8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942A3-DBC7-D84A-9FB4-1B1CABF73673}">
  <sheetPr>
    <pageSetUpPr fitToPage="1"/>
  </sheetPr>
  <dimension ref="A1:AE48"/>
  <sheetViews>
    <sheetView showGridLines="0" tabSelected="1" topLeftCell="C1" zoomScale="70" zoomScaleNormal="70" workbookViewId="0">
      <selection activeCell="Y46" sqref="Y46"/>
    </sheetView>
  </sheetViews>
  <sheetFormatPr defaultColWidth="11.125" defaultRowHeight="15.75" x14ac:dyDescent="0.25"/>
  <cols>
    <col min="1" max="1" width="12.5" bestFit="1" customWidth="1"/>
    <col min="2" max="2" width="12.125" customWidth="1"/>
    <col min="3" max="3" width="38.125" bestFit="1" customWidth="1"/>
    <col min="4" max="4" width="18.625" customWidth="1"/>
    <col min="5" max="23" width="10.625" customWidth="1"/>
    <col min="24" max="25" width="9.625" customWidth="1"/>
    <col min="26" max="28" width="9.625" bestFit="1" customWidth="1"/>
    <col min="29" max="29" width="9.625" customWidth="1"/>
    <col min="30" max="30" width="11.5" bestFit="1" customWidth="1"/>
  </cols>
  <sheetData>
    <row r="1" spans="1:30" x14ac:dyDescent="0.25">
      <c r="A1" t="s">
        <v>71</v>
      </c>
      <c r="B1" s="19">
        <v>5.7388250368601817E-2</v>
      </c>
    </row>
    <row r="2" spans="1:30" x14ac:dyDescent="0.25">
      <c r="A2" t="s">
        <v>72</v>
      </c>
      <c r="B2" s="12">
        <v>2000</v>
      </c>
      <c r="C2" t="s">
        <v>73</v>
      </c>
    </row>
    <row r="3" spans="1:30" x14ac:dyDescent="0.25">
      <c r="A3" t="s">
        <v>74</v>
      </c>
      <c r="B3" s="12">
        <v>850</v>
      </c>
    </row>
    <row r="4" spans="1:30" x14ac:dyDescent="0.25">
      <c r="C4" s="1" t="s">
        <v>42</v>
      </c>
      <c r="D4" s="2">
        <v>1</v>
      </c>
      <c r="E4" s="2">
        <v>2</v>
      </c>
      <c r="F4" s="2">
        <v>3</v>
      </c>
      <c r="G4" s="2">
        <v>4</v>
      </c>
      <c r="H4" s="2">
        <v>5</v>
      </c>
      <c r="I4" s="2">
        <v>6</v>
      </c>
      <c r="J4" s="2">
        <v>7</v>
      </c>
      <c r="K4" s="2">
        <v>8</v>
      </c>
      <c r="L4" s="2">
        <v>9</v>
      </c>
      <c r="M4" s="2">
        <v>10</v>
      </c>
      <c r="N4" s="2">
        <v>11</v>
      </c>
      <c r="O4" s="2">
        <v>12</v>
      </c>
      <c r="P4" s="2">
        <v>13</v>
      </c>
      <c r="Q4" s="2">
        <v>14</v>
      </c>
      <c r="R4" s="2">
        <v>15</v>
      </c>
      <c r="S4" s="2">
        <v>16</v>
      </c>
      <c r="T4" s="2">
        <v>17</v>
      </c>
      <c r="U4" s="2">
        <v>18</v>
      </c>
      <c r="V4" s="2">
        <v>19</v>
      </c>
      <c r="W4" s="2">
        <v>20</v>
      </c>
      <c r="X4" s="2">
        <v>21</v>
      </c>
      <c r="Y4" s="2">
        <v>22</v>
      </c>
      <c r="Z4" s="2">
        <v>23</v>
      </c>
      <c r="AA4" s="2">
        <v>24</v>
      </c>
      <c r="AB4" s="2">
        <v>25</v>
      </c>
      <c r="AC4" s="2">
        <v>26</v>
      </c>
    </row>
    <row r="5" spans="1:30" x14ac:dyDescent="0.25">
      <c r="C5" s="1" t="s">
        <v>75</v>
      </c>
      <c r="D5" s="3">
        <v>7</v>
      </c>
      <c r="E5" s="3">
        <v>16</v>
      </c>
      <c r="F5" s="3"/>
      <c r="G5" s="3"/>
      <c r="H5" s="3"/>
      <c r="I5" s="3"/>
      <c r="J5" s="3"/>
      <c r="K5" s="3"/>
      <c r="L5" s="3"/>
      <c r="M5" s="3"/>
    </row>
    <row r="7" spans="1:30" x14ac:dyDescent="0.25">
      <c r="C7" s="4" t="s">
        <v>76</v>
      </c>
      <c r="AD7" s="2" t="s">
        <v>77</v>
      </c>
    </row>
    <row r="8" spans="1:30" x14ac:dyDescent="0.25">
      <c r="C8" s="5" t="s">
        <v>78</v>
      </c>
      <c r="D8" s="7">
        <f>'[2]Full Program'!D10+'[3]Full Program'!D10</f>
        <v>-26597.302086461219</v>
      </c>
      <c r="E8" s="7">
        <f>'[2]Full Program'!E10+'[3]Full Program'!E10</f>
        <v>-24768.802486951543</v>
      </c>
      <c r="F8" s="7">
        <f>'[2]Full Program'!F10+'[3]Full Program'!F10</f>
        <v>-22885.08222467333</v>
      </c>
      <c r="G8" s="7">
        <f>'[2]Full Program'!G10+'[3]Full Program'!G10</f>
        <v>-21219.045508383198</v>
      </c>
      <c r="H8" s="7">
        <f>'[2]Full Program'!H10+'[3]Full Program'!H10</f>
        <v>-19693.905883180731</v>
      </c>
      <c r="I8" s="7">
        <f>'[2]Full Program'!I10+'[3]Full Program'!I10</f>
        <v>-18239.304890687494</v>
      </c>
      <c r="J8" s="7">
        <f>'[2]Full Program'!J10+'[3]Full Program'!J10</f>
        <v>-16781.673595163953</v>
      </c>
      <c r="K8" s="7">
        <f>'[2]Full Program'!K10+'[3]Full Program'!K10</f>
        <v>-15408.139936757903</v>
      </c>
      <c r="L8" s="7">
        <f>'[2]Full Program'!L10+'[3]Full Program'!L10</f>
        <v>-14190.821339380207</v>
      </c>
      <c r="M8" s="7">
        <f>'[2]Full Program'!M10+'[3]Full Program'!M10</f>
        <v>-13053.559975079594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>
        <f t="shared" ref="AD8:AD9" si="0">NPV($B$1,D8:AB8)</f>
        <v>-148861.70651312059</v>
      </c>
    </row>
    <row r="9" spans="1:30" x14ac:dyDescent="0.25">
      <c r="C9" s="5" t="s">
        <v>79</v>
      </c>
      <c r="D9" s="9"/>
      <c r="E9" s="9">
        <f>'[2]Full Program'!E11+'[3]Full Program'!E11</f>
        <v>-60999.536383220431</v>
      </c>
      <c r="F9" s="9">
        <f>'[2]Full Program'!F11+'[3]Full Program'!F11</f>
        <v>-56806.012092365345</v>
      </c>
      <c r="G9" s="9">
        <f>'[2]Full Program'!G11+'[3]Full Program'!G11</f>
        <v>-52485.775932986304</v>
      </c>
      <c r="H9" s="9">
        <f>'[2]Full Program'!H11+'[3]Full Program'!H11</f>
        <v>-48664.699179561969</v>
      </c>
      <c r="I9" s="9">
        <f>'[2]Full Program'!I11+'[3]Full Program'!I11</f>
        <v>-45166.894856257401</v>
      </c>
      <c r="J9" s="9">
        <f>'[2]Full Program'!J11+'[3]Full Program'!J11</f>
        <v>-41830.999547133441</v>
      </c>
      <c r="K9" s="9">
        <f>'[2]Full Program'!K11+'[3]Full Program'!K11</f>
        <v>-38488.033530938774</v>
      </c>
      <c r="L9" s="9">
        <f>'[2]Full Program'!L11+'[3]Full Program'!L11</f>
        <v>-35337.776979479153</v>
      </c>
      <c r="M9" s="9">
        <f>'[2]Full Program'!M11+'[3]Full Program'!M11</f>
        <v>-32545.990003795952</v>
      </c>
      <c r="N9" s="9">
        <f>'[2]Full Program'!N11+'[3]Full Program'!N11</f>
        <v>-29937.821583756893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7"/>
      <c r="AD9" s="7">
        <f t="shared" si="0"/>
        <v>-341406.86966171156</v>
      </c>
    </row>
    <row r="10" spans="1:30" x14ac:dyDescent="0.25">
      <c r="C10" s="5" t="s">
        <v>80</v>
      </c>
      <c r="D10" s="7">
        <f>SUM(D8:D9)</f>
        <v>-26597.302086461219</v>
      </c>
      <c r="E10" s="7">
        <f t="shared" ref="E10:N10" si="1">SUM(E8:E9)</f>
        <v>-85768.338870171981</v>
      </c>
      <c r="F10" s="7">
        <f t="shared" si="1"/>
        <v>-79691.094317038674</v>
      </c>
      <c r="G10" s="7">
        <f t="shared" si="1"/>
        <v>-73704.82144136951</v>
      </c>
      <c r="H10" s="7">
        <f t="shared" si="1"/>
        <v>-68358.605062742703</v>
      </c>
      <c r="I10" s="7">
        <f t="shared" si="1"/>
        <v>-63406.199746944898</v>
      </c>
      <c r="J10" s="7">
        <f t="shared" si="1"/>
        <v>-58612.673142297397</v>
      </c>
      <c r="K10" s="7">
        <f t="shared" si="1"/>
        <v>-53896.173467696673</v>
      </c>
      <c r="L10" s="7">
        <f t="shared" si="1"/>
        <v>-49528.59831885936</v>
      </c>
      <c r="M10" s="7">
        <f t="shared" si="1"/>
        <v>-45599.549978875548</v>
      </c>
      <c r="N10" s="7">
        <f t="shared" si="1"/>
        <v>-29937.821583756893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>
        <f>NPV($B$1,D10:AC10)</f>
        <v>-471739.20164577244</v>
      </c>
    </row>
    <row r="11" spans="1:30" x14ac:dyDescent="0.25">
      <c r="C11" s="5" t="s">
        <v>81</v>
      </c>
      <c r="D11" s="7">
        <f>'[2]Full Program'!D14+'[3]Full Program'!D14</f>
        <v>-168</v>
      </c>
      <c r="E11" s="7">
        <f>'[2]Full Program'!E14+'[3]Full Program'!E14</f>
        <v>-168</v>
      </c>
      <c r="F11" s="7">
        <f>'[2]Full Program'!F14+'[3]Full Program'!F14</f>
        <v>-168</v>
      </c>
      <c r="G11" s="7">
        <f>'[2]Full Program'!G14+'[3]Full Program'!G14</f>
        <v>-168</v>
      </c>
      <c r="H11" s="7">
        <f>'[2]Full Program'!H14+'[3]Full Program'!H14</f>
        <v>-168</v>
      </c>
      <c r="I11" s="7">
        <f>'[2]Full Program'!I14+'[3]Full Program'!I14</f>
        <v>-168</v>
      </c>
      <c r="J11" s="7">
        <f>'[2]Full Program'!J14+'[3]Full Program'!J14</f>
        <v>-168</v>
      </c>
      <c r="K11" s="7">
        <f>'[2]Full Program'!K14+'[3]Full Program'!K14</f>
        <v>-168</v>
      </c>
      <c r="L11" s="7">
        <f>'[2]Full Program'!L14+'[3]Full Program'!L14</f>
        <v>-168</v>
      </c>
      <c r="M11" s="7">
        <f>'[2]Full Program'!M14+'[3]Full Program'!M14</f>
        <v>-168</v>
      </c>
      <c r="N11" s="7">
        <f>'[2]Full Program'!N14+'[3]Full Program'!N14</f>
        <v>-168</v>
      </c>
      <c r="O11" s="7">
        <f>'[2]Full Program'!O14+'[3]Full Program'!O14</f>
        <v>-168</v>
      </c>
      <c r="P11" s="7">
        <f>'[2]Full Program'!P14+'[3]Full Program'!P14</f>
        <v>-168</v>
      </c>
      <c r="Q11" s="7">
        <f>'[2]Full Program'!Q14+'[3]Full Program'!Q14</f>
        <v>-168</v>
      </c>
      <c r="R11" s="7">
        <f>'[2]Full Program'!R14+'[3]Full Program'!R14</f>
        <v>-168</v>
      </c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>
        <f t="shared" ref="AD11:AD35" si="2">NPV($B$1,D11:AC11)</f>
        <v>-1659.8668478171548</v>
      </c>
    </row>
    <row r="12" spans="1:30" x14ac:dyDescent="0.25">
      <c r="C12" s="5" t="s">
        <v>82</v>
      </c>
      <c r="D12" s="9"/>
      <c r="E12" s="9">
        <f>'[2]Full Program'!E15+'[3]Full Program'!E15</f>
        <v>-384</v>
      </c>
      <c r="F12" s="9">
        <f>'[2]Full Program'!F15+'[3]Full Program'!F15</f>
        <v>-384</v>
      </c>
      <c r="G12" s="9">
        <f>'[2]Full Program'!G15+'[3]Full Program'!G15</f>
        <v>-384</v>
      </c>
      <c r="H12" s="9">
        <f>'[2]Full Program'!H15+'[3]Full Program'!H15</f>
        <v>-384</v>
      </c>
      <c r="I12" s="9">
        <f>'[2]Full Program'!I15+'[3]Full Program'!I15</f>
        <v>-384</v>
      </c>
      <c r="J12" s="9">
        <f>'[2]Full Program'!J15+'[3]Full Program'!J15</f>
        <v>-384</v>
      </c>
      <c r="K12" s="9">
        <f>'[2]Full Program'!K15+'[3]Full Program'!K15</f>
        <v>-384</v>
      </c>
      <c r="L12" s="9">
        <f>'[2]Full Program'!L15+'[3]Full Program'!L15</f>
        <v>-384</v>
      </c>
      <c r="M12" s="9">
        <f>'[2]Full Program'!M15+'[3]Full Program'!M15</f>
        <v>-384</v>
      </c>
      <c r="N12" s="9">
        <f>'[2]Full Program'!N15+'[3]Full Program'!N15</f>
        <v>-384</v>
      </c>
      <c r="O12" s="9">
        <f>'[2]Full Program'!O15+'[3]Full Program'!O15</f>
        <v>-384</v>
      </c>
      <c r="P12" s="9">
        <f>'[2]Full Program'!P15+'[3]Full Program'!P15</f>
        <v>-384</v>
      </c>
      <c r="Q12" s="9">
        <f>'[2]Full Program'!Q15+'[3]Full Program'!Q15</f>
        <v>-384</v>
      </c>
      <c r="R12" s="9">
        <f>'[2]Full Program'!R15+'[3]Full Program'!R15</f>
        <v>-384</v>
      </c>
      <c r="S12" s="9">
        <f>'[2]Full Program'!S15+'[3]Full Program'!S15</f>
        <v>-384</v>
      </c>
      <c r="T12" s="9"/>
      <c r="U12" s="9"/>
      <c r="V12" s="9"/>
      <c r="W12" s="9"/>
      <c r="X12" s="9"/>
      <c r="Y12" s="9"/>
      <c r="Z12" s="9"/>
      <c r="AA12" s="9"/>
      <c r="AB12" s="9"/>
      <c r="AC12" s="7"/>
      <c r="AD12" s="7">
        <f t="shared" si="2"/>
        <v>-3793.9813664392109</v>
      </c>
    </row>
    <row r="13" spans="1:30" x14ac:dyDescent="0.25">
      <c r="C13" s="5" t="s">
        <v>83</v>
      </c>
      <c r="D13" s="7">
        <f>SUM(D11:D12)</f>
        <v>-168</v>
      </c>
      <c r="E13" s="7">
        <f t="shared" ref="E13:S13" si="3">SUM(E11:E12)</f>
        <v>-552</v>
      </c>
      <c r="F13" s="7">
        <f t="shared" si="3"/>
        <v>-552</v>
      </c>
      <c r="G13" s="7">
        <f t="shared" si="3"/>
        <v>-552</v>
      </c>
      <c r="H13" s="7">
        <f t="shared" si="3"/>
        <v>-552</v>
      </c>
      <c r="I13" s="7">
        <f t="shared" si="3"/>
        <v>-552</v>
      </c>
      <c r="J13" s="7">
        <f t="shared" si="3"/>
        <v>-552</v>
      </c>
      <c r="K13" s="7">
        <f t="shared" si="3"/>
        <v>-552</v>
      </c>
      <c r="L13" s="7">
        <f t="shared" si="3"/>
        <v>-552</v>
      </c>
      <c r="M13" s="7">
        <f t="shared" si="3"/>
        <v>-552</v>
      </c>
      <c r="N13" s="7">
        <f t="shared" si="3"/>
        <v>-552</v>
      </c>
      <c r="O13" s="7">
        <f t="shared" si="3"/>
        <v>-552</v>
      </c>
      <c r="P13" s="7">
        <f t="shared" si="3"/>
        <v>-552</v>
      </c>
      <c r="Q13" s="7">
        <f t="shared" si="3"/>
        <v>-552</v>
      </c>
      <c r="R13" s="7">
        <f t="shared" si="3"/>
        <v>-552</v>
      </c>
      <c r="S13" s="7">
        <f t="shared" si="3"/>
        <v>-384</v>
      </c>
      <c r="T13" s="7"/>
      <c r="U13" s="7"/>
      <c r="V13" s="7"/>
      <c r="W13" s="7"/>
      <c r="X13" s="7"/>
      <c r="Y13" s="7"/>
      <c r="Z13" s="7"/>
      <c r="AA13" s="7"/>
      <c r="AB13" s="7"/>
      <c r="AC13" s="7"/>
      <c r="AD13" s="7">
        <f t="shared" si="2"/>
        <v>-5247.9352466447781</v>
      </c>
    </row>
    <row r="14" spans="1:30" x14ac:dyDescent="0.25">
      <c r="C14" s="5" t="s">
        <v>84</v>
      </c>
      <c r="D14" s="7">
        <f>'Res Package'!F65*$D$5</f>
        <v>-3743.2083537153412</v>
      </c>
      <c r="E14" s="7">
        <f>'Res Package'!G65*$D$5</f>
        <v>-3523.9641630562696</v>
      </c>
      <c r="F14" s="7">
        <f>'Res Package'!H65*$D$5</f>
        <v>-3312.8884469760173</v>
      </c>
      <c r="G14" s="7">
        <f>'Res Package'!I65*$D$5</f>
        <v>-3117.1405471847884</v>
      </c>
      <c r="H14" s="7">
        <f>'Res Package'!J65*$D$5</f>
        <v>-2937.3702607235009</v>
      </c>
      <c r="I14" s="7">
        <f>'Res Package'!K65*$D$5</f>
        <v>-2778.4049491031483</v>
      </c>
      <c r="J14" s="7">
        <f>'Res Package'!L65*$D$5</f>
        <v>-2612.3689304120876</v>
      </c>
      <c r="K14" s="7">
        <f>'Res Package'!M65*$D$5</f>
        <v>-2461.7284033071005</v>
      </c>
      <c r="L14" s="7">
        <f>'Res Package'!N65*$D$5</f>
        <v>-2327.75611066898</v>
      </c>
      <c r="M14" s="7">
        <f>'Res Package'!O65*$D$5</f>
        <v>-2202.1086025462255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>
        <f t="shared" si="2"/>
        <v>-22209.774942681943</v>
      </c>
    </row>
    <row r="15" spans="1:30" x14ac:dyDescent="0.25">
      <c r="C15" s="5" t="s">
        <v>85</v>
      </c>
      <c r="D15" s="9"/>
      <c r="E15" s="9">
        <f>'Res Package'!F65*$E$5</f>
        <v>-8555.9048084922088</v>
      </c>
      <c r="F15" s="9">
        <f>'Res Package'!G65*$E$5</f>
        <v>-8054.7752298429023</v>
      </c>
      <c r="G15" s="9">
        <f>'Res Package'!H65*$E$5</f>
        <v>-7572.3164502308964</v>
      </c>
      <c r="H15" s="9">
        <f>'Res Package'!I65*$E$5</f>
        <v>-7124.8926792795164</v>
      </c>
      <c r="I15" s="9">
        <f>'Res Package'!J65*$E$5</f>
        <v>-6713.9891673680022</v>
      </c>
      <c r="J15" s="9">
        <f>'Res Package'!K65*$E$5</f>
        <v>-6350.6398836643384</v>
      </c>
      <c r="K15" s="9">
        <f>'Res Package'!L65*$E$5</f>
        <v>-5971.1289837990571</v>
      </c>
      <c r="L15" s="9">
        <f>'Res Package'!M65*$E$5</f>
        <v>-5626.8077789876579</v>
      </c>
      <c r="M15" s="9">
        <f>'Res Package'!N65*$E$5</f>
        <v>-5320.5853958148109</v>
      </c>
      <c r="N15" s="9">
        <f>'Res Package'!O65*$E$5</f>
        <v>-5033.3910915342294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7"/>
      <c r="AD15" s="7">
        <f t="shared" si="2"/>
        <v>-50765.1998689873</v>
      </c>
    </row>
    <row r="16" spans="1:30" x14ac:dyDescent="0.25">
      <c r="C16" s="5" t="s">
        <v>86</v>
      </c>
      <c r="D16" s="7">
        <f>D14+D15</f>
        <v>-3743.2083537153412</v>
      </c>
      <c r="E16" s="7">
        <f t="shared" ref="E16:N16" si="4">E14+E15</f>
        <v>-12079.868971548478</v>
      </c>
      <c r="F16" s="7">
        <f t="shared" si="4"/>
        <v>-11367.66367681892</v>
      </c>
      <c r="G16" s="7">
        <f t="shared" si="4"/>
        <v>-10689.456997415684</v>
      </c>
      <c r="H16" s="7">
        <f t="shared" si="4"/>
        <v>-10062.262940003016</v>
      </c>
      <c r="I16" s="7">
        <f t="shared" si="4"/>
        <v>-9492.3941164711505</v>
      </c>
      <c r="J16" s="7">
        <f t="shared" si="4"/>
        <v>-8963.0088140764256</v>
      </c>
      <c r="K16" s="7">
        <f t="shared" si="4"/>
        <v>-8432.8573871061581</v>
      </c>
      <c r="L16" s="7">
        <f t="shared" si="4"/>
        <v>-7954.5638896566379</v>
      </c>
      <c r="M16" s="7">
        <f t="shared" si="4"/>
        <v>-7522.6939983610364</v>
      </c>
      <c r="N16" s="7">
        <f t="shared" si="4"/>
        <v>-5033.3910915342294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>
        <f t="shared" si="2"/>
        <v>-70219.765455902336</v>
      </c>
    </row>
    <row r="17" spans="3:30" x14ac:dyDescent="0.25">
      <c r="C17" s="5" t="s">
        <v>87</v>
      </c>
      <c r="D17" s="7">
        <f>$D$5*'Res Package'!F43</f>
        <v>-9591.4</v>
      </c>
      <c r="E17" s="7">
        <f>$D$5*'Res Package'!G43</f>
        <v>-9543.4430000000011</v>
      </c>
      <c r="F17" s="7">
        <f>$D$5*'Res Package'!H43</f>
        <v>-9495.7257850000005</v>
      </c>
      <c r="G17" s="7">
        <f>$D$5*'Res Package'!I43</f>
        <v>-9448.247156075</v>
      </c>
      <c r="H17" s="7">
        <f>$D$5*'Res Package'!J43</f>
        <v>-9401.0059202946268</v>
      </c>
      <c r="I17" s="7">
        <f>$D$5*'Res Package'!K43</f>
        <v>-9354.0008906931525</v>
      </c>
      <c r="J17" s="7">
        <f>$D$5*'Res Package'!L43</f>
        <v>-9307.2308862396876</v>
      </c>
      <c r="K17" s="7">
        <f>$D$5*'Res Package'!M43</f>
        <v>-9260.6947318084876</v>
      </c>
      <c r="L17" s="7">
        <f>$D$5*'Res Package'!N43</f>
        <v>-9214.391258149446</v>
      </c>
      <c r="M17" s="7">
        <f>$D$5*'Res Package'!O43</f>
        <v>-9168.319301858699</v>
      </c>
      <c r="N17" s="7">
        <f>$D$5*'Res Package'!P43</f>
        <v>-9122.4777053494035</v>
      </c>
      <c r="O17" s="7">
        <f>$D$5*'Res Package'!Q43</f>
        <v>-9076.8653168226574</v>
      </c>
      <c r="P17" s="7">
        <f>$D$5*'Res Package'!R43</f>
        <v>-9031.4809902385441</v>
      </c>
      <c r="Q17" s="7">
        <f>$D$5*'Res Package'!S43</f>
        <v>-8986.3235852873513</v>
      </c>
      <c r="R17" s="7">
        <f>$D$5*'Res Package'!T43</f>
        <v>-8941.3919673609144</v>
      </c>
      <c r="S17" s="7">
        <f>$D$5*'Res Package'!U43</f>
        <v>-8896.6850075241091</v>
      </c>
      <c r="T17" s="7">
        <f>$D$5*'Res Package'!V43</f>
        <v>-8852.2015824864884</v>
      </c>
      <c r="U17" s="7">
        <f>$D$5*'Res Package'!W43</f>
        <v>-8807.9405745740569</v>
      </c>
      <c r="V17" s="7">
        <f>$D$5*'Res Package'!X43</f>
        <v>-8763.9008717011857</v>
      </c>
      <c r="W17" s="7">
        <f>$D$5*'Res Package'!Y43</f>
        <v>-8720.0813673426783</v>
      </c>
      <c r="X17" s="7">
        <f>$D$5*'Res Package'!Z43</f>
        <v>-8676.4809605059654</v>
      </c>
      <c r="Y17" s="7">
        <f>$D$5*'Res Package'!AA43</f>
        <v>-8633.0985557034364</v>
      </c>
      <c r="Z17" s="7">
        <f>$D$5*'Res Package'!AB43</f>
        <v>-8589.9330629249198</v>
      </c>
      <c r="AA17" s="7">
        <f>$D$5*'Res Package'!AC43</f>
        <v>-8546.9833976102946</v>
      </c>
      <c r="AB17" s="7">
        <f>$D$5*'Res Package'!AD43</f>
        <v>-8504.2484806222419</v>
      </c>
      <c r="AC17" s="7"/>
      <c r="AD17" s="7">
        <f t="shared" si="2"/>
        <v>-120125.29260920196</v>
      </c>
    </row>
    <row r="18" spans="3:30" x14ac:dyDescent="0.25">
      <c r="C18" s="5" t="s">
        <v>88</v>
      </c>
      <c r="D18" s="7"/>
      <c r="E18" s="7">
        <f>$E$5*'Res Package'!F43</f>
        <v>-21923.200000000001</v>
      </c>
      <c r="F18" s="7">
        <f>$E$5*'Res Package'!G43</f>
        <v>-21813.584000000003</v>
      </c>
      <c r="G18" s="7">
        <f>$E$5*'Res Package'!H43</f>
        <v>-21704.516080000001</v>
      </c>
      <c r="H18" s="7">
        <f>$E$5*'Res Package'!I43</f>
        <v>-21595.993499600001</v>
      </c>
      <c r="I18" s="7">
        <f>$E$5*'Res Package'!J43</f>
        <v>-21488.013532102003</v>
      </c>
      <c r="J18" s="7">
        <f>$E$5*'Res Package'!K43</f>
        <v>-21380.573464441492</v>
      </c>
      <c r="K18" s="7">
        <f>$E$5*'Res Package'!L43</f>
        <v>-21273.670597119286</v>
      </c>
      <c r="L18" s="7">
        <f>$E$5*'Res Package'!M43</f>
        <v>-21167.302244133687</v>
      </c>
      <c r="M18" s="7">
        <f>$E$5*'Res Package'!N43</f>
        <v>-21061.46573291302</v>
      </c>
      <c r="N18" s="7">
        <f>$E$5*'Res Package'!O43</f>
        <v>-20956.158404248454</v>
      </c>
      <c r="O18" s="7">
        <f>$E$5*'Res Package'!P43</f>
        <v>-20851.37761222721</v>
      </c>
      <c r="P18" s="7">
        <f>$E$5*'Res Package'!Q43</f>
        <v>-20747.120724166074</v>
      </c>
      <c r="Q18" s="7">
        <f>$E$5*'Res Package'!R43</f>
        <v>-20643.385120545245</v>
      </c>
      <c r="R18" s="7">
        <f>$E$5*'Res Package'!S43</f>
        <v>-20540.168194942518</v>
      </c>
      <c r="S18" s="7">
        <f>$E$5*'Res Package'!T43</f>
        <v>-20437.467353967804</v>
      </c>
      <c r="T18" s="7">
        <f>$E$5*'Res Package'!U43</f>
        <v>-20335.280017197965</v>
      </c>
      <c r="U18" s="7">
        <f>$E$5*'Res Package'!V43</f>
        <v>-20233.603617111974</v>
      </c>
      <c r="V18" s="7">
        <f>$E$5*'Res Package'!W43</f>
        <v>-20132.435599026416</v>
      </c>
      <c r="W18" s="7">
        <f>$E$5*'Res Package'!X43</f>
        <v>-20031.773421031281</v>
      </c>
      <c r="X18" s="7">
        <f>$E$5*'Res Package'!Y43</f>
        <v>-19931.614553926123</v>
      </c>
      <c r="Y18" s="7">
        <f>$E$5*'Res Package'!Z43</f>
        <v>-19831.956481156492</v>
      </c>
      <c r="Z18" s="7">
        <f>$E$5*'Res Package'!AA43</f>
        <v>-19732.79669875071</v>
      </c>
      <c r="AA18" s="7">
        <f>$E$5*'Res Package'!AB43</f>
        <v>-19634.132715256957</v>
      </c>
      <c r="AB18" s="7">
        <f>$E$5*'Res Package'!AC43</f>
        <v>-19535.962051680672</v>
      </c>
      <c r="AC18" s="7">
        <f>$E$5*'Res Package'!AD43</f>
        <v>-19438.282241422268</v>
      </c>
      <c r="AD18" s="7">
        <f t="shared" si="2"/>
        <v>-274572.09739246173</v>
      </c>
    </row>
    <row r="19" spans="3:30" x14ac:dyDescent="0.25">
      <c r="C19" s="5" t="s">
        <v>89</v>
      </c>
      <c r="D19" s="9">
        <f>D17+D18</f>
        <v>-9591.4</v>
      </c>
      <c r="E19" s="9">
        <f t="shared" ref="E19:AC19" si="5">E17+E18</f>
        <v>-31466.643000000004</v>
      </c>
      <c r="F19" s="9">
        <f t="shared" si="5"/>
        <v>-31309.309785000005</v>
      </c>
      <c r="G19" s="9">
        <f t="shared" si="5"/>
        <v>-31152.763236074999</v>
      </c>
      <c r="H19" s="9">
        <f t="shared" si="5"/>
        <v>-30996.99941989463</v>
      </c>
      <c r="I19" s="9">
        <f t="shared" si="5"/>
        <v>-30842.014422795153</v>
      </c>
      <c r="J19" s="9">
        <f t="shared" si="5"/>
        <v>-30687.804350681181</v>
      </c>
      <c r="K19" s="9">
        <f t="shared" si="5"/>
        <v>-30534.365328927772</v>
      </c>
      <c r="L19" s="9">
        <f t="shared" si="5"/>
        <v>-30381.693502283131</v>
      </c>
      <c r="M19" s="9">
        <f t="shared" si="5"/>
        <v>-30229.785034771718</v>
      </c>
      <c r="N19" s="9">
        <f t="shared" si="5"/>
        <v>-30078.636109597857</v>
      </c>
      <c r="O19" s="9">
        <f t="shared" si="5"/>
        <v>-29928.242929049869</v>
      </c>
      <c r="P19" s="9">
        <f t="shared" si="5"/>
        <v>-29778.60171440462</v>
      </c>
      <c r="Q19" s="9">
        <f t="shared" si="5"/>
        <v>-29629.708705832596</v>
      </c>
      <c r="R19" s="9">
        <f t="shared" si="5"/>
        <v>-29481.560162303431</v>
      </c>
      <c r="S19" s="9">
        <f t="shared" si="5"/>
        <v>-29334.152361491913</v>
      </c>
      <c r="T19" s="9">
        <f t="shared" si="5"/>
        <v>-29187.481599684455</v>
      </c>
      <c r="U19" s="9">
        <f t="shared" si="5"/>
        <v>-29041.544191686029</v>
      </c>
      <c r="V19" s="9">
        <f t="shared" si="5"/>
        <v>-28896.336470727601</v>
      </c>
      <c r="W19" s="9">
        <f t="shared" si="5"/>
        <v>-28751.854788373959</v>
      </c>
      <c r="X19" s="9">
        <f t="shared" si="5"/>
        <v>-28608.095514432091</v>
      </c>
      <c r="Y19" s="9">
        <f t="shared" si="5"/>
        <v>-28465.055036859929</v>
      </c>
      <c r="Z19" s="9">
        <f t="shared" si="5"/>
        <v>-28322.72976167563</v>
      </c>
      <c r="AA19" s="9">
        <f t="shared" si="5"/>
        <v>-28181.116112867254</v>
      </c>
      <c r="AB19" s="9">
        <f t="shared" si="5"/>
        <v>-28040.210532302914</v>
      </c>
      <c r="AC19" s="9">
        <f t="shared" si="5"/>
        <v>-19438.282241422268</v>
      </c>
      <c r="AD19" s="9">
        <f t="shared" si="2"/>
        <v>-379795.37812107231</v>
      </c>
    </row>
    <row r="20" spans="3:30" s="10" customFormat="1" ht="18" customHeight="1" x14ac:dyDescent="0.25">
      <c r="C20" s="4" t="s">
        <v>90</v>
      </c>
      <c r="D20" s="11">
        <f>SUM(D10,D13,D16,D19)</f>
        <v>-40099.910440176558</v>
      </c>
      <c r="E20" s="11">
        <f t="shared" ref="E20:AC20" si="6">SUM(E10,E13,E16,E19)</f>
        <v>-129866.85084172047</v>
      </c>
      <c r="F20" s="11">
        <f t="shared" si="6"/>
        <v>-122920.0677788576</v>
      </c>
      <c r="G20" s="11">
        <f t="shared" si="6"/>
        <v>-116099.0416748602</v>
      </c>
      <c r="H20" s="11">
        <f t="shared" si="6"/>
        <v>-109969.86742264035</v>
      </c>
      <c r="I20" s="11">
        <f t="shared" si="6"/>
        <v>-104292.60828621121</v>
      </c>
      <c r="J20" s="11">
        <f t="shared" si="6"/>
        <v>-98815.486307055005</v>
      </c>
      <c r="K20" s="11">
        <f t="shared" si="6"/>
        <v>-93415.396183730598</v>
      </c>
      <c r="L20" s="11">
        <f t="shared" si="6"/>
        <v>-88416.855710799136</v>
      </c>
      <c r="M20" s="11">
        <f t="shared" si="6"/>
        <v>-83904.029012008308</v>
      </c>
      <c r="N20" s="11">
        <f t="shared" si="6"/>
        <v>-65601.848784888978</v>
      </c>
      <c r="O20" s="11">
        <f t="shared" si="6"/>
        <v>-30480.242929049869</v>
      </c>
      <c r="P20" s="11">
        <f t="shared" si="6"/>
        <v>-30330.60171440462</v>
      </c>
      <c r="Q20" s="11">
        <f t="shared" si="6"/>
        <v>-30181.708705832596</v>
      </c>
      <c r="R20" s="11">
        <f t="shared" si="6"/>
        <v>-30033.560162303431</v>
      </c>
      <c r="S20" s="11">
        <f t="shared" si="6"/>
        <v>-29718.152361491913</v>
      </c>
      <c r="T20" s="11">
        <f t="shared" si="6"/>
        <v>-29187.481599684455</v>
      </c>
      <c r="U20" s="11">
        <f t="shared" si="6"/>
        <v>-29041.544191686029</v>
      </c>
      <c r="V20" s="11">
        <f t="shared" si="6"/>
        <v>-28896.336470727601</v>
      </c>
      <c r="W20" s="11">
        <f t="shared" si="6"/>
        <v>-28751.854788373959</v>
      </c>
      <c r="X20" s="11">
        <f t="shared" si="6"/>
        <v>-28608.095514432091</v>
      </c>
      <c r="Y20" s="11">
        <f t="shared" si="6"/>
        <v>-28465.055036859929</v>
      </c>
      <c r="Z20" s="11">
        <f t="shared" si="6"/>
        <v>-28322.72976167563</v>
      </c>
      <c r="AA20" s="11">
        <f t="shared" si="6"/>
        <v>-28181.116112867254</v>
      </c>
      <c r="AB20" s="11">
        <f t="shared" si="6"/>
        <v>-28040.210532302914</v>
      </c>
      <c r="AC20" s="11">
        <f t="shared" si="6"/>
        <v>-19438.282241422268</v>
      </c>
      <c r="AD20" s="7">
        <f t="shared" si="2"/>
        <v>-927002.28046939196</v>
      </c>
    </row>
    <row r="21" spans="3:30" x14ac:dyDescent="0.25">
      <c r="C21" s="4" t="s">
        <v>91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</row>
    <row r="22" spans="3:30" x14ac:dyDescent="0.25">
      <c r="C22" s="5" t="s">
        <v>92</v>
      </c>
      <c r="D22" s="7">
        <f>'[2]Full Program'!D20+'[3]Full Program'!D20+('[4]Frequency Reg'!L16*'[4]Frequency Reg'!L17)</f>
        <v>3670.3331880791275</v>
      </c>
      <c r="E22" s="7">
        <f>'[2]Full Program'!E20+'[3]Full Program'!E20+('[4]Frequency Reg'!M16*'[4]Frequency Reg'!M17)</f>
        <v>12428.963403849561</v>
      </c>
      <c r="F22" s="7">
        <f>'[2]Full Program'!F20+'[3]Full Program'!F20+('[4]Frequency Reg'!N16*'[4]Frequency Reg'!N17)</f>
        <v>13768.306893272127</v>
      </c>
      <c r="G22" s="7">
        <f>'[2]Full Program'!G20+'[3]Full Program'!G20+('[4]Frequency Reg'!O16*'[4]Frequency Reg'!O17)</f>
        <v>15805.272955406686</v>
      </c>
      <c r="H22" s="7">
        <f>'[2]Full Program'!H20+'[3]Full Program'!H20+('[4]Frequency Reg'!P16*'[4]Frequency Reg'!P17)</f>
        <v>16671.542696298551</v>
      </c>
      <c r="I22" s="7">
        <f>'[2]Full Program'!I20+'[3]Full Program'!I20+('[4]Frequency Reg'!Q16*'[4]Frequency Reg'!Q17)</f>
        <v>18182.76184237258</v>
      </c>
      <c r="J22" s="7">
        <f>'[2]Full Program'!J20+'[3]Full Program'!J20+('[4]Frequency Reg'!R16*'[4]Frequency Reg'!R17)</f>
        <v>19549.166605525126</v>
      </c>
      <c r="K22" s="7">
        <f>'[2]Full Program'!K20+'[3]Full Program'!K20+('[4]Frequency Reg'!S16*'[4]Frequency Reg'!S17)</f>
        <v>20053.823673414627</v>
      </c>
      <c r="L22" s="7">
        <f>'[2]Full Program'!L20+'[3]Full Program'!L20+('[4]Frequency Reg'!T16*'[4]Frequency Reg'!T17)</f>
        <v>20460.960199946334</v>
      </c>
      <c r="M22" s="7">
        <f>'[2]Full Program'!M20+'[3]Full Program'!M20+('[4]Frequency Reg'!U16*'[4]Frequency Reg'!U17)</f>
        <v>20866.143795947406</v>
      </c>
      <c r="N22" s="7">
        <f>'[2]Full Program'!N20+'[3]Full Program'!N20+('[4]Frequency Reg'!V16*'[4]Frequency Reg'!V17)</f>
        <v>19699.670000000006</v>
      </c>
      <c r="O22" s="7">
        <f>'[2]Full Program'!O20+'[3]Full Program'!O20+('[4]Frequency Reg'!W16*'[4]Frequency Reg'!W17)</f>
        <v>14502.3</v>
      </c>
      <c r="P22" s="7">
        <f>'[2]Full Program'!P20+'[3]Full Program'!P20+('[4]Frequency Reg'!X16*'[4]Frequency Reg'!X17)</f>
        <v>12688.900000000001</v>
      </c>
      <c r="Q22" s="7">
        <f>'[2]Full Program'!Q20+'[3]Full Program'!Q20+('[4]Frequency Reg'!Y16*'[4]Frequency Reg'!Y17)</f>
        <v>6940.07</v>
      </c>
      <c r="R22" s="7">
        <f>'[2]Full Program'!R20+'[3]Full Program'!R20+('[4]Frequency Reg'!Z16*'[4]Frequency Reg'!Z17)</f>
        <v>1744.97</v>
      </c>
      <c r="S22" s="7">
        <f>'[2]Full Program'!S20+'[3]Full Program'!S20+('[4]Frequency Reg'!AA16*'[4]Frequency Reg'!AA17)</f>
        <v>127.74000000000001</v>
      </c>
      <c r="T22" s="7"/>
      <c r="U22" s="7"/>
      <c r="V22" s="7"/>
      <c r="W22" s="7"/>
      <c r="X22" s="7"/>
      <c r="Y22" s="7"/>
      <c r="Z22" s="7"/>
      <c r="AA22" s="7"/>
      <c r="AB22" s="7"/>
      <c r="AC22" s="7"/>
      <c r="AD22" s="7">
        <f t="shared" si="2"/>
        <v>143099.69483823181</v>
      </c>
    </row>
    <row r="23" spans="3:30" x14ac:dyDescent="0.25">
      <c r="C23" s="5" t="s">
        <v>93</v>
      </c>
      <c r="D23" s="9"/>
      <c r="E23" s="9">
        <f>'[2]Full Program'!E21+'[3]Full Program'!E21+('[4]Frequency Reg'!N16*'[4]Frequency Reg'!N17)</f>
        <v>8516.4268932721279</v>
      </c>
      <c r="F23" s="9">
        <f>'[2]Full Program'!F21+'[3]Full Program'!F21+('[4]Frequency Reg'!O16*'[4]Frequency Reg'!O17)</f>
        <v>23284.432955406686</v>
      </c>
      <c r="G23" s="9">
        <f>'[2]Full Program'!G21+'[3]Full Program'!G21+('[4]Frequency Reg'!P16*'[4]Frequency Reg'!P17)</f>
        <v>27526.292696298551</v>
      </c>
      <c r="H23" s="9">
        <f>'[2]Full Program'!H21+'[3]Full Program'!H21+('[4]Frequency Reg'!Q16*'[4]Frequency Reg'!Q17)</f>
        <v>32280.861842372582</v>
      </c>
      <c r="I23" s="9">
        <f>'[2]Full Program'!I21+'[3]Full Program'!I21+('[4]Frequency Reg'!R16*'[4]Frequency Reg'!R17)</f>
        <v>34347.866605525123</v>
      </c>
      <c r="J23" s="9">
        <f>'[2]Full Program'!J21+'[3]Full Program'!J21+('[4]Frequency Reg'!S16*'[4]Frequency Reg'!S17)</f>
        <v>37890.223673414621</v>
      </c>
      <c r="K23" s="9">
        <f>'[2]Full Program'!K21+'[3]Full Program'!K21+('[4]Frequency Reg'!T16*'[4]Frequency Reg'!T17)</f>
        <v>41098.06019994634</v>
      </c>
      <c r="L23" s="9">
        <f>'[2]Full Program'!L21+'[3]Full Program'!L21+('[4]Frequency Reg'!U16*'[4]Frequency Reg'!U17)</f>
        <v>42329.883795947411</v>
      </c>
      <c r="M23" s="9">
        <f>'[2]Full Program'!M21+'[3]Full Program'!M21+('[4]Frequency Reg'!V16*'[4]Frequency Reg'!V17)</f>
        <v>43336.44000000001</v>
      </c>
      <c r="N23" s="9">
        <f>'[2]Full Program'!N21+'[3]Full Program'!N21+('[4]Frequency Reg'!W16*'[4]Frequency Reg'!W17)</f>
        <v>41807.43</v>
      </c>
      <c r="O23" s="9">
        <f>'[2]Full Program'!O21+'[3]Full Program'!O21+('[4]Frequency Reg'!X16*'[4]Frequency Reg'!X17)</f>
        <v>39259.340000000004</v>
      </c>
      <c r="P23" s="9">
        <f>'[2]Full Program'!P21+'[3]Full Program'!P21+('[4]Frequency Reg'!Y16*'[4]Frequency Reg'!Y17)</f>
        <v>33269.979999999996</v>
      </c>
      <c r="Q23" s="9">
        <f>'[2]Full Program'!Q21+'[3]Full Program'!Q21+('[4]Frequency Reg'!Z16*'[4]Frequency Reg'!Z17)</f>
        <v>29109.840000000004</v>
      </c>
      <c r="R23" s="9">
        <f>'[2]Full Program'!R21+'[3]Full Program'!R21+('[4]Frequency Reg'!AA16*'[4]Frequency Reg'!AA17)</f>
        <v>15921.349999999997</v>
      </c>
      <c r="S23" s="9">
        <f>'[2]Full Program'!S21+'[3]Full Program'!S21+('[4]Frequency Reg'!AB16*'[4]Frequency Reg'!AB17)</f>
        <v>4003.1600000000003</v>
      </c>
      <c r="T23" s="9">
        <f>'[2]Full Program'!T21+'[3]Full Program'!T21+('[4]Frequency Reg'!AC16*'[4]Frequency Reg'!AC17)</f>
        <v>293.04999999999995</v>
      </c>
      <c r="U23" s="9"/>
      <c r="V23" s="9"/>
      <c r="W23" s="9"/>
      <c r="X23" s="9"/>
      <c r="Y23" s="9"/>
      <c r="Z23" s="9"/>
      <c r="AA23" s="9"/>
      <c r="AB23" s="9"/>
      <c r="AC23" s="7"/>
      <c r="AD23" s="7">
        <f t="shared" si="2"/>
        <v>297648.5023702805</v>
      </c>
    </row>
    <row r="24" spans="3:30" x14ac:dyDescent="0.25">
      <c r="C24" s="5" t="s">
        <v>94</v>
      </c>
      <c r="D24" s="7">
        <f>D22+D23</f>
        <v>3670.3331880791275</v>
      </c>
      <c r="E24" s="7">
        <f t="shared" ref="E24:T24" si="7">E22+E23</f>
        <v>20945.390297121688</v>
      </c>
      <c r="F24" s="7">
        <f t="shared" si="7"/>
        <v>37052.739848678815</v>
      </c>
      <c r="G24" s="7">
        <f t="shared" si="7"/>
        <v>43331.565651705241</v>
      </c>
      <c r="H24" s="7">
        <f t="shared" si="7"/>
        <v>48952.404538671137</v>
      </c>
      <c r="I24" s="7">
        <f t="shared" si="7"/>
        <v>52530.628447897703</v>
      </c>
      <c r="J24" s="7">
        <f t="shared" si="7"/>
        <v>57439.390278939747</v>
      </c>
      <c r="K24" s="7">
        <f t="shared" si="7"/>
        <v>61151.883873360966</v>
      </c>
      <c r="L24" s="7">
        <f t="shared" si="7"/>
        <v>62790.843995893745</v>
      </c>
      <c r="M24" s="7">
        <f t="shared" si="7"/>
        <v>64202.583795947416</v>
      </c>
      <c r="N24" s="7">
        <f t="shared" si="7"/>
        <v>61507.100000000006</v>
      </c>
      <c r="O24" s="7">
        <f t="shared" si="7"/>
        <v>53761.64</v>
      </c>
      <c r="P24" s="7">
        <f t="shared" si="7"/>
        <v>45958.879999999997</v>
      </c>
      <c r="Q24" s="7">
        <f t="shared" si="7"/>
        <v>36049.910000000003</v>
      </c>
      <c r="R24" s="7">
        <f t="shared" si="7"/>
        <v>17666.319999999996</v>
      </c>
      <c r="S24" s="7">
        <f t="shared" si="7"/>
        <v>4130.9000000000005</v>
      </c>
      <c r="T24" s="7">
        <f t="shared" si="7"/>
        <v>293.04999999999995</v>
      </c>
      <c r="U24" s="7"/>
      <c r="V24" s="7"/>
      <c r="W24" s="7"/>
      <c r="X24" s="7"/>
      <c r="Y24" s="7"/>
      <c r="Z24" s="7"/>
      <c r="AA24" s="7"/>
      <c r="AB24" s="7"/>
      <c r="AC24" s="7"/>
      <c r="AD24" s="7">
        <f>NPV($B$1,D24:AC24)</f>
        <v>424593.74611648388</v>
      </c>
    </row>
    <row r="25" spans="3:30" x14ac:dyDescent="0.25">
      <c r="C25" s="5" t="s">
        <v>95</v>
      </c>
      <c r="D25" s="7">
        <f>'[3]Full Program'!D24+'[2]Full Program'!D24</f>
        <v>4074</v>
      </c>
      <c r="E25" s="7">
        <f>'[3]Full Program'!E24+'[2]Full Program'!E24</f>
        <v>9312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>
        <f t="shared" si="2"/>
        <v>12181.527814682502</v>
      </c>
    </row>
    <row r="26" spans="3:30" x14ac:dyDescent="0.25">
      <c r="C26" s="5" t="s">
        <v>96</v>
      </c>
      <c r="D26" s="7">
        <f>'[3]Full Program'!D25+'[2]Full Program'!D25</f>
        <v>10810.8</v>
      </c>
      <c r="E26" s="7">
        <f>'[3]Full Program'!E25+'[2]Full Program'!E25</f>
        <v>24794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>
        <f t="shared" si="2"/>
        <v>32399.774385946912</v>
      </c>
    </row>
    <row r="27" spans="3:30" x14ac:dyDescent="0.25">
      <c r="C27" s="5" t="s">
        <v>97</v>
      </c>
      <c r="D27" s="7">
        <f>'[2]Full Program'!D27+'[3]Full Program'!D27+($D$5*'Res Package'!F48)</f>
        <v>6660</v>
      </c>
      <c r="E27" s="7">
        <f>'[2]Full Program'!E27+'[3]Full Program'!E27+($D$5*'Res Package'!G48)</f>
        <v>6660</v>
      </c>
      <c r="F27" s="7">
        <f>'[2]Full Program'!F27+'[3]Full Program'!F27+($D$5*'Res Package'!H48)</f>
        <v>6660</v>
      </c>
      <c r="G27" s="7">
        <f>'[2]Full Program'!G27+'[3]Full Program'!G27+($D$5*'Res Package'!I48)</f>
        <v>6660</v>
      </c>
      <c r="H27" s="7">
        <f>'[2]Full Program'!H27+'[3]Full Program'!H27+($D$5*'Res Package'!J48)</f>
        <v>6660</v>
      </c>
      <c r="I27" s="7">
        <f>'[2]Full Program'!I27+'[3]Full Program'!I27+($D$5*'Res Package'!K48)</f>
        <v>6660</v>
      </c>
      <c r="J27" s="7">
        <f>'[2]Full Program'!J27+'[3]Full Program'!J27+($D$5*'Res Package'!L48)</f>
        <v>6660</v>
      </c>
      <c r="K27" s="7">
        <f>'[2]Full Program'!K27+'[3]Full Program'!K27+($D$5*'Res Package'!M48)</f>
        <v>6660</v>
      </c>
      <c r="L27" s="7">
        <f>'[2]Full Program'!L27+'[3]Full Program'!L27+($D$5*'Res Package'!N48)</f>
        <v>6660</v>
      </c>
      <c r="M27" s="7">
        <f>'[2]Full Program'!M27+'[3]Full Program'!M27+($D$5*'Res Package'!O48)</f>
        <v>6660</v>
      </c>
      <c r="N27" s="7">
        <f>($D$5*'Res Package'!P48)</f>
        <v>1680</v>
      </c>
      <c r="O27" s="7">
        <f>($D$5*'Res Package'!Q48)</f>
        <v>1680</v>
      </c>
      <c r="P27" s="7">
        <f>($D$5*'Res Package'!R48)</f>
        <v>1680</v>
      </c>
      <c r="Q27" s="7">
        <f>($D$5*'Res Package'!S48)</f>
        <v>1680</v>
      </c>
      <c r="R27" s="7">
        <f>($D$5*'Res Package'!T48)</f>
        <v>1680</v>
      </c>
      <c r="S27" s="7">
        <f>($D$5*'Res Package'!U48)</f>
        <v>1680</v>
      </c>
      <c r="T27" s="7">
        <f>($D$5*'Res Package'!V48)</f>
        <v>1680</v>
      </c>
      <c r="U27" s="7">
        <f>($D$5*'Res Package'!W48)</f>
        <v>1680</v>
      </c>
      <c r="V27" s="7">
        <f>($D$5*'Res Package'!X48)</f>
        <v>1680</v>
      </c>
      <c r="W27" s="7">
        <f>($D$5*'Res Package'!Y48)</f>
        <v>1680</v>
      </c>
      <c r="X27" s="7">
        <f>($D$5*'Res Package'!Z48)</f>
        <v>1680</v>
      </c>
      <c r="Y27" s="7">
        <f>($D$5*'Res Package'!AA48)</f>
        <v>1680</v>
      </c>
      <c r="Z27" s="7">
        <f>($D$5*'Res Package'!AB48)</f>
        <v>1680</v>
      </c>
      <c r="AA27" s="7">
        <f>($D$5*'Res Package'!AC48)</f>
        <v>1680</v>
      </c>
      <c r="AB27" s="7">
        <f>($D$5*'Res Package'!AD48)</f>
        <v>1680</v>
      </c>
      <c r="AC27" s="7"/>
      <c r="AD27" s="7">
        <f t="shared" si="2"/>
        <v>59130.578054573467</v>
      </c>
    </row>
    <row r="28" spans="3:30" x14ac:dyDescent="0.25">
      <c r="C28" s="5" t="s">
        <v>98</v>
      </c>
      <c r="D28" s="9"/>
      <c r="E28" s="9">
        <f>'[3]Full Program'!E28+'[2]Full Program'!E28+($E$5*'Res Package'!F48)</f>
        <v>15240</v>
      </c>
      <c r="F28" s="9">
        <f>'[3]Full Program'!F28+'[2]Full Program'!F28+($E$5*'Res Package'!G48)</f>
        <v>15240</v>
      </c>
      <c r="G28" s="9">
        <f>'[3]Full Program'!G28+'[2]Full Program'!G28+($E$5*'Res Package'!H48)</f>
        <v>15240</v>
      </c>
      <c r="H28" s="9">
        <f>'[3]Full Program'!H28+'[2]Full Program'!H28+($E$5*'Res Package'!I48)</f>
        <v>15240</v>
      </c>
      <c r="I28" s="9">
        <f>'[3]Full Program'!I28+'[2]Full Program'!I28+($E$5*'Res Package'!J48)</f>
        <v>15240</v>
      </c>
      <c r="J28" s="9">
        <f>'[3]Full Program'!J28+'[2]Full Program'!J28+($E$5*'Res Package'!K48)</f>
        <v>15240</v>
      </c>
      <c r="K28" s="9">
        <f>'[3]Full Program'!K28+'[2]Full Program'!K28+($E$5*'Res Package'!L48)</f>
        <v>15240</v>
      </c>
      <c r="L28" s="9">
        <f>'[3]Full Program'!L28+'[2]Full Program'!L28+($E$5*'Res Package'!M48)</f>
        <v>15240</v>
      </c>
      <c r="M28" s="9">
        <f>'[3]Full Program'!M28+'[2]Full Program'!M28+($E$5*'Res Package'!N48)</f>
        <v>15240</v>
      </c>
      <c r="N28" s="9">
        <f>'[3]Full Program'!N28+'[2]Full Program'!N28+($E$5*'Res Package'!O48)</f>
        <v>15240</v>
      </c>
      <c r="O28" s="9">
        <f>($E$5*'Res Package'!P48)</f>
        <v>3840</v>
      </c>
      <c r="P28" s="9">
        <f>($E$5*'Res Package'!Q48)</f>
        <v>3840</v>
      </c>
      <c r="Q28" s="9">
        <f>($E$5*'Res Package'!R48)</f>
        <v>3840</v>
      </c>
      <c r="R28" s="9">
        <f>($E$5*'Res Package'!S48)</f>
        <v>3840</v>
      </c>
      <c r="S28" s="9">
        <f>($E$5*'Res Package'!T48)</f>
        <v>3840</v>
      </c>
      <c r="T28" s="9">
        <f>($E$5*'Res Package'!U48)</f>
        <v>3840</v>
      </c>
      <c r="U28" s="9">
        <f>($E$5*'Res Package'!V48)</f>
        <v>3840</v>
      </c>
      <c r="V28" s="9">
        <f>($E$5*'Res Package'!W48)</f>
        <v>3840</v>
      </c>
      <c r="W28" s="9">
        <f>($E$5*'Res Package'!X48)</f>
        <v>3840</v>
      </c>
      <c r="X28" s="9">
        <f>($E$5*'Res Package'!Y48)</f>
        <v>3840</v>
      </c>
      <c r="Y28" s="9">
        <f>($E$5*'Res Package'!Z48)</f>
        <v>3840</v>
      </c>
      <c r="Z28" s="9">
        <f>($E$5*'Res Package'!AA48)</f>
        <v>3840</v>
      </c>
      <c r="AA28" s="9">
        <f>($E$5*'Res Package'!AB48)</f>
        <v>3840</v>
      </c>
      <c r="AB28" s="9">
        <f>($E$5*'Res Package'!AC48)</f>
        <v>3840</v>
      </c>
      <c r="AC28" s="9">
        <f>($E$5*'Res Package'!AD48)</f>
        <v>3840</v>
      </c>
      <c r="AD28" s="7">
        <f t="shared" si="2"/>
        <v>135283.35594484373</v>
      </c>
    </row>
    <row r="29" spans="3:30" x14ac:dyDescent="0.25">
      <c r="C29" s="22" t="s">
        <v>99</v>
      </c>
      <c r="D29" s="7">
        <f>D27+D28</f>
        <v>6660</v>
      </c>
      <c r="E29" s="7">
        <f t="shared" ref="E29:AC29" si="8">E27+E28</f>
        <v>21900</v>
      </c>
      <c r="F29" s="7">
        <f t="shared" si="8"/>
        <v>21900</v>
      </c>
      <c r="G29" s="7">
        <f t="shared" si="8"/>
        <v>21900</v>
      </c>
      <c r="H29" s="7">
        <f t="shared" si="8"/>
        <v>21900</v>
      </c>
      <c r="I29" s="7">
        <f t="shared" si="8"/>
        <v>21900</v>
      </c>
      <c r="J29" s="7">
        <f t="shared" si="8"/>
        <v>21900</v>
      </c>
      <c r="K29" s="7">
        <f t="shared" si="8"/>
        <v>21900</v>
      </c>
      <c r="L29" s="7">
        <f t="shared" si="8"/>
        <v>21900</v>
      </c>
      <c r="M29" s="7">
        <f t="shared" si="8"/>
        <v>21900</v>
      </c>
      <c r="N29" s="7">
        <f t="shared" si="8"/>
        <v>16920</v>
      </c>
      <c r="O29" s="7">
        <f t="shared" si="8"/>
        <v>5520</v>
      </c>
      <c r="P29" s="7">
        <f t="shared" si="8"/>
        <v>5520</v>
      </c>
      <c r="Q29" s="7">
        <f t="shared" si="8"/>
        <v>5520</v>
      </c>
      <c r="R29" s="7">
        <f t="shared" si="8"/>
        <v>5520</v>
      </c>
      <c r="S29" s="7">
        <f t="shared" si="8"/>
        <v>5520</v>
      </c>
      <c r="T29" s="7">
        <f t="shared" si="8"/>
        <v>5520</v>
      </c>
      <c r="U29" s="7">
        <f t="shared" si="8"/>
        <v>5520</v>
      </c>
      <c r="V29" s="7">
        <f t="shared" si="8"/>
        <v>5520</v>
      </c>
      <c r="W29" s="7">
        <f t="shared" si="8"/>
        <v>5520</v>
      </c>
      <c r="X29" s="7">
        <f t="shared" si="8"/>
        <v>5520</v>
      </c>
      <c r="Y29" s="7">
        <f t="shared" si="8"/>
        <v>5520</v>
      </c>
      <c r="Z29" s="7">
        <f t="shared" si="8"/>
        <v>5520</v>
      </c>
      <c r="AA29" s="7">
        <f t="shared" si="8"/>
        <v>5520</v>
      </c>
      <c r="AB29" s="7">
        <f t="shared" si="8"/>
        <v>5520</v>
      </c>
      <c r="AC29" s="7">
        <f t="shared" si="8"/>
        <v>3840</v>
      </c>
      <c r="AD29" s="7">
        <f t="shared" si="2"/>
        <v>187071.62137303711</v>
      </c>
    </row>
    <row r="30" spans="3:30" x14ac:dyDescent="0.25">
      <c r="C30" s="5" t="s">
        <v>100</v>
      </c>
      <c r="D30" s="7">
        <f>'Res Package'!F63*$D$5</f>
        <v>8387.217391304348</v>
      </c>
      <c r="E30" s="7">
        <f>'Res Package'!G63*$D$5</f>
        <v>8387.217391304348</v>
      </c>
      <c r="F30" s="7">
        <f>'Res Package'!H63*$D$5</f>
        <v>8387.217391304348</v>
      </c>
      <c r="G30" s="7">
        <f>'Res Package'!I63*$D$5</f>
        <v>8387.217391304348</v>
      </c>
      <c r="H30" s="7">
        <f>'Res Package'!J63*$D$5</f>
        <v>8387.217391304348</v>
      </c>
      <c r="I30" s="7">
        <f>'Res Package'!K63*$D$5</f>
        <v>8387.217391304348</v>
      </c>
      <c r="J30" s="7">
        <f>'Res Package'!L63*$D$5</f>
        <v>8387.217391304348</v>
      </c>
      <c r="K30" s="7">
        <f>'Res Package'!M63*$D$5</f>
        <v>8387.217391304348</v>
      </c>
      <c r="L30" s="7">
        <f>'Res Package'!N63*$D$5</f>
        <v>8387.217391304348</v>
      </c>
      <c r="M30" s="7">
        <f>'Res Package'!O63*$D$5</f>
        <v>8387.217391304348</v>
      </c>
      <c r="N30" s="7">
        <f>'Res Package'!P63*$D$5</f>
        <v>8387.217391304348</v>
      </c>
      <c r="O30" s="7">
        <f>'Res Package'!Q63*$D$5</f>
        <v>8387.217391304348</v>
      </c>
      <c r="P30" s="7">
        <f>'Res Package'!R63*$D$5</f>
        <v>8387.217391304348</v>
      </c>
      <c r="Q30" s="7">
        <f>'Res Package'!S63*$D$5</f>
        <v>8387.217391304348</v>
      </c>
      <c r="R30" s="7">
        <f>'Res Package'!T63*$D$5</f>
        <v>8387.217391304348</v>
      </c>
      <c r="S30" s="7">
        <f>'Res Package'!U63*$D$5</f>
        <v>8387.217391304348</v>
      </c>
      <c r="T30" s="7">
        <f>'Res Package'!V63*$D$5</f>
        <v>8387.217391304348</v>
      </c>
      <c r="U30" s="7">
        <f>'Res Package'!W63*$D$5</f>
        <v>8387.217391304348</v>
      </c>
      <c r="V30" s="7">
        <f>'Res Package'!X63*$D$5</f>
        <v>8387.217391304348</v>
      </c>
      <c r="W30" s="7">
        <f>'Res Package'!Y63*$D$5</f>
        <v>8387.217391304348</v>
      </c>
      <c r="X30" s="7">
        <f>'Res Package'!Z63*$D$5</f>
        <v>8387.217391304348</v>
      </c>
      <c r="Y30" s="7">
        <f>'Res Package'!AA63*$D$5</f>
        <v>8387.217391304348</v>
      </c>
      <c r="Z30" s="7">
        <f>'Res Package'!AB63*$D$5</f>
        <v>8387.217391304348</v>
      </c>
      <c r="AA30" s="7">
        <f>'Res Package'!AC63*$D$5</f>
        <v>8387.217391304348</v>
      </c>
      <c r="AB30" s="7">
        <f>'Res Package'!AD63*$D$5</f>
        <v>8387.217391304348</v>
      </c>
      <c r="AC30" s="7"/>
      <c r="AD30" s="7">
        <f t="shared" si="2"/>
        <v>109929.98186447246</v>
      </c>
    </row>
    <row r="31" spans="3:30" x14ac:dyDescent="0.25">
      <c r="C31" s="5" t="s">
        <v>101</v>
      </c>
      <c r="D31" s="9"/>
      <c r="E31" s="9">
        <f>'Res Package'!F63*$E$5</f>
        <v>19170.782608695652</v>
      </c>
      <c r="F31" s="9">
        <f>'Res Package'!G63*$E$5</f>
        <v>19170.782608695652</v>
      </c>
      <c r="G31" s="9">
        <f>'Res Package'!H63*$E$5</f>
        <v>19170.782608695652</v>
      </c>
      <c r="H31" s="9">
        <f>'Res Package'!I63*$E$5</f>
        <v>19170.782608695652</v>
      </c>
      <c r="I31" s="9">
        <f>'Res Package'!J63*$E$5</f>
        <v>19170.782608695652</v>
      </c>
      <c r="J31" s="9">
        <f>'Res Package'!K63*$E$5</f>
        <v>19170.782608695652</v>
      </c>
      <c r="K31" s="9">
        <f>'Res Package'!L63*$E$5</f>
        <v>19170.782608695652</v>
      </c>
      <c r="L31" s="9">
        <f>'Res Package'!M63*$E$5</f>
        <v>19170.782608695652</v>
      </c>
      <c r="M31" s="9">
        <f>'Res Package'!N63*$E$5</f>
        <v>19170.782608695652</v>
      </c>
      <c r="N31" s="9">
        <f>'Res Package'!O63*$E$5</f>
        <v>19170.782608695652</v>
      </c>
      <c r="O31" s="9">
        <f>'Res Package'!P63*$E$5</f>
        <v>19170.782608695652</v>
      </c>
      <c r="P31" s="9">
        <f>'Res Package'!Q63*$E$5</f>
        <v>19170.782608695652</v>
      </c>
      <c r="Q31" s="9">
        <f>'Res Package'!R63*$E$5</f>
        <v>19170.782608695652</v>
      </c>
      <c r="R31" s="9">
        <f>'Res Package'!S63*$E$5</f>
        <v>19170.782608695652</v>
      </c>
      <c r="S31" s="9">
        <f>'Res Package'!T63*$E$5</f>
        <v>19170.782608695652</v>
      </c>
      <c r="T31" s="9">
        <f>'Res Package'!U63*$E$5</f>
        <v>19170.782608695652</v>
      </c>
      <c r="U31" s="9">
        <f>'Res Package'!V63*$E$5</f>
        <v>19170.782608695652</v>
      </c>
      <c r="V31" s="9">
        <f>'Res Package'!W63*$E$5</f>
        <v>19170.782608695652</v>
      </c>
      <c r="W31" s="9">
        <f>'Res Package'!X63*$E$5</f>
        <v>19170.782608695652</v>
      </c>
      <c r="X31" s="9">
        <f>'Res Package'!Y63*$E$5</f>
        <v>19170.782608695652</v>
      </c>
      <c r="Y31" s="9">
        <f>'Res Package'!Z63*$E$5</f>
        <v>19170.782608695652</v>
      </c>
      <c r="Z31" s="9">
        <f>'Res Package'!AA63*$E$5</f>
        <v>19170.782608695652</v>
      </c>
      <c r="AA31" s="9">
        <f>'Res Package'!AB63*$E$5</f>
        <v>19170.782608695652</v>
      </c>
      <c r="AB31" s="9">
        <f>'Res Package'!AC63*$E$5</f>
        <v>19170.782608695652</v>
      </c>
      <c r="AC31" s="9">
        <f>'Res Package'!AD63*$E$5</f>
        <v>19170.782608695652</v>
      </c>
      <c r="AD31" s="7">
        <f t="shared" si="2"/>
        <v>251268.52997593701</v>
      </c>
    </row>
    <row r="32" spans="3:30" x14ac:dyDescent="0.25">
      <c r="C32" s="5" t="s">
        <v>102</v>
      </c>
      <c r="D32" s="7">
        <f>D30+D31</f>
        <v>8387.217391304348</v>
      </c>
      <c r="E32" s="7">
        <f t="shared" ref="E32:AC32" si="9">E30+E31</f>
        <v>27558</v>
      </c>
      <c r="F32" s="7">
        <f t="shared" si="9"/>
        <v>27558</v>
      </c>
      <c r="G32" s="7">
        <f t="shared" si="9"/>
        <v>27558</v>
      </c>
      <c r="H32" s="7">
        <f t="shared" si="9"/>
        <v>27558</v>
      </c>
      <c r="I32" s="7">
        <f t="shared" si="9"/>
        <v>27558</v>
      </c>
      <c r="J32" s="7">
        <f t="shared" si="9"/>
        <v>27558</v>
      </c>
      <c r="K32" s="7">
        <f t="shared" si="9"/>
        <v>27558</v>
      </c>
      <c r="L32" s="7">
        <f t="shared" si="9"/>
        <v>27558</v>
      </c>
      <c r="M32" s="7">
        <f t="shared" si="9"/>
        <v>27558</v>
      </c>
      <c r="N32" s="7">
        <f t="shared" si="9"/>
        <v>27558</v>
      </c>
      <c r="O32" s="7">
        <f t="shared" si="9"/>
        <v>27558</v>
      </c>
      <c r="P32" s="7">
        <f t="shared" si="9"/>
        <v>27558</v>
      </c>
      <c r="Q32" s="7">
        <f t="shared" si="9"/>
        <v>27558</v>
      </c>
      <c r="R32" s="7">
        <f t="shared" si="9"/>
        <v>27558</v>
      </c>
      <c r="S32" s="7">
        <f t="shared" si="9"/>
        <v>27558</v>
      </c>
      <c r="T32" s="7">
        <f t="shared" si="9"/>
        <v>27558</v>
      </c>
      <c r="U32" s="7">
        <f t="shared" si="9"/>
        <v>27558</v>
      </c>
      <c r="V32" s="7">
        <f t="shared" si="9"/>
        <v>27558</v>
      </c>
      <c r="W32" s="7">
        <f t="shared" si="9"/>
        <v>27558</v>
      </c>
      <c r="X32" s="7">
        <f t="shared" si="9"/>
        <v>27558</v>
      </c>
      <c r="Y32" s="7">
        <f t="shared" si="9"/>
        <v>27558</v>
      </c>
      <c r="Z32" s="7">
        <f t="shared" si="9"/>
        <v>27558</v>
      </c>
      <c r="AA32" s="7">
        <f t="shared" si="9"/>
        <v>27558</v>
      </c>
      <c r="AB32" s="7">
        <f t="shared" si="9"/>
        <v>27558</v>
      </c>
      <c r="AC32" s="7">
        <f t="shared" si="9"/>
        <v>19170.782608695652</v>
      </c>
      <c r="AD32" s="7">
        <f t="shared" si="2"/>
        <v>347561.26809102704</v>
      </c>
    </row>
    <row r="33" spans="3:31" x14ac:dyDescent="0.25">
      <c r="C33" s="5" t="s">
        <v>103</v>
      </c>
      <c r="D33" s="7">
        <f>$D$5*'Res Package'!F38</f>
        <v>6770.4</v>
      </c>
      <c r="E33" s="7">
        <f>$D$5*'Res Package'!G38</f>
        <v>6736.5479999999998</v>
      </c>
      <c r="F33" s="7">
        <f>$D$5*'Res Package'!H38</f>
        <v>6702.8652599999996</v>
      </c>
      <c r="G33" s="7">
        <f>$D$5*'Res Package'!I38</f>
        <v>6669.3509336999996</v>
      </c>
      <c r="H33" s="7">
        <f>$D$5*'Res Package'!J38</f>
        <v>6636.004179031499</v>
      </c>
      <c r="I33" s="7">
        <f>$D$5*'Res Package'!K38</f>
        <v>6602.8241581363427</v>
      </c>
      <c r="J33" s="7">
        <f>$D$5*'Res Package'!L38</f>
        <v>6569.8100373456609</v>
      </c>
      <c r="K33" s="7">
        <f>$D$5*'Res Package'!M38</f>
        <v>6536.9609871589328</v>
      </c>
      <c r="L33" s="7">
        <f>$D$5*'Res Package'!N38</f>
        <v>6504.2761822231378</v>
      </c>
      <c r="M33" s="7">
        <f>$D$5*'Res Package'!O38</f>
        <v>6471.7548013120222</v>
      </c>
      <c r="N33" s="7">
        <f>$D$5*'Res Package'!P38</f>
        <v>6439.3960273054618</v>
      </c>
      <c r="O33" s="7">
        <f>$D$5*'Res Package'!Q38</f>
        <v>6407.1990471689342</v>
      </c>
      <c r="P33" s="7">
        <f>$D$5*'Res Package'!R38</f>
        <v>6375.1630519330902</v>
      </c>
      <c r="Q33" s="7">
        <f>$D$5*'Res Package'!S38</f>
        <v>6343.2872366734246</v>
      </c>
      <c r="R33" s="7">
        <f>$D$5*'Res Package'!T38</f>
        <v>6311.5708004900571</v>
      </c>
      <c r="S33" s="7">
        <f>$D$5*'Res Package'!U38</f>
        <v>6280.0129464876063</v>
      </c>
      <c r="T33" s="7">
        <f>$D$5*'Res Package'!V38</f>
        <v>6248.6128817551689</v>
      </c>
      <c r="U33" s="7">
        <f>$D$5*'Res Package'!W38</f>
        <v>6217.3698173463927</v>
      </c>
      <c r="V33" s="7">
        <f>$D$5*'Res Package'!X38</f>
        <v>6186.2829682596603</v>
      </c>
      <c r="W33" s="7">
        <f>$D$5*'Res Package'!Y38</f>
        <v>6155.3515534183616</v>
      </c>
      <c r="X33" s="7">
        <f>$D$5*'Res Package'!Z38</f>
        <v>6124.5747956512696</v>
      </c>
      <c r="Y33" s="7">
        <f>$D$5*'Res Package'!AA38</f>
        <v>6093.9519216730132</v>
      </c>
      <c r="Z33" s="7">
        <f>$D$5*'Res Package'!AB38</f>
        <v>6063.482162064648</v>
      </c>
      <c r="AA33" s="7">
        <f>$D$5*'Res Package'!AC38</f>
        <v>6033.1647512543241</v>
      </c>
      <c r="AB33" s="7">
        <f>$D$5*'Res Package'!AD38</f>
        <v>6002.9989274980526</v>
      </c>
      <c r="AC33" s="7"/>
      <c r="AD33" s="7">
        <f t="shared" si="2"/>
        <v>84794.324194730812</v>
      </c>
    </row>
    <row r="34" spans="3:31" x14ac:dyDescent="0.25">
      <c r="C34" s="5" t="s">
        <v>104</v>
      </c>
      <c r="D34" s="9"/>
      <c r="E34" s="9">
        <f>$E$5*'Res Package'!F38</f>
        <v>15475.199999999999</v>
      </c>
      <c r="F34" s="9">
        <f>$E$5*'Res Package'!G38</f>
        <v>15397.823999999999</v>
      </c>
      <c r="G34" s="9">
        <f>$E$5*'Res Package'!H38</f>
        <v>15320.834879999999</v>
      </c>
      <c r="H34" s="9">
        <f>$E$5*'Res Package'!I38</f>
        <v>15244.230705599999</v>
      </c>
      <c r="I34" s="9">
        <f>$E$5*'Res Package'!J38</f>
        <v>15168.009552071999</v>
      </c>
      <c r="J34" s="9">
        <f>$E$5*'Res Package'!K38</f>
        <v>15092.16950431164</v>
      </c>
      <c r="K34" s="9">
        <f>$E$5*'Res Package'!L38</f>
        <v>15016.708656790082</v>
      </c>
      <c r="L34" s="9">
        <f>$E$5*'Res Package'!M38</f>
        <v>14941.625113506132</v>
      </c>
      <c r="M34" s="9">
        <f>$E$5*'Res Package'!N38</f>
        <v>14866.916987938601</v>
      </c>
      <c r="N34" s="9">
        <f>$E$5*'Res Package'!O38</f>
        <v>14792.582402998907</v>
      </c>
      <c r="O34" s="9">
        <f>$E$5*'Res Package'!P38</f>
        <v>14718.619490983912</v>
      </c>
      <c r="P34" s="9">
        <f>$E$5*'Res Package'!Q38</f>
        <v>14645.026393528993</v>
      </c>
      <c r="Q34" s="9">
        <f>$E$5*'Res Package'!R38</f>
        <v>14571.801261561348</v>
      </c>
      <c r="R34" s="9">
        <f>$E$5*'Res Package'!S38</f>
        <v>14498.942255253542</v>
      </c>
      <c r="S34" s="9">
        <f>$E$5*'Res Package'!T38</f>
        <v>14426.447543977272</v>
      </c>
      <c r="T34" s="9">
        <f>$E$5*'Res Package'!U38</f>
        <v>14354.315306257386</v>
      </c>
      <c r="U34" s="9">
        <f>$E$5*'Res Package'!V38</f>
        <v>14282.5437297261</v>
      </c>
      <c r="V34" s="9">
        <f>$E$5*'Res Package'!W38</f>
        <v>14211.131011077468</v>
      </c>
      <c r="W34" s="9">
        <f>$E$5*'Res Package'!X38</f>
        <v>14140.07535602208</v>
      </c>
      <c r="X34" s="9">
        <f>$E$5*'Res Package'!Y38</f>
        <v>14069.374979241969</v>
      </c>
      <c r="Y34" s="9">
        <f>$E$5*'Res Package'!Z38</f>
        <v>13999.028104345758</v>
      </c>
      <c r="Z34" s="9">
        <f>$E$5*'Res Package'!AA38</f>
        <v>13929.032963824029</v>
      </c>
      <c r="AA34" s="9">
        <f>$E$5*'Res Package'!AB38</f>
        <v>13859.38779900491</v>
      </c>
      <c r="AB34" s="9">
        <f>$E$5*'Res Package'!AC38</f>
        <v>13790.090860009885</v>
      </c>
      <c r="AC34" s="9">
        <f>$E$5*'Res Package'!AD38</f>
        <v>13721.140405709835</v>
      </c>
      <c r="AD34" s="7">
        <f t="shared" si="2"/>
        <v>193815.59815938474</v>
      </c>
    </row>
    <row r="35" spans="3:31" x14ac:dyDescent="0.25">
      <c r="C35" s="5" t="s">
        <v>105</v>
      </c>
      <c r="D35" s="7">
        <f>D33+D34</f>
        <v>6770.4</v>
      </c>
      <c r="E35" s="7">
        <f t="shared" ref="E35:AC35" si="10">E33+E34</f>
        <v>22211.748</v>
      </c>
      <c r="F35" s="7">
        <f t="shared" si="10"/>
        <v>22100.689259999999</v>
      </c>
      <c r="G35" s="7">
        <f t="shared" si="10"/>
        <v>21990.185813699998</v>
      </c>
      <c r="H35" s="7">
        <f t="shared" si="10"/>
        <v>21880.2348846315</v>
      </c>
      <c r="I35" s="7">
        <f t="shared" si="10"/>
        <v>21770.833710208342</v>
      </c>
      <c r="J35" s="7">
        <f t="shared" si="10"/>
        <v>21661.9795416573</v>
      </c>
      <c r="K35" s="7">
        <f t="shared" si="10"/>
        <v>21553.669643949015</v>
      </c>
      <c r="L35" s="7">
        <f t="shared" si="10"/>
        <v>21445.901295729269</v>
      </c>
      <c r="M35" s="7">
        <f t="shared" si="10"/>
        <v>21338.671789250624</v>
      </c>
      <c r="N35" s="7">
        <f t="shared" si="10"/>
        <v>21231.978430304371</v>
      </c>
      <c r="O35" s="7">
        <f t="shared" si="10"/>
        <v>21125.818538152846</v>
      </c>
      <c r="P35" s="7">
        <f t="shared" si="10"/>
        <v>21020.189445462085</v>
      </c>
      <c r="Q35" s="7">
        <f t="shared" si="10"/>
        <v>20915.088498234771</v>
      </c>
      <c r="R35" s="7">
        <f t="shared" si="10"/>
        <v>20810.513055743599</v>
      </c>
      <c r="S35" s="7">
        <f t="shared" si="10"/>
        <v>20706.46049046488</v>
      </c>
      <c r="T35" s="7">
        <f t="shared" si="10"/>
        <v>20602.928188012556</v>
      </c>
      <c r="U35" s="7">
        <f t="shared" si="10"/>
        <v>20499.913547072494</v>
      </c>
      <c r="V35" s="7">
        <f t="shared" si="10"/>
        <v>20397.413979337129</v>
      </c>
      <c r="W35" s="7">
        <f t="shared" si="10"/>
        <v>20295.426909440441</v>
      </c>
      <c r="X35" s="7">
        <f t="shared" si="10"/>
        <v>20193.949774893241</v>
      </c>
      <c r="Y35" s="7">
        <f t="shared" si="10"/>
        <v>20092.980026018769</v>
      </c>
      <c r="Z35" s="7">
        <f t="shared" si="10"/>
        <v>19992.515125888676</v>
      </c>
      <c r="AA35" s="7">
        <f t="shared" si="10"/>
        <v>19892.552550259235</v>
      </c>
      <c r="AB35" s="7">
        <f t="shared" si="10"/>
        <v>19793.089787507939</v>
      </c>
      <c r="AC35" s="7">
        <f t="shared" si="10"/>
        <v>13721.140405709835</v>
      </c>
      <c r="AD35" s="7">
        <f t="shared" si="2"/>
        <v>268090.8551442863</v>
      </c>
    </row>
    <row r="36" spans="3:31" s="10" customFormat="1" ht="16.5" thickBot="1" x14ac:dyDescent="0.3">
      <c r="C36" s="4" t="s">
        <v>106</v>
      </c>
      <c r="D36" s="23">
        <f>SUM(D24,D25,D26,D29,D32,D35)</f>
        <v>40372.750579383479</v>
      </c>
      <c r="E36" s="23">
        <f>SUM(E24,E25,E26,E29,E32,E35)</f>
        <v>126721.13829712168</v>
      </c>
      <c r="F36" s="23">
        <f t="shared" ref="F36:AC36" si="11">SUM(F24,F25,F26,F29,F32,F35)</f>
        <v>108611.42910867881</v>
      </c>
      <c r="G36" s="23">
        <f t="shared" si="11"/>
        <v>114779.75146540524</v>
      </c>
      <c r="H36" s="23">
        <f t="shared" si="11"/>
        <v>120290.63942330264</v>
      </c>
      <c r="I36" s="23">
        <f t="shared" si="11"/>
        <v>123759.46215810605</v>
      </c>
      <c r="J36" s="23">
        <f t="shared" si="11"/>
        <v>128559.36982059704</v>
      </c>
      <c r="K36" s="23">
        <f t="shared" si="11"/>
        <v>132163.55351730998</v>
      </c>
      <c r="L36" s="23">
        <f t="shared" si="11"/>
        <v>133694.74529162302</v>
      </c>
      <c r="M36" s="23">
        <f t="shared" si="11"/>
        <v>134999.25558519803</v>
      </c>
      <c r="N36" s="23">
        <f t="shared" si="11"/>
        <v>127217.07843030438</v>
      </c>
      <c r="O36" s="23">
        <f t="shared" si="11"/>
        <v>107965.45853815284</v>
      </c>
      <c r="P36" s="23">
        <f t="shared" si="11"/>
        <v>100057.06944546208</v>
      </c>
      <c r="Q36" s="23">
        <f t="shared" si="11"/>
        <v>90042.998498234781</v>
      </c>
      <c r="R36" s="23">
        <f t="shared" si="11"/>
        <v>71554.833055743598</v>
      </c>
      <c r="S36" s="23">
        <f t="shared" si="11"/>
        <v>57915.360490464882</v>
      </c>
      <c r="T36" s="23">
        <f t="shared" si="11"/>
        <v>53973.978188012559</v>
      </c>
      <c r="U36" s="23">
        <f t="shared" si="11"/>
        <v>53577.913547072494</v>
      </c>
      <c r="V36" s="23">
        <f t="shared" si="11"/>
        <v>53475.413979337129</v>
      </c>
      <c r="W36" s="23">
        <f t="shared" si="11"/>
        <v>53373.426909440444</v>
      </c>
      <c r="X36" s="23">
        <f t="shared" si="11"/>
        <v>53271.949774893241</v>
      </c>
      <c r="Y36" s="23">
        <f t="shared" si="11"/>
        <v>53170.980026018769</v>
      </c>
      <c r="Z36" s="23">
        <f t="shared" si="11"/>
        <v>53070.515125888676</v>
      </c>
      <c r="AA36" s="23">
        <f t="shared" si="11"/>
        <v>52970.552550259235</v>
      </c>
      <c r="AB36" s="23">
        <f t="shared" si="11"/>
        <v>52871.089787507939</v>
      </c>
      <c r="AC36" s="23">
        <f t="shared" si="11"/>
        <v>36731.923014405489</v>
      </c>
      <c r="AD36" s="23">
        <f>NPV($B$1,D36:AC36)</f>
        <v>1271898.792925464</v>
      </c>
      <c r="AE36" s="11"/>
    </row>
    <row r="37" spans="3:31" s="10" customFormat="1" ht="16.5" thickTop="1" x14ac:dyDescent="0.25">
      <c r="C37" s="6" t="s">
        <v>107</v>
      </c>
      <c r="D37" s="11">
        <f>D20+D36</f>
        <v>272.84013920692087</v>
      </c>
      <c r="E37" s="11">
        <f t="shared" ref="E37:AC37" si="12">E20+E36</f>
        <v>-3145.7125445987913</v>
      </c>
      <c r="F37" s="11">
        <f t="shared" si="12"/>
        <v>-14308.638670178785</v>
      </c>
      <c r="G37" s="11">
        <f t="shared" si="12"/>
        <v>-1319.2902094549645</v>
      </c>
      <c r="H37" s="11">
        <f t="shared" si="12"/>
        <v>10320.772000662284</v>
      </c>
      <c r="I37" s="11">
        <f t="shared" si="12"/>
        <v>19466.85387189484</v>
      </c>
      <c r="J37" s="11">
        <f t="shared" si="12"/>
        <v>29743.883513542038</v>
      </c>
      <c r="K37" s="11">
        <f t="shared" si="12"/>
        <v>38748.15733357938</v>
      </c>
      <c r="L37" s="11">
        <f t="shared" si="12"/>
        <v>45277.889580823889</v>
      </c>
      <c r="M37" s="11">
        <f t="shared" si="12"/>
        <v>51095.226573189721</v>
      </c>
      <c r="N37" s="11">
        <f t="shared" si="12"/>
        <v>61615.229645415398</v>
      </c>
      <c r="O37" s="11">
        <f t="shared" si="12"/>
        <v>77485.215609102976</v>
      </c>
      <c r="P37" s="11">
        <f t="shared" si="12"/>
        <v>69726.467731057463</v>
      </c>
      <c r="Q37" s="11">
        <f t="shared" si="12"/>
        <v>59861.289792402182</v>
      </c>
      <c r="R37" s="11">
        <f t="shared" si="12"/>
        <v>41521.272893440168</v>
      </c>
      <c r="S37" s="11">
        <f t="shared" si="12"/>
        <v>28197.208128972969</v>
      </c>
      <c r="T37" s="11">
        <f t="shared" si="12"/>
        <v>24786.496588328104</v>
      </c>
      <c r="U37" s="11">
        <f t="shared" si="12"/>
        <v>24536.369355386465</v>
      </c>
      <c r="V37" s="11">
        <f t="shared" si="12"/>
        <v>24579.077508609527</v>
      </c>
      <c r="W37" s="11">
        <f t="shared" si="12"/>
        <v>24621.572121066485</v>
      </c>
      <c r="X37" s="11">
        <f t="shared" si="12"/>
        <v>24663.85426046115</v>
      </c>
      <c r="Y37" s="11">
        <f t="shared" si="12"/>
        <v>24705.924989158841</v>
      </c>
      <c r="Z37" s="11">
        <f t="shared" si="12"/>
        <v>24747.785364213047</v>
      </c>
      <c r="AA37" s="11">
        <f t="shared" si="12"/>
        <v>24789.436437391982</v>
      </c>
      <c r="AB37" s="11">
        <f t="shared" si="12"/>
        <v>24830.879255205025</v>
      </c>
      <c r="AC37" s="11">
        <f t="shared" si="12"/>
        <v>17293.640772983221</v>
      </c>
      <c r="AD37" s="11">
        <f>NPV($B$1,D37:AC37)</f>
        <v>344896.51245607191</v>
      </c>
      <c r="AE37" s="11"/>
    </row>
    <row r="38" spans="3:31" x14ac:dyDescent="0.25">
      <c r="AD38" s="11"/>
    </row>
    <row r="39" spans="3:31" x14ac:dyDescent="0.25">
      <c r="AD39" s="11"/>
    </row>
    <row r="40" spans="3:31" x14ac:dyDescent="0.25">
      <c r="C40" s="10" t="s">
        <v>108</v>
      </c>
      <c r="D40" s="11">
        <f>AD37</f>
        <v>344896.51245607191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11"/>
    </row>
    <row r="41" spans="3:31" x14ac:dyDescent="0.25">
      <c r="D41" s="11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11"/>
    </row>
    <row r="42" spans="3:31" x14ac:dyDescent="0.25"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11"/>
    </row>
    <row r="43" spans="3:31" x14ac:dyDescent="0.25"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11"/>
    </row>
    <row r="44" spans="3:31" s="20" customFormat="1" x14ac:dyDescent="0.25">
      <c r="C44" s="21"/>
      <c r="AD44" s="11"/>
    </row>
    <row r="45" spans="3:31" x14ac:dyDescent="0.25"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11"/>
    </row>
    <row r="46" spans="3:31" x14ac:dyDescent="0.25"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1"/>
    </row>
    <row r="47" spans="3:31" x14ac:dyDescent="0.25">
      <c r="AD47" s="11"/>
    </row>
    <row r="48" spans="3:31" x14ac:dyDescent="0.25"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11"/>
    </row>
  </sheetData>
  <phoneticPr fontId="4" type="noConversion"/>
  <pageMargins left="0.7" right="0.7" top="0.75" bottom="0.75" header="0.3" footer="0.3"/>
  <pageSetup orientation="portrait" horizontalDpi="200" verticalDpi="200" r:id="rId1"/>
  <ignoredErrors>
    <ignoredError sqref="E18 F18:V18 W18:AC18 E34 F34:AB34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ff2d7e-1da6-4420-8a65-9ecaf7038d89" xsi:nil="true"/>
    <lcf76f155ced4ddcb4097134ff3c332f xmlns="f5514a7a-cfd7-477e-b818-fa882b88b0f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0AEF4BD032B6409526B9F925BFD81E" ma:contentTypeVersion="15" ma:contentTypeDescription="Create a new document." ma:contentTypeScope="" ma:versionID="c3163a30cded8fda8606a2bac84822ef">
  <xsd:schema xmlns:xsd="http://www.w3.org/2001/XMLSchema" xmlns:xs="http://www.w3.org/2001/XMLSchema" xmlns:p="http://schemas.microsoft.com/office/2006/metadata/properties" xmlns:ns2="f5514a7a-cfd7-477e-b818-fa882b88b0f9" xmlns:ns3="feff2d7e-1da6-4420-8a65-9ecaf7038d89" targetNamespace="http://schemas.microsoft.com/office/2006/metadata/properties" ma:root="true" ma:fieldsID="48aecc86520585d5287a3148a2715351" ns2:_="" ns3:_="">
    <xsd:import namespace="f5514a7a-cfd7-477e-b818-fa882b88b0f9"/>
    <xsd:import namespace="feff2d7e-1da6-4420-8a65-9ecaf7038d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514a7a-cfd7-477e-b818-fa882b88b0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8d842ec1-96f0-43e8-a481-6f608266b5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ff2d7e-1da6-4420-8a65-9ecaf7038d8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2627a19-482f-4da7-8e3a-4e17af52333a}" ma:internalName="TaxCatchAll" ma:showField="CatchAllData" ma:web="feff2d7e-1da6-4420-8a65-9ecaf7038d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A4BD80-6A12-487F-845D-7675463399E2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4ed5a06b-d0a9-4a84-b7c7-3627189f875c"/>
    <ds:schemaRef ds:uri="http://schemas.microsoft.com/office/2006/metadata/properties"/>
    <ds:schemaRef ds:uri="http://schemas.microsoft.com/office/infopath/2007/PartnerControls"/>
    <ds:schemaRef ds:uri="7d2d6377-bd28-4eb0-9897-a84b544b47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CE8C7C6-6CDE-48B7-B371-A2E4A13DB20D}"/>
</file>

<file path=customXml/itemProps3.xml><?xml version="1.0" encoding="utf-8"?>
<ds:datastoreItem xmlns:ds="http://schemas.openxmlformats.org/officeDocument/2006/customXml" ds:itemID="{C4AF79B6-0766-48CB-9720-B624214EE5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 Package</vt:lpstr>
      <vt:lpstr>Proforma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Ravenelle, Jeremy</cp:lastModifiedBy>
  <cp:revision/>
  <dcterms:created xsi:type="dcterms:W3CDTF">2023-03-16T13:06:51Z</dcterms:created>
  <dcterms:modified xsi:type="dcterms:W3CDTF">2026-01-26T19:18:39Z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0x010100F50AEF4BD032B6409526B9F925BFD81E</vt:lpwstr>
  </property>
</Properties>
</file>