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/>
  <mc:AlternateContent xmlns:mc="http://schemas.openxmlformats.org/markup-compatibility/2006">
    <mc:Choice Requires="x15">
      <x15ac:absPath xmlns:x15ac="http://schemas.microsoft.com/office/spreadsheetml/2010/11/ac" url="N:\PSB - Dockets\2025 Cases\25-2841-TF\"/>
    </mc:Choice>
  </mc:AlternateContent>
  <xr:revisionPtr revIDLastSave="0" documentId="8_{3799F84B-29D2-48D5-80E1-480F8AF4D181}" xr6:coauthVersionLast="47" xr6:coauthVersionMax="47" xr10:uidLastSave="{00000000-0000-0000-0000-000000000000}"/>
  <bookViews>
    <workbookView xWindow="1152" yWindow="1152" windowWidth="17280" windowHeight="9960" tabRatio="907" xr2:uid="{22B46203-3FFB-4E28-BE56-AAFA49ED8C21}"/>
  </bookViews>
  <sheets>
    <sheet name="S1 VEC Master Summary" sheetId="1" r:id="rId1"/>
    <sheet name="S1-1.5 TIER" sheetId="30" state="hidden" r:id="rId2"/>
    <sheet name="S1A Chart of Major Items" sheetId="42" r:id="rId3"/>
    <sheet name="S1B Major Items of Change" sheetId="36" r:id="rId4"/>
  </sheets>
  <definedNames>
    <definedName name="INT">#REF!</definedName>
    <definedName name="JANDATA">#REF!</definedName>
    <definedName name="_xlnm.Print_Area" localSheetId="0">'S1 VEC Master Summary'!$A$1:$G$41</definedName>
    <definedName name="_xlnm.Print_Area" localSheetId="1">'S1-1.5 TIER'!$A$1:$F$47</definedName>
    <definedName name="_xlnm.Print_Area" localSheetId="3">'S1B Major Items of Change'!$B$1:$G$32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35" i="1" l="1"/>
  <c r="J34" i="1"/>
  <c r="C13" i="1" l="1"/>
  <c r="C23" i="1" s="1"/>
  <c r="A37" i="42" l="1"/>
  <c r="C37" i="42" l="1"/>
  <c r="G21" i="36" l="1"/>
  <c r="G27" i="36" l="1"/>
  <c r="G25" i="36" l="1"/>
  <c r="C40" i="42" l="1"/>
  <c r="E32" i="1" l="1"/>
  <c r="E28" i="1" l="1"/>
  <c r="C41" i="42" l="1"/>
  <c r="G24" i="36"/>
  <c r="C35" i="1" l="1"/>
  <c r="C38" i="42" l="1"/>
  <c r="C32" i="30" l="1"/>
  <c r="C20" i="30"/>
  <c r="C14" i="30"/>
  <c r="C13" i="30"/>
  <c r="C28" i="30"/>
  <c r="D8" i="30"/>
  <c r="D16" i="30" s="1"/>
  <c r="D30" i="30" s="1"/>
  <c r="D36" i="30" s="1"/>
  <c r="A9" i="30"/>
  <c r="A10" i="30" s="1"/>
  <c r="A11" i="30" s="1"/>
  <c r="A12" i="30" s="1"/>
  <c r="A13" i="30" s="1"/>
  <c r="A14" i="30" s="1"/>
  <c r="D9" i="30"/>
  <c r="E9" i="30"/>
  <c r="C10" i="30"/>
  <c r="C11" i="30"/>
  <c r="D11" i="30"/>
  <c r="C12" i="30"/>
  <c r="D13" i="30"/>
  <c r="D14" i="30"/>
  <c r="A17" i="30"/>
  <c r="A18" i="30" s="1"/>
  <c r="A19" i="30" s="1"/>
  <c r="A20" i="30" s="1"/>
  <c r="A21" i="30" s="1"/>
  <c r="A22" i="30" s="1"/>
  <c r="A23" i="30" s="1"/>
  <c r="A24" i="30" s="1"/>
  <c r="A25" i="30" s="1"/>
  <c r="A26" i="30" s="1"/>
  <c r="A27" i="30" s="1"/>
  <c r="A28" i="30" s="1"/>
  <c r="A29" i="30" s="1"/>
  <c r="A30" i="30" s="1"/>
  <c r="A31" i="30" s="1"/>
  <c r="A32" i="30" s="1"/>
  <c r="A33" i="30" s="1"/>
  <c r="A34" i="30" s="1"/>
  <c r="A35" i="30" s="1"/>
  <c r="A36" i="30" s="1"/>
  <c r="A37" i="30" s="1"/>
  <c r="A38" i="30" s="1"/>
  <c r="A40" i="30" s="1"/>
  <c r="A41" i="30" s="1"/>
  <c r="A42" i="30" s="1"/>
  <c r="A43" i="30" s="1"/>
  <c r="A44" i="30" s="1"/>
  <c r="A45" i="30" s="1"/>
  <c r="A46" i="30" s="1"/>
  <c r="A47" i="30" s="1"/>
  <c r="C18" i="30"/>
  <c r="D18" i="30"/>
  <c r="E19" i="30"/>
  <c r="E20" i="30"/>
  <c r="C21" i="30"/>
  <c r="E21" i="30" s="1"/>
  <c r="C22" i="30"/>
  <c r="D22" i="30" s="1"/>
  <c r="E22" i="30" s="1"/>
  <c r="C23" i="30"/>
  <c r="D23" i="30" s="1"/>
  <c r="C25" i="30"/>
  <c r="C40" i="30" s="1"/>
  <c r="C26" i="30"/>
  <c r="D26" i="30"/>
  <c r="D28" i="30"/>
  <c r="D32" i="30"/>
  <c r="C34" i="30"/>
  <c r="D37" i="30"/>
  <c r="A7" i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E26" i="30" l="1"/>
  <c r="E18" i="30"/>
  <c r="E13" i="30"/>
  <c r="E32" i="30"/>
  <c r="E11" i="30"/>
  <c r="E23" i="30"/>
  <c r="E28" i="30"/>
  <c r="E14" i="30"/>
  <c r="E20" i="1"/>
  <c r="C33" i="30"/>
  <c r="C19" i="30"/>
  <c r="D19" i="30" s="1"/>
  <c r="C37" i="30"/>
  <c r="C8" i="30"/>
  <c r="D20" i="30"/>
  <c r="G22" i="36" l="1"/>
  <c r="G14" i="36"/>
  <c r="E17" i="1"/>
  <c r="C43" i="42"/>
  <c r="E18" i="1"/>
  <c r="E8" i="30"/>
  <c r="E16" i="30" s="1"/>
  <c r="E30" i="30" s="1"/>
  <c r="E36" i="30" s="1"/>
  <c r="C9" i="30"/>
  <c r="C16" i="30" s="1"/>
  <c r="C30" i="30" s="1"/>
  <c r="E37" i="30"/>
  <c r="C35" i="30"/>
  <c r="C35" i="42" l="1"/>
  <c r="G19" i="36"/>
  <c r="G18" i="36"/>
  <c r="C42" i="42"/>
  <c r="G23" i="36"/>
  <c r="E25" i="1"/>
  <c r="D25" i="30"/>
  <c r="E25" i="30" s="1"/>
  <c r="E40" i="30" s="1"/>
  <c r="E39" i="30" s="1"/>
  <c r="C46" i="42"/>
  <c r="I33" i="42"/>
  <c r="C36" i="30"/>
  <c r="C38" i="30" s="1"/>
  <c r="E38" i="30"/>
  <c r="C47" i="42" l="1"/>
  <c r="C36" i="42"/>
  <c r="E19" i="1"/>
  <c r="E35" i="1" s="1"/>
  <c r="E41" i="30"/>
  <c r="E42" i="30" s="1"/>
  <c r="E16" i="1"/>
  <c r="C39" i="30"/>
  <c r="D39" i="30" s="1"/>
  <c r="D41" i="30" s="1"/>
  <c r="C41" i="30"/>
  <c r="G12" i="36" l="1"/>
  <c r="C33" i="42"/>
  <c r="E43" i="30"/>
  <c r="E44" i="30" s="1"/>
  <c r="C30" i="1"/>
  <c r="C33" i="1" s="1"/>
  <c r="C37" i="1" s="1"/>
  <c r="J33" i="1" s="1"/>
  <c r="E6" i="1"/>
  <c r="C44" i="30"/>
  <c r="C43" i="30"/>
  <c r="E15" i="1" l="1"/>
  <c r="D10" i="30"/>
  <c r="E10" i="30" s="1"/>
  <c r="G11" i="36" l="1"/>
  <c r="D12" i="30"/>
  <c r="E12" i="30" s="1"/>
  <c r="C32" i="42" l="1"/>
  <c r="E8" i="1" l="1"/>
  <c r="G20" i="36" l="1"/>
  <c r="E7" i="1" l="1"/>
  <c r="C45" i="42"/>
  <c r="E10" i="1"/>
  <c r="C44" i="42"/>
  <c r="D33" i="30"/>
  <c r="E33" i="30" s="1"/>
  <c r="E9" i="1" l="1"/>
  <c r="E26" i="1"/>
  <c r="G13" i="36" l="1"/>
  <c r="G15" i="36" s="1"/>
  <c r="D34" i="30"/>
  <c r="E34" i="30" s="1"/>
  <c r="D15" i="36" l="1"/>
  <c r="C34" i="42"/>
  <c r="E27" i="1"/>
  <c r="G26" i="36" l="1"/>
  <c r="G30" i="36" s="1"/>
  <c r="G32" i="36" s="1"/>
  <c r="D30" i="36" l="1"/>
  <c r="D32" i="36" s="1"/>
  <c r="D13" i="1"/>
  <c r="C39" i="42"/>
  <c r="C48" i="42" s="1"/>
  <c r="E11" i="1"/>
  <c r="E13" i="1" s="1"/>
  <c r="E23" i="1" s="1"/>
  <c r="E30" i="1" l="1"/>
  <c r="E33" i="1" s="1"/>
  <c r="E37" i="1" s="1"/>
  <c r="D23" i="1"/>
  <c r="B37" i="42"/>
  <c r="D30" i="1" l="1"/>
  <c r="B39" i="42"/>
  <c r="B43" i="42"/>
  <c r="B42" i="42"/>
  <c r="B35" i="42"/>
  <c r="B40" i="42"/>
  <c r="B44" i="42"/>
  <c r="B34" i="42"/>
  <c r="B33" i="42"/>
  <c r="B38" i="42"/>
  <c r="B47" i="42"/>
  <c r="B32" i="42"/>
  <c r="B41" i="42"/>
  <c r="B36" i="42"/>
  <c r="B45" i="42"/>
  <c r="B46" i="42"/>
  <c r="B48" i="42" l="1"/>
  <c r="E40" i="1"/>
  <c r="G33" i="36" s="1"/>
  <c r="D39" i="1"/>
  <c r="J32" i="1" s="1"/>
  <c r="G29" i="36"/>
  <c r="E45" i="30" l="1"/>
  <c r="E47" i="30" s="1"/>
  <c r="J36" i="1"/>
  <c r="I35" i="42"/>
  <c r="E41" i="1"/>
  <c r="I37" i="4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Preferred Customer</author>
  </authors>
  <commentList>
    <comment ref="D9" authorId="0" shapeId="0" xr:uid="{00000000-0006-0000-0100-000001000000}">
      <text>
        <r>
          <rPr>
            <sz val="8"/>
            <color indexed="81"/>
            <rFont val="Tahoma"/>
            <family val="2"/>
          </rPr>
          <t xml:space="preserve">fix so will come in by formula
</t>
        </r>
      </text>
    </comment>
  </commentList>
</comments>
</file>

<file path=xl/sharedStrings.xml><?xml version="1.0" encoding="utf-8"?>
<sst xmlns="http://schemas.openxmlformats.org/spreadsheetml/2006/main" count="165" uniqueCount="141">
  <si>
    <t>REQ'D ADDITIONAL REVENUE (PRE-TAX)</t>
  </si>
  <si>
    <t>REQ'D RATE INCREASE</t>
  </si>
  <si>
    <t>NET COST OF SERVICE</t>
  </si>
  <si>
    <t>INTEREST ON LT DEBT</t>
  </si>
  <si>
    <t>DISTRIBUTION OPERATION</t>
  </si>
  <si>
    <t>DISTRIBUTION MAINTENANCE</t>
  </si>
  <si>
    <t>CUSTOMER ACCOUNTS</t>
  </si>
  <si>
    <t>ADMIN. &amp; GENERAL</t>
  </si>
  <si>
    <t>TOTAL O&amp;M</t>
  </si>
  <si>
    <t>DEPRECIATION EXPENSE</t>
  </si>
  <si>
    <t>GROSS REVENUE TAX</t>
  </si>
  <si>
    <t>OTHER INTEREST</t>
  </si>
  <si>
    <t>OTHER DEDUCTIONS</t>
  </si>
  <si>
    <t>TOTAL COST OF SERVICE</t>
  </si>
  <si>
    <t>OTHER CAPITAL CREDITS</t>
  </si>
  <si>
    <t>TOTAL REVENUE REQUIREMENT</t>
  </si>
  <si>
    <t>REVENUE AT EXISTING RATES</t>
  </si>
  <si>
    <t>REVENUE LESS EXPENSES</t>
  </si>
  <si>
    <t>RETURN (x.x TIER) see line 32</t>
  </si>
  <si>
    <t>REVENUE LESS EXPENSES (MARGIN)</t>
  </si>
  <si>
    <t>Net Rate Impact</t>
  </si>
  <si>
    <t>REVENUE REQUIREMENTS SUMMARY</t>
  </si>
  <si>
    <t>2, 2A</t>
  </si>
  <si>
    <t>Description</t>
  </si>
  <si>
    <t>Pro Forma</t>
  </si>
  <si>
    <t>Adjustments</t>
  </si>
  <si>
    <t>Gross Receipts Tax</t>
  </si>
  <si>
    <t>RETURN (1 plus Margin) - additional required</t>
  </si>
  <si>
    <t>GROSS RECEIPTS &amp; GROSS REVENUE TAX</t>
  </si>
  <si>
    <t>ADJ Test Year</t>
  </si>
  <si>
    <t>AMORTIZATION EXPENSE - ACQ</t>
  </si>
  <si>
    <t>AMORTIZATION EXPENSE - DSM, DEBT &amp; MISC</t>
  </si>
  <si>
    <t>OTHER REVENUES--Transm; SFRO, Jobbing, bldg income</t>
  </si>
  <si>
    <t>EXTRAORDINARY ITEMS (Gain  Disp Prop-Extra-ord Ded)</t>
  </si>
  <si>
    <t>5/04-4/05</t>
  </si>
  <si>
    <t>EXHIBIT: VEC-MLB-3</t>
  </si>
  <si>
    <t>TOTAL Req'd Margin = 0.5 TIER</t>
  </si>
  <si>
    <t>REVENUE REQUIREMENTS SUMMARY (1.5 TIER)</t>
  </si>
  <si>
    <t>TOTAL REQUIRED ADDITIONAL REVENUE (TIER = 1.8)</t>
  </si>
  <si>
    <t>Difference In Revenue Requirements TIER of 1.5 vs 1.8</t>
  </si>
  <si>
    <t>SCHEDULE 2</t>
  </si>
  <si>
    <t>DSM EXPENSE excluding amortization</t>
  </si>
  <si>
    <t>INTEREST ON LT DEBT - blend</t>
  </si>
  <si>
    <t>PROPERTY TAXES - per FERC instructions-follows property</t>
  </si>
  <si>
    <t>INTEREST &amp; DIVIDEND INCOME 419's</t>
  </si>
  <si>
    <t xml:space="preserve">SCHEDULE 1 </t>
  </si>
  <si>
    <t>Test Year</t>
  </si>
  <si>
    <t>REVENUE LESS EXPENSES - TEST YR VS. ADJ TEST YR</t>
  </si>
  <si>
    <t>REQ'D ADDITIONAL REVENUE / REVENUE @ EXISTING RATES</t>
  </si>
  <si>
    <t>TOTAL REQUIRED ADDITIONAL REVENUE</t>
  </si>
  <si>
    <t>line 34</t>
  </si>
  <si>
    <t>TEST YEAR</t>
  </si>
  <si>
    <t>ADJUSTED</t>
  </si>
  <si>
    <t>REF</t>
  </si>
  <si>
    <t>LINE</t>
  </si>
  <si>
    <t>DESCRIPTION</t>
  </si>
  <si>
    <t>AMOUNT</t>
  </si>
  <si>
    <t>ADJUSTMENTS</t>
  </si>
  <si>
    <t>SCHED</t>
  </si>
  <si>
    <t>PURCHASED POWER</t>
  </si>
  <si>
    <t>TRANSMISSION</t>
  </si>
  <si>
    <t>ADMINISTRATIVE &amp; GENERAL</t>
  </si>
  <si>
    <t>Operating Revenue</t>
  </si>
  <si>
    <t>NET PURCHASED POWER (INCLUDES REC's &amp; SFR)</t>
  </si>
  <si>
    <t>OTHER REVENUES  (Pole Attachments, Wheeling, Jobbing)</t>
  </si>
  <si>
    <t>AMORTIZATION EXPENSE</t>
  </si>
  <si>
    <t>%</t>
  </si>
  <si>
    <t>Amount</t>
  </si>
  <si>
    <t>Revenue @ Existing Rates</t>
  </si>
  <si>
    <t>Increase Expected</t>
  </si>
  <si>
    <t>Percentage Increase</t>
  </si>
  <si>
    <t>Total Increase in Rates</t>
  </si>
  <si>
    <t>INTEREST &amp; DIVIDEND INCOME</t>
  </si>
  <si>
    <t>Subtotal Savings and Revenue Improvements</t>
  </si>
  <si>
    <t>Subtotal of Material Cost Increases and Revenue Decreases</t>
  </si>
  <si>
    <t>Net Increase Requested</t>
  </si>
  <si>
    <t>Depreciation</t>
  </si>
  <si>
    <t>Vermont Electric Cooperative, Inc.</t>
  </si>
  <si>
    <t>OTHER CAPITAL CREDITS (Adjustment for Non-Cash Patronage)</t>
  </si>
  <si>
    <t>GROSS FUEL ELECTRIC TAX</t>
  </si>
  <si>
    <t>TOTAL REQUIRED MARGIN;  2.0 TIER</t>
  </si>
  <si>
    <t>This document is being submitted electronically via ePUC.</t>
  </si>
  <si>
    <t>EXHIBIT: VEC-CCM 1</t>
  </si>
  <si>
    <t>Interest Expense</t>
  </si>
  <si>
    <t>Vegetative Maintenance</t>
  </si>
  <si>
    <t>Transmission Costs</t>
  </si>
  <si>
    <t>Property Tax</t>
  </si>
  <si>
    <t>VELCO Dividend Income</t>
  </si>
  <si>
    <t>CCM</t>
  </si>
  <si>
    <t>xchk</t>
  </si>
  <si>
    <t>Gross Revenue Taxes</t>
  </si>
  <si>
    <t>Transportation Costs</t>
  </si>
  <si>
    <t>Salary + Benefit Increases Reduced by Vacancy Factor</t>
  </si>
  <si>
    <t>Higher Gross Revenue Taxes from higher revenue</t>
  </si>
  <si>
    <t>Maint/ Ops Storm Costs</t>
  </si>
  <si>
    <t>Power Supply Costs</t>
  </si>
  <si>
    <t>SCHEDULE 1A</t>
  </si>
  <si>
    <t>SCHEDULE 1B</t>
  </si>
  <si>
    <t>Asset Inspection &amp; Pole Testing</t>
  </si>
  <si>
    <t>Non-Recurring Grant Revenue</t>
  </si>
  <si>
    <t>7/1/24-6/30/25</t>
  </si>
  <si>
    <t>Test Year vs 2026</t>
  </si>
  <si>
    <t>Maint / Ops Storm Costs</t>
  </si>
  <si>
    <t>Property Taxes</t>
  </si>
  <si>
    <t>Dividend Income from VELCO</t>
  </si>
  <si>
    <t>Transmission By Others</t>
  </si>
  <si>
    <t>Non-Recurring Grant Revenues</t>
  </si>
  <si>
    <t>Power Supply (Net of Sales for Resale &amp; Renewable Energy Credits)</t>
  </si>
  <si>
    <t>Interest Expense for Credit Facilities + Debt</t>
  </si>
  <si>
    <t>Continuation of Asset Inspection Program + Pole Testing</t>
  </si>
  <si>
    <t>Vegetative Maintenance Cost Increase</t>
  </si>
  <si>
    <t>Salary/Payroll + Benefits &amp; Training</t>
  </si>
  <si>
    <t>Revenue Requirement</t>
  </si>
  <si>
    <t>Cost of Service Adjustment</t>
  </si>
  <si>
    <t>2.0 TIER Adjustment</t>
  </si>
  <si>
    <t>Base Revenue Adjustment</t>
  </si>
  <si>
    <t xml:space="preserve">Transportation </t>
  </si>
  <si>
    <t>KEY DRIVERS</t>
  </si>
  <si>
    <t>Additional Dividends from 2024  + 2025 TRANSCO Investments</t>
  </si>
  <si>
    <t>Non-Recurring FEMA Storm Reimbursements</t>
  </si>
  <si>
    <t>Higher Interest Rates for New Debt and Debt Facilities</t>
  </si>
  <si>
    <t>Higher 2025 spending + 2026 project costs</t>
  </si>
  <si>
    <t>Higher 2025 Pole Testing and inflationary increases</t>
  </si>
  <si>
    <t>Depreciation on new bucket trucks placed in service in 2025</t>
  </si>
  <si>
    <t>Material Savings and Revenue Improvements</t>
  </si>
  <si>
    <t>Material Cost Increases and Revenue Decreases</t>
  </si>
  <si>
    <t xml:space="preserve">TEST YEAR TO 2026 RATE YEAR </t>
  </si>
  <si>
    <t>Operations Software, IT &amp; Communication Costs</t>
  </si>
  <si>
    <t xml:space="preserve">Financial Services </t>
  </si>
  <si>
    <t>SCADA, Weather Analytics, Storm Mgmt &amp; Misc / Inflationary increases</t>
  </si>
  <si>
    <t>Hurricane Debby Major Storm in Test Year</t>
  </si>
  <si>
    <t>New Utility Plant placed in service</t>
  </si>
  <si>
    <t>Audit  Fees, Cost of Service Study and other Professional Services</t>
  </si>
  <si>
    <t>Test Year Revenue Windfall</t>
  </si>
  <si>
    <t>Increased load, Increased Wheeling &amp; net adjustments to 2.0 TIER</t>
  </si>
  <si>
    <t>Decreases recognized in actual 2025 Property Taxes</t>
  </si>
  <si>
    <t>Increases for Velco Transmission Costs + 2025 ISO-NE RNS Rates</t>
  </si>
  <si>
    <t>Load Increased, Price Increases for HQ, Market Prices and Day Ahead Ancillary Services</t>
  </si>
  <si>
    <t>Salary &amp; Benefits &amp; Training</t>
  </si>
  <si>
    <t>Net Revenue Increases</t>
  </si>
  <si>
    <t xml:space="preserve">Software, IT &amp; Communication Costs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</si>
</sst>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0.0000"/>
    <numFmt numFmtId="165" formatCode="_(&quot;$&quot;* #,##0_);_(&quot;$&quot;* \(#,##0\);_(&quot;$&quot;* &quot;-&quot;??_);_(@_)"/>
  </numFmts>
  <fonts count="60" x14ac:knownFonts="1">
    <font>
      <sz val="12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1"/>
      <name val="Arial"/>
      <family val="2"/>
    </font>
    <font>
      <sz val="12"/>
      <name val="Arial"/>
      <family val="2"/>
    </font>
    <font>
      <b/>
      <u/>
      <sz val="8"/>
      <name val="Arial"/>
      <family val="2"/>
    </font>
    <font>
      <u/>
      <sz val="8"/>
      <name val="Arial"/>
      <family val="2"/>
    </font>
    <font>
      <b/>
      <u/>
      <sz val="10"/>
      <name val="Arial"/>
      <family val="2"/>
    </font>
    <font>
      <u/>
      <sz val="10"/>
      <name val="Arial"/>
      <family val="2"/>
    </font>
    <font>
      <sz val="8"/>
      <color indexed="81"/>
      <name val="Tahoma"/>
      <family val="2"/>
    </font>
    <font>
      <sz val="12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sz val="12"/>
      <name val="Helv"/>
    </font>
    <font>
      <sz val="10"/>
      <color indexed="0"/>
      <name val="Arial"/>
      <family val="2"/>
    </font>
    <font>
      <b/>
      <sz val="11"/>
      <color indexed="63"/>
      <name val="Calibri"/>
      <family val="2"/>
    </font>
    <font>
      <b/>
      <sz val="18"/>
      <color indexed="62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  <font>
      <b/>
      <u/>
      <sz val="12"/>
      <name val="Arial"/>
      <family val="2"/>
    </font>
  </fonts>
  <fills count="52">
    <fill>
      <patternFill patternType="none"/>
    </fill>
    <fill>
      <patternFill patternType="gray125"/>
    </fill>
    <fill>
      <patternFill patternType="solid">
        <fgColor indexed="9"/>
        <bgColor indexed="8"/>
      </patternFill>
    </fill>
    <fill>
      <patternFill patternType="solid">
        <fgColor indexed="47"/>
        <bgColor indexed="8"/>
      </patternFill>
    </fill>
    <fill>
      <patternFill patternType="solid">
        <fgColor indexed="47"/>
        <bgColor indexed="9"/>
      </patternFill>
    </fill>
    <fill>
      <patternFill patternType="solid">
        <fgColor indexed="47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1"/>
      </patternFill>
    </fill>
    <fill>
      <patternFill patternType="solid">
        <fgColor indexed="13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22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55"/>
      </patternFill>
    </fill>
    <fill>
      <patternFill patternType="solid">
        <fgColor indexed="42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6">
    <border>
      <left/>
      <right/>
      <top/>
      <bottom/>
      <diagonal/>
    </border>
    <border>
      <left/>
      <right/>
      <top style="thin">
        <color indexed="0"/>
      </top>
      <bottom style="double">
        <color indexed="0"/>
      </bottom>
      <diagonal/>
    </border>
    <border>
      <left/>
      <right/>
      <top/>
      <bottom style="thin">
        <color indexed="0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92">
    <xf numFmtId="0" fontId="0" fillId="0" borderId="0">
      <alignment vertical="top"/>
    </xf>
    <xf numFmtId="4" fontId="19" fillId="2" borderId="0" applyProtection="0"/>
    <xf numFmtId="3" fontId="6" fillId="2" borderId="0"/>
    <xf numFmtId="7" fontId="19" fillId="2" borderId="0" applyProtection="0"/>
    <xf numFmtId="5" fontId="6" fillId="2" borderId="0"/>
    <xf numFmtId="0" fontId="19" fillId="2" borderId="0" applyProtection="0"/>
    <xf numFmtId="2" fontId="19" fillId="2" borderId="0" applyProtection="0"/>
    <xf numFmtId="0" fontId="19" fillId="2" borderId="0" applyNumberFormat="0" applyFont="0" applyFill="0" applyBorder="0" applyAlignment="0" applyProtection="0"/>
    <xf numFmtId="0" fontId="5" fillId="2" borderId="0" applyProtection="0"/>
    <xf numFmtId="0" fontId="19" fillId="2" borderId="1" applyProtection="0"/>
    <xf numFmtId="0" fontId="13" fillId="0" borderId="0"/>
    <xf numFmtId="43" fontId="7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3" fillId="0" borderId="11" applyNumberFormat="0" applyFill="0" applyAlignment="0" applyProtection="0"/>
    <xf numFmtId="0" fontId="24" fillId="0" borderId="12" applyNumberFormat="0" applyFill="0" applyAlignment="0" applyProtection="0"/>
    <xf numFmtId="0" fontId="25" fillId="0" borderId="13" applyNumberFormat="0" applyFill="0" applyAlignment="0" applyProtection="0"/>
    <xf numFmtId="0" fontId="25" fillId="0" borderId="0" applyNumberFormat="0" applyFill="0" applyBorder="0" applyAlignment="0" applyProtection="0"/>
    <xf numFmtId="0" fontId="26" fillId="6" borderId="0" applyNumberFormat="0" applyBorder="0" applyAlignment="0" applyProtection="0"/>
    <xf numFmtId="0" fontId="27" fillId="7" borderId="0" applyNumberFormat="0" applyBorder="0" applyAlignment="0" applyProtection="0"/>
    <xf numFmtId="0" fontId="28" fillId="8" borderId="0" applyNumberFormat="0" applyBorder="0" applyAlignment="0" applyProtection="0"/>
    <xf numFmtId="0" fontId="29" fillId="9" borderId="14" applyNumberFormat="0" applyAlignment="0" applyProtection="0"/>
    <xf numFmtId="0" fontId="30" fillId="10" borderId="15" applyNumberFormat="0" applyAlignment="0" applyProtection="0"/>
    <xf numFmtId="0" fontId="31" fillId="10" borderId="14" applyNumberFormat="0" applyAlignment="0" applyProtection="0"/>
    <xf numFmtId="0" fontId="32" fillId="0" borderId="16" applyNumberFormat="0" applyFill="0" applyAlignment="0" applyProtection="0"/>
    <xf numFmtId="0" fontId="33" fillId="11" borderId="17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6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36" fillId="16" borderId="0" applyNumberFormat="0" applyBorder="0" applyAlignment="0" applyProtection="0"/>
    <xf numFmtId="0" fontId="36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36" fillId="20" borderId="0" applyNumberFormat="0" applyBorder="0" applyAlignment="0" applyProtection="0"/>
    <xf numFmtId="0" fontId="36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36" fillId="24" borderId="0" applyNumberFormat="0" applyBorder="0" applyAlignment="0" applyProtection="0"/>
    <xf numFmtId="0" fontId="36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7" borderId="0" applyNumberFormat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1" borderId="0" applyNumberFormat="0" applyBorder="0" applyAlignment="0" applyProtection="0"/>
    <xf numFmtId="0" fontId="36" fillId="32" borderId="0" applyNumberFormat="0" applyBorder="0" applyAlignment="0" applyProtection="0"/>
    <xf numFmtId="0" fontId="36" fillId="33" borderId="0" applyNumberFormat="0" applyBorder="0" applyAlignment="0" applyProtection="0"/>
    <xf numFmtId="0" fontId="4" fillId="34" borderId="0" applyNumberFormat="0" applyBorder="0" applyAlignment="0" applyProtection="0"/>
    <xf numFmtId="0" fontId="4" fillId="35" borderId="0" applyNumberFormat="0" applyBorder="0" applyAlignment="0" applyProtection="0"/>
    <xf numFmtId="0" fontId="36" fillId="36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12" borderId="18" applyNumberFormat="0" applyFont="0" applyAlignment="0" applyProtection="0"/>
    <xf numFmtId="0" fontId="37" fillId="0" borderId="19" applyNumberFormat="0" applyFill="0" applyAlignment="0" applyProtection="0"/>
    <xf numFmtId="0" fontId="21" fillId="0" borderId="0"/>
    <xf numFmtId="43" fontId="21" fillId="0" borderId="0" applyFont="0" applyFill="0" applyBorder="0" applyAlignment="0" applyProtection="0"/>
    <xf numFmtId="0" fontId="13" fillId="2" borderId="0" applyProtection="0"/>
    <xf numFmtId="2" fontId="13" fillId="2" borderId="0" applyProtection="0"/>
    <xf numFmtId="0" fontId="13" fillId="2" borderId="0" applyNumberFormat="0" applyFont="0" applyFill="0" applyBorder="0" applyAlignment="0" applyProtection="0"/>
    <xf numFmtId="9" fontId="21" fillId="0" borderId="0" applyFont="0" applyFill="0" applyBorder="0" applyAlignment="0" applyProtection="0"/>
    <xf numFmtId="0" fontId="21" fillId="0" borderId="0" applyNumberFormat="0" applyBorder="0" applyAlignment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39" borderId="0" applyNumberFormat="0" applyBorder="0" applyAlignment="0" applyProtection="0"/>
    <xf numFmtId="0" fontId="38" fillId="39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4" fillId="19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8" borderId="0" applyNumberFormat="0" applyBorder="0" applyAlignment="0" applyProtection="0"/>
    <xf numFmtId="0" fontId="38" fillId="37" borderId="0" applyNumberFormat="0" applyBorder="0" applyAlignment="0" applyProtection="0"/>
    <xf numFmtId="0" fontId="38" fillId="37" borderId="0" applyNumberFormat="0" applyBorder="0" applyAlignment="0" applyProtection="0"/>
    <xf numFmtId="0" fontId="38" fillId="41" borderId="0" applyNumberFormat="0" applyBorder="0" applyAlignment="0" applyProtection="0"/>
    <xf numFmtId="0" fontId="38" fillId="41" borderId="0" applyNumberFormat="0" applyBorder="0" applyAlignment="0" applyProtection="0"/>
    <xf numFmtId="0" fontId="38" fillId="40" borderId="0" applyNumberFormat="0" applyBorder="0" applyAlignment="0" applyProtection="0"/>
    <xf numFmtId="0" fontId="38" fillId="40" borderId="0" applyNumberFormat="0" applyBorder="0" applyAlignment="0" applyProtection="0"/>
    <xf numFmtId="0" fontId="39" fillId="42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43" borderId="0" applyNumberFormat="0" applyBorder="0" applyAlignment="0" applyProtection="0"/>
    <xf numFmtId="0" fontId="39" fillId="42" borderId="0" applyNumberFormat="0" applyBorder="0" applyAlignment="0" applyProtection="0"/>
    <xf numFmtId="0" fontId="39" fillId="40" borderId="0" applyNumberFormat="0" applyBorder="0" applyAlignment="0" applyProtection="0"/>
    <xf numFmtId="0" fontId="39" fillId="42" borderId="0" applyNumberFormat="0" applyBorder="0" applyAlignment="0" applyProtection="0"/>
    <xf numFmtId="0" fontId="39" fillId="38" borderId="0" applyNumberFormat="0" applyBorder="0" applyAlignment="0" applyProtection="0"/>
    <xf numFmtId="0" fontId="39" fillId="38" borderId="0" applyNumberFormat="0" applyBorder="0" applyAlignment="0" applyProtection="0"/>
    <xf numFmtId="0" fontId="39" fillId="44" borderId="0" applyNumberFormat="0" applyBorder="0" applyAlignment="0" applyProtection="0"/>
    <xf numFmtId="0" fontId="39" fillId="42" borderId="0" applyNumberFormat="0" applyBorder="0" applyAlignment="0" applyProtection="0"/>
    <xf numFmtId="0" fontId="36" fillId="33" borderId="0" applyNumberFormat="0" applyBorder="0" applyAlignment="0" applyProtection="0"/>
    <xf numFmtId="0" fontId="39" fillId="45" borderId="0" applyNumberFormat="0" applyBorder="0" applyAlignment="0" applyProtection="0"/>
    <xf numFmtId="0" fontId="27" fillId="7" borderId="0" applyNumberFormat="0" applyBorder="0" applyAlignment="0" applyProtection="0"/>
    <xf numFmtId="0" fontId="40" fillId="46" borderId="0" applyNumberFormat="0" applyBorder="0" applyAlignment="0" applyProtection="0"/>
    <xf numFmtId="0" fontId="41" fillId="47" borderId="21" applyNumberFormat="0" applyAlignment="0" applyProtection="0"/>
    <xf numFmtId="0" fontId="42" fillId="48" borderId="22" applyNumberFormat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21" fillId="0" borderId="0" applyFont="0" applyFill="0" applyBorder="0" applyAlignment="0" applyProtection="0"/>
    <xf numFmtId="44" fontId="38" fillId="0" borderId="0" applyFont="0" applyFill="0" applyBorder="0" applyAlignment="0" applyProtection="0"/>
    <xf numFmtId="44" fontId="38" fillId="0" borderId="0" applyFont="0" applyFill="0" applyBorder="0" applyAlignment="0" applyProtection="0"/>
    <xf numFmtId="0" fontId="13" fillId="2" borderId="0" applyProtection="0"/>
    <xf numFmtId="0" fontId="13" fillId="2" borderId="0" applyProtection="0"/>
    <xf numFmtId="0" fontId="13" fillId="2" borderId="0" applyProtection="0"/>
    <xf numFmtId="0" fontId="13" fillId="2" borderId="0" applyProtection="0"/>
    <xf numFmtId="0" fontId="43" fillId="0" borderId="0" applyNumberFormat="0" applyFill="0" applyBorder="0" applyAlignment="0" applyProtection="0"/>
    <xf numFmtId="2" fontId="13" fillId="2" borderId="0" applyProtection="0"/>
    <xf numFmtId="2" fontId="13" fillId="2" borderId="0" applyProtection="0"/>
    <xf numFmtId="2" fontId="13" fillId="2" borderId="0" applyProtection="0"/>
    <xf numFmtId="2" fontId="13" fillId="2" borderId="0" applyProtection="0"/>
    <xf numFmtId="0" fontId="26" fillId="6" borderId="0" applyNumberFormat="0" applyBorder="0" applyAlignment="0" applyProtection="0"/>
    <xf numFmtId="0" fontId="44" fillId="49" borderId="0" applyNumberFormat="0" applyBorder="0" applyAlignment="0" applyProtection="0"/>
    <xf numFmtId="0" fontId="45" fillId="0" borderId="23" applyNumberFormat="0" applyFill="0" applyAlignment="0" applyProtection="0"/>
    <xf numFmtId="0" fontId="46" fillId="0" borderId="24" applyNumberFormat="0" applyFill="0" applyAlignment="0" applyProtection="0"/>
    <xf numFmtId="0" fontId="47" fillId="0" borderId="25" applyNumberFormat="0" applyFill="0" applyAlignment="0" applyProtection="0"/>
    <xf numFmtId="0" fontId="47" fillId="0" borderId="0" applyNumberFormat="0" applyFill="0" applyBorder="0" applyAlignment="0" applyProtection="0"/>
    <xf numFmtId="0" fontId="13" fillId="2" borderId="0" applyNumberFormat="0" applyFont="0" applyFill="0" applyBorder="0" applyAlignment="0" applyProtection="0"/>
    <xf numFmtId="0" fontId="13" fillId="2" borderId="0" applyNumberFormat="0" applyFont="0" applyFill="0" applyBorder="0" applyAlignment="0" applyProtection="0"/>
    <xf numFmtId="0" fontId="13" fillId="2" borderId="0" applyNumberFormat="0" applyFont="0" applyFill="0" applyBorder="0" applyAlignment="0" applyProtection="0"/>
    <xf numFmtId="0" fontId="13" fillId="2" borderId="0" applyNumberFormat="0" applyFont="0" applyFill="0" applyBorder="0" applyAlignment="0" applyProtection="0"/>
    <xf numFmtId="0" fontId="48" fillId="40" borderId="21" applyNumberFormat="0" applyAlignment="0" applyProtection="0"/>
    <xf numFmtId="0" fontId="49" fillId="0" borderId="26" applyNumberFormat="0" applyFill="0" applyAlignment="0" applyProtection="0"/>
    <xf numFmtId="0" fontId="28" fillId="8" borderId="0" applyNumberFormat="0" applyBorder="0" applyAlignment="0" applyProtection="0"/>
    <xf numFmtId="0" fontId="50" fillId="50" borderId="0" applyNumberFormat="0" applyBorder="0" applyAlignment="0" applyProtection="0"/>
    <xf numFmtId="0" fontId="7" fillId="0" borderId="0"/>
    <xf numFmtId="0" fontId="7" fillId="0" borderId="0"/>
    <xf numFmtId="0" fontId="21" fillId="0" borderId="0"/>
    <xf numFmtId="0" fontId="21" fillId="0" borderId="0"/>
    <xf numFmtId="0" fontId="4" fillId="0" borderId="0"/>
    <xf numFmtId="0" fontId="51" fillId="0" borderId="0"/>
    <xf numFmtId="0" fontId="21" fillId="0" borderId="0"/>
    <xf numFmtId="0" fontId="13" fillId="0" borderId="0"/>
    <xf numFmtId="0" fontId="21" fillId="0" borderId="0"/>
    <xf numFmtId="0" fontId="21" fillId="0" borderId="0"/>
    <xf numFmtId="0" fontId="4" fillId="0" borderId="0"/>
    <xf numFmtId="0" fontId="7" fillId="0" borderId="0"/>
    <xf numFmtId="0" fontId="52" fillId="0" borderId="0"/>
    <xf numFmtId="0" fontId="13" fillId="0" borderId="0"/>
    <xf numFmtId="0" fontId="13" fillId="0" borderId="0"/>
    <xf numFmtId="0" fontId="7" fillId="0" borderId="0"/>
    <xf numFmtId="0" fontId="52" fillId="0" borderId="0"/>
    <xf numFmtId="0" fontId="7" fillId="0" borderId="0"/>
    <xf numFmtId="0" fontId="7" fillId="0" borderId="0"/>
    <xf numFmtId="0" fontId="7" fillId="0" borderId="0"/>
    <xf numFmtId="0" fontId="13" fillId="0" borderId="0"/>
    <xf numFmtId="0" fontId="13" fillId="0" borderId="0"/>
    <xf numFmtId="0" fontId="13" fillId="0" borderId="0"/>
    <xf numFmtId="0" fontId="7" fillId="0" borderId="0"/>
    <xf numFmtId="0" fontId="7" fillId="0" borderId="0"/>
    <xf numFmtId="0" fontId="7" fillId="51" borderId="20" applyNumberFormat="0" applyFont="0" applyAlignment="0" applyProtection="0"/>
    <xf numFmtId="0" fontId="53" fillId="47" borderId="27" applyNumberFormat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1" fillId="0" borderId="0" applyFont="0" applyFill="0" applyBorder="0" applyAlignment="0" applyProtection="0"/>
    <xf numFmtId="0" fontId="21" fillId="0" borderId="0" applyNumberFormat="0" applyBorder="0" applyAlignment="0"/>
    <xf numFmtId="0" fontId="21" fillId="0" borderId="0" applyNumberFormat="0" applyBorder="0" applyAlignment="0"/>
    <xf numFmtId="0" fontId="21" fillId="0" borderId="0" applyNumberFormat="0" applyBorder="0" applyAlignment="0"/>
    <xf numFmtId="0" fontId="54" fillId="0" borderId="0" applyNumberFormat="0" applyFill="0" applyBorder="0" applyAlignment="0" applyProtection="0"/>
    <xf numFmtId="0" fontId="55" fillId="0" borderId="28" applyNumberFormat="0" applyFill="0" applyAlignment="0" applyProtection="0"/>
    <xf numFmtId="0" fontId="13" fillId="2" borderId="1" applyProtection="0"/>
    <xf numFmtId="0" fontId="56" fillId="0" borderId="0" applyNumberFormat="0" applyFill="0" applyBorder="0" applyAlignment="0" applyProtection="0"/>
    <xf numFmtId="0" fontId="13" fillId="0" borderId="0">
      <alignment vertical="top"/>
    </xf>
    <xf numFmtId="0" fontId="3" fillId="0" borderId="0"/>
    <xf numFmtId="44" fontId="3" fillId="0" borderId="0" applyFont="0" applyFill="0" applyBorder="0" applyAlignment="0" applyProtection="0"/>
    <xf numFmtId="0" fontId="3" fillId="12" borderId="18" applyNumberFormat="0" applyFont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4" borderId="0" applyNumberFormat="0" applyBorder="0" applyAlignment="0" applyProtection="0"/>
    <xf numFmtId="0" fontId="3" fillId="35" borderId="0" applyNumberFormat="0" applyBorder="0" applyAlignment="0" applyProtection="0"/>
    <xf numFmtId="4" fontId="13" fillId="2" borderId="0" applyProtection="0"/>
    <xf numFmtId="7" fontId="13" fillId="2" borderId="0" applyProtection="0"/>
    <xf numFmtId="10" fontId="13" fillId="2" borderId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12" borderId="18" applyNumberFormat="0" applyFont="0" applyAlignment="0" applyProtection="0"/>
    <xf numFmtId="0" fontId="2" fillId="19" borderId="0" applyNumberFormat="0" applyBorder="0" applyAlignment="0" applyProtection="0"/>
    <xf numFmtId="43" fontId="2" fillId="0" borderId="0" applyFont="0" applyFill="0" applyBorder="0" applyAlignment="0" applyProtection="0"/>
    <xf numFmtId="44" fontId="2" fillId="0" borderId="0" applyFont="0" applyFill="0" applyBorder="0" applyAlignment="0" applyProtection="0"/>
    <xf numFmtId="0" fontId="2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44" fontId="2" fillId="0" borderId="0" applyFont="0" applyFill="0" applyBorder="0" applyAlignment="0" applyProtection="0"/>
    <xf numFmtId="0" fontId="2" fillId="12" borderId="18" applyNumberFormat="0" applyFont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4" borderId="0" applyNumberFormat="0" applyBorder="0" applyAlignment="0" applyProtection="0"/>
    <xf numFmtId="0" fontId="2" fillId="35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4" borderId="0" applyNumberFormat="0" applyBorder="0" applyAlignment="0" applyProtection="0"/>
    <xf numFmtId="0" fontId="1" fillId="35" borderId="0" applyNumberFormat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12" borderId="18" applyNumberFormat="0" applyFont="0" applyAlignment="0" applyProtection="0"/>
    <xf numFmtId="0" fontId="1" fillId="19" borderId="0" applyNumberFormat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42">
    <xf numFmtId="0" fontId="0" fillId="2" borderId="0" xfId="0" applyFill="1" applyAlignment="1"/>
    <xf numFmtId="0" fontId="10" fillId="3" borderId="0" xfId="0" applyFont="1" applyFill="1" applyAlignment="1"/>
    <xf numFmtId="0" fontId="6" fillId="3" borderId="0" xfId="0" applyFont="1" applyFill="1" applyAlignment="1"/>
    <xf numFmtId="5" fontId="6" fillId="3" borderId="0" xfId="0" applyNumberFormat="1" applyFont="1" applyFill="1" applyAlignment="1"/>
    <xf numFmtId="0" fontId="6" fillId="4" borderId="0" xfId="0" applyFont="1" applyFill="1" applyAlignment="1"/>
    <xf numFmtId="3" fontId="6" fillId="3" borderId="0" xfId="0" applyNumberFormat="1" applyFont="1" applyFill="1" applyAlignment="1"/>
    <xf numFmtId="0" fontId="0" fillId="3" borderId="0" xfId="0" applyFill="1" applyAlignment="1"/>
    <xf numFmtId="0" fontId="6" fillId="3" borderId="0" xfId="0" applyFont="1" applyFill="1" applyAlignment="1">
      <alignment horizontal="center"/>
    </xf>
    <xf numFmtId="3" fontId="0" fillId="3" borderId="0" xfId="0" applyNumberFormat="1" applyFill="1" applyAlignment="1"/>
    <xf numFmtId="0" fontId="9" fillId="3" borderId="0" xfId="0" applyFont="1" applyFill="1" applyAlignment="1"/>
    <xf numFmtId="0" fontId="6" fillId="3" borderId="0" xfId="0" applyFont="1" applyFill="1" applyAlignment="1">
      <alignment horizontal="left"/>
    </xf>
    <xf numFmtId="0" fontId="6" fillId="4" borderId="0" xfId="0" applyFont="1" applyFill="1" applyAlignment="1">
      <alignment horizontal="center"/>
    </xf>
    <xf numFmtId="3" fontId="6" fillId="3" borderId="0" xfId="2" applyFill="1"/>
    <xf numFmtId="3" fontId="10" fillId="3" borderId="0" xfId="1" applyNumberFormat="1" applyFont="1" applyFill="1"/>
    <xf numFmtId="5" fontId="6" fillId="3" borderId="0" xfId="4" applyFill="1"/>
    <xf numFmtId="3" fontId="9" fillId="3" borderId="0" xfId="0" applyNumberFormat="1" applyFont="1" applyFill="1" applyAlignment="1"/>
    <xf numFmtId="3" fontId="10" fillId="3" borderId="0" xfId="0" applyNumberFormat="1" applyFont="1" applyFill="1" applyAlignment="1"/>
    <xf numFmtId="0" fontId="10" fillId="3" borderId="0" xfId="0" applyFont="1" applyFill="1" applyAlignment="1">
      <alignment horizontal="right"/>
    </xf>
    <xf numFmtId="3" fontId="6" fillId="4" borderId="0" xfId="0" applyNumberFormat="1" applyFont="1" applyFill="1" applyAlignment="1"/>
    <xf numFmtId="3" fontId="6" fillId="3" borderId="0" xfId="0" quotePrefix="1" applyNumberFormat="1" applyFont="1" applyFill="1" applyAlignment="1"/>
    <xf numFmtId="5" fontId="0" fillId="3" borderId="0" xfId="0" applyNumberFormat="1" applyFill="1" applyAlignment="1"/>
    <xf numFmtId="3" fontId="15" fillId="3" borderId="0" xfId="0" applyNumberFormat="1" applyFont="1" applyFill="1" applyAlignment="1"/>
    <xf numFmtId="0" fontId="8" fillId="4" borderId="0" xfId="0" applyFont="1" applyFill="1" applyAlignment="1"/>
    <xf numFmtId="3" fontId="11" fillId="3" borderId="0" xfId="1" applyNumberFormat="1" applyFont="1" applyFill="1"/>
    <xf numFmtId="3" fontId="16" fillId="3" borderId="0" xfId="1" applyNumberFormat="1" applyFont="1" applyFill="1"/>
    <xf numFmtId="3" fontId="6" fillId="4" borderId="0" xfId="0" applyNumberFormat="1" applyFont="1" applyFill="1" applyAlignment="1">
      <alignment horizontal="center"/>
    </xf>
    <xf numFmtId="0" fontId="9" fillId="0" borderId="2" xfId="0" applyFont="1" applyBorder="1" applyAlignment="1" applyProtection="1">
      <alignment horizontal="center"/>
      <protection locked="0"/>
    </xf>
    <xf numFmtId="0" fontId="0" fillId="0" borderId="0" xfId="0" applyAlignment="1"/>
    <xf numFmtId="0" fontId="6" fillId="0" borderId="0" xfId="0" applyFont="1" applyAlignment="1"/>
    <xf numFmtId="0" fontId="6" fillId="0" borderId="0" xfId="0" applyFont="1" applyAlignment="1">
      <alignment horizontal="center"/>
    </xf>
    <xf numFmtId="0" fontId="13" fillId="0" borderId="0" xfId="0" applyFont="1" applyAlignment="1"/>
    <xf numFmtId="0" fontId="13" fillId="0" borderId="3" xfId="0" applyFont="1" applyBorder="1" applyAlignment="1"/>
    <xf numFmtId="5" fontId="13" fillId="0" borderId="3" xfId="0" applyNumberFormat="1" applyFont="1" applyBorder="1" applyAlignment="1"/>
    <xf numFmtId="5" fontId="13" fillId="0" borderId="0" xfId="0" applyNumberFormat="1" applyFont="1" applyAlignment="1"/>
    <xf numFmtId="0" fontId="13" fillId="0" borderId="4" xfId="0" applyFont="1" applyBorder="1" applyAlignment="1"/>
    <xf numFmtId="5" fontId="13" fillId="0" borderId="4" xfId="0" applyNumberFormat="1" applyFont="1" applyBorder="1" applyAlignment="1"/>
    <xf numFmtId="0" fontId="13" fillId="0" borderId="0" xfId="0" applyFont="1" applyAlignment="1">
      <alignment horizontal="center"/>
    </xf>
    <xf numFmtId="0" fontId="13" fillId="0" borderId="2" xfId="0" applyFont="1" applyBorder="1" applyAlignment="1">
      <alignment horizontal="center"/>
    </xf>
    <xf numFmtId="3" fontId="13" fillId="0" borderId="3" xfId="0" applyNumberFormat="1" applyFont="1" applyBorder="1" applyAlignment="1"/>
    <xf numFmtId="3" fontId="13" fillId="0" borderId="0" xfId="0" applyNumberFormat="1" applyFont="1" applyAlignment="1"/>
    <xf numFmtId="5" fontId="13" fillId="0" borderId="5" xfId="0" applyNumberFormat="1" applyFont="1" applyBorder="1" applyAlignment="1"/>
    <xf numFmtId="164" fontId="13" fillId="0" borderId="0" xfId="0" applyNumberFormat="1" applyFont="1" applyAlignment="1"/>
    <xf numFmtId="0" fontId="10" fillId="0" borderId="0" xfId="0" applyFont="1" applyAlignment="1"/>
    <xf numFmtId="0" fontId="7" fillId="0" borderId="0" xfId="0" applyFont="1" applyAlignment="1"/>
    <xf numFmtId="5" fontId="6" fillId="0" borderId="0" xfId="0" applyNumberFormat="1" applyFont="1" applyAlignment="1"/>
    <xf numFmtId="0" fontId="11" fillId="0" borderId="0" xfId="0" applyFont="1" applyAlignment="1"/>
    <xf numFmtId="0" fontId="13" fillId="0" borderId="0" xfId="0" applyFont="1" applyAlignment="1">
      <alignment horizontal="left"/>
    </xf>
    <xf numFmtId="0" fontId="13" fillId="0" borderId="6" xfId="0" applyFont="1" applyBorder="1" applyAlignment="1"/>
    <xf numFmtId="5" fontId="13" fillId="0" borderId="0" xfId="0" applyNumberFormat="1" applyFont="1" applyAlignment="1">
      <alignment horizontal="center"/>
    </xf>
    <xf numFmtId="0" fontId="13" fillId="0" borderId="0" xfId="0" quotePrefix="1" applyFont="1" applyAlignment="1">
      <alignment horizontal="left"/>
    </xf>
    <xf numFmtId="3" fontId="7" fillId="0" borderId="0" xfId="0" applyNumberFormat="1" applyFont="1" applyAlignment="1"/>
    <xf numFmtId="0" fontId="14" fillId="0" borderId="0" xfId="0" applyFont="1" applyAlignment="1">
      <alignment horizontal="right"/>
    </xf>
    <xf numFmtId="3" fontId="16" fillId="0" borderId="0" xfId="0" applyNumberFormat="1" applyFont="1" applyAlignment="1">
      <alignment horizontal="right"/>
    </xf>
    <xf numFmtId="3" fontId="11" fillId="0" borderId="0" xfId="1" applyNumberFormat="1" applyFont="1" applyFill="1"/>
    <xf numFmtId="5" fontId="7" fillId="0" borderId="0" xfId="0" applyNumberFormat="1" applyFont="1" applyAlignment="1"/>
    <xf numFmtId="5" fontId="13" fillId="5" borderId="0" xfId="4" applyFont="1" applyFill="1"/>
    <xf numFmtId="164" fontId="13" fillId="5" borderId="0" xfId="0" applyNumberFormat="1" applyFont="1" applyFill="1" applyAlignment="1"/>
    <xf numFmtId="5" fontId="13" fillId="0" borderId="0" xfId="0" quotePrefix="1" applyNumberFormat="1" applyFont="1" applyAlignment="1"/>
    <xf numFmtId="5" fontId="13" fillId="0" borderId="7" xfId="0" applyNumberFormat="1" applyFont="1" applyBorder="1" applyAlignment="1"/>
    <xf numFmtId="0" fontId="12" fillId="0" borderId="2" xfId="0" applyFont="1" applyBorder="1" applyAlignment="1">
      <alignment horizontal="center"/>
    </xf>
    <xf numFmtId="37" fontId="13" fillId="0" borderId="0" xfId="0" applyNumberFormat="1" applyFont="1" applyAlignment="1"/>
    <xf numFmtId="0" fontId="20" fillId="0" borderId="0" xfId="0" applyFont="1" applyAlignment="1"/>
    <xf numFmtId="0" fontId="17" fillId="0" borderId="0" xfId="0" applyFont="1" applyAlignment="1">
      <alignment horizontal="center"/>
    </xf>
    <xf numFmtId="5" fontId="7" fillId="0" borderId="0" xfId="4" applyFont="1" applyFill="1"/>
    <xf numFmtId="0" fontId="7" fillId="0" borderId="0" xfId="0" applyFont="1" applyAlignment="1">
      <alignment horizontal="center"/>
    </xf>
    <xf numFmtId="5" fontId="7" fillId="0" borderId="3" xfId="0" applyNumberFormat="1" applyFont="1" applyBorder="1" applyAlignment="1"/>
    <xf numFmtId="0" fontId="7" fillId="0" borderId="0" xfId="0" quotePrefix="1" applyFont="1" applyAlignment="1">
      <alignment horizontal="left"/>
    </xf>
    <xf numFmtId="0" fontId="17" fillId="0" borderId="0" xfId="0" applyFont="1" applyAlignment="1"/>
    <xf numFmtId="0" fontId="11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5" fontId="7" fillId="0" borderId="0" xfId="0" applyNumberFormat="1" applyFont="1">
      <alignment vertical="top"/>
    </xf>
    <xf numFmtId="0" fontId="7" fillId="0" borderId="0" xfId="0" applyFont="1">
      <alignment vertical="top"/>
    </xf>
    <xf numFmtId="0" fontId="16" fillId="0" borderId="0" xfId="0" applyFont="1" applyAlignment="1">
      <alignment horizontal="left"/>
    </xf>
    <xf numFmtId="0" fontId="7" fillId="0" borderId="0" xfId="0" applyFont="1" applyAlignment="1">
      <alignment horizontal="center" vertical="top"/>
    </xf>
    <xf numFmtId="37" fontId="7" fillId="0" borderId="0" xfId="0" applyNumberFormat="1" applyFont="1" applyAlignment="1"/>
    <xf numFmtId="0" fontId="5" fillId="0" borderId="0" xfId="0" applyFont="1">
      <alignment vertical="top"/>
    </xf>
    <xf numFmtId="0" fontId="13" fillId="0" borderId="0" xfId="0" applyFont="1" applyAlignment="1">
      <alignment horizontal="center" vertical="top"/>
    </xf>
    <xf numFmtId="7" fontId="7" fillId="0" borderId="0" xfId="0" applyNumberFormat="1" applyFont="1" applyAlignment="1">
      <alignment horizontal="center" vertical="top"/>
    </xf>
    <xf numFmtId="0" fontId="11" fillId="0" borderId="0" xfId="0" applyFont="1" applyAlignment="1">
      <alignment horizontal="center" vertical="top"/>
    </xf>
    <xf numFmtId="5" fontId="58" fillId="0" borderId="0" xfId="0" applyNumberFormat="1" applyFont="1">
      <alignment vertical="top"/>
    </xf>
    <xf numFmtId="0" fontId="7" fillId="0" borderId="0" xfId="0" applyFont="1" applyAlignment="1">
      <alignment horizontal="center" vertical="center"/>
    </xf>
    <xf numFmtId="5" fontId="7" fillId="0" borderId="0" xfId="0" applyNumberFormat="1" applyFont="1" applyAlignment="1">
      <alignment horizontal="center" vertical="center"/>
    </xf>
    <xf numFmtId="5" fontId="11" fillId="0" borderId="10" xfId="0" applyNumberFormat="1" applyFont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13" fillId="0" borderId="0" xfId="0" applyFont="1">
      <alignment vertical="top"/>
    </xf>
    <xf numFmtId="0" fontId="7" fillId="0" borderId="0" xfId="0" applyFont="1" applyAlignment="1">
      <alignment vertical="center"/>
    </xf>
    <xf numFmtId="3" fontId="7" fillId="0" borderId="3" xfId="0" applyNumberFormat="1" applyFont="1" applyBorder="1" applyAlignment="1"/>
    <xf numFmtId="5" fontId="7" fillId="0" borderId="0" xfId="0" applyNumberFormat="1" applyFont="1" applyAlignment="1">
      <alignment horizontal="center"/>
    </xf>
    <xf numFmtId="0" fontId="7" fillId="0" borderId="3" xfId="0" applyFont="1" applyBorder="1" applyAlignment="1"/>
    <xf numFmtId="5" fontId="7" fillId="0" borderId="0" xfId="0" quotePrefix="1" applyNumberFormat="1" applyFont="1" applyAlignment="1"/>
    <xf numFmtId="0" fontId="7" fillId="0" borderId="4" xfId="0" applyFont="1" applyBorder="1" applyAlignment="1"/>
    <xf numFmtId="5" fontId="7" fillId="0" borderId="4" xfId="0" applyNumberFormat="1" applyFont="1" applyBorder="1" applyAlignment="1"/>
    <xf numFmtId="10" fontId="7" fillId="0" borderId="0" xfId="0" applyNumberFormat="1" applyFont="1" applyAlignment="1"/>
    <xf numFmtId="10" fontId="7" fillId="0" borderId="0" xfId="4" applyNumberFormat="1" applyFont="1" applyFill="1"/>
    <xf numFmtId="3" fontId="7" fillId="0" borderId="0" xfId="2" applyFont="1" applyFill="1"/>
    <xf numFmtId="0" fontId="7" fillId="2" borderId="0" xfId="0" applyFont="1" applyFill="1" applyAlignment="1"/>
    <xf numFmtId="5" fontId="11" fillId="0" borderId="0" xfId="0" applyNumberFormat="1" applyFont="1" applyAlignment="1">
      <alignment vertical="center"/>
    </xf>
    <xf numFmtId="37" fontId="7" fillId="0" borderId="0" xfId="0" applyNumberFormat="1" applyFont="1" applyAlignment="1">
      <alignment vertical="center"/>
    </xf>
    <xf numFmtId="5" fontId="7" fillId="0" borderId="0" xfId="0" applyNumberFormat="1" applyFont="1" applyAlignment="1">
      <alignment vertical="center"/>
    </xf>
    <xf numFmtId="38" fontId="7" fillId="0" borderId="0" xfId="0" applyNumberFormat="1" applyFont="1" applyAlignment="1"/>
    <xf numFmtId="3" fontId="11" fillId="0" borderId="0" xfId="0" applyNumberFormat="1" applyFont="1" applyAlignment="1"/>
    <xf numFmtId="10" fontId="11" fillId="0" borderId="0" xfId="0" applyNumberFormat="1" applyFont="1" applyAlignment="1"/>
    <xf numFmtId="10" fontId="17" fillId="0" borderId="0" xfId="0" applyNumberFormat="1" applyFont="1" applyAlignment="1"/>
    <xf numFmtId="38" fontId="17" fillId="0" borderId="0" xfId="0" applyNumberFormat="1" applyFont="1" applyAlignment="1"/>
    <xf numFmtId="3" fontId="19" fillId="0" borderId="0" xfId="1" applyNumberFormat="1" applyFill="1"/>
    <xf numFmtId="0" fontId="57" fillId="0" borderId="0" xfId="0" applyFont="1" applyAlignment="1"/>
    <xf numFmtId="10" fontId="7" fillId="0" borderId="0" xfId="0" applyNumberFormat="1" applyFont="1" applyAlignment="1">
      <alignment horizontal="center" vertical="top"/>
    </xf>
    <xf numFmtId="0" fontId="16" fillId="0" borderId="3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5" fontId="7" fillId="0" borderId="9" xfId="0" applyNumberFormat="1" applyFont="1" applyBorder="1" applyAlignment="1">
      <alignment horizontal="center"/>
    </xf>
    <xf numFmtId="5" fontId="7" fillId="0" borderId="33" xfId="0" applyNumberFormat="1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5" fontId="17" fillId="0" borderId="33" xfId="0" applyNumberFormat="1" applyFont="1" applyBorder="1" applyAlignment="1">
      <alignment horizontal="center"/>
    </xf>
    <xf numFmtId="0" fontId="11" fillId="0" borderId="34" xfId="0" applyFont="1" applyBorder="1" applyAlignment="1">
      <alignment horizontal="center"/>
    </xf>
    <xf numFmtId="5" fontId="11" fillId="0" borderId="35" xfId="0" applyNumberFormat="1" applyFont="1" applyBorder="1" applyAlignment="1">
      <alignment horizontal="center"/>
    </xf>
    <xf numFmtId="44" fontId="7" fillId="0" borderId="0" xfId="0" applyNumberFormat="1" applyFont="1" applyAlignment="1"/>
    <xf numFmtId="0" fontId="7" fillId="0" borderId="0" xfId="0" applyFont="1" applyAlignment="1">
      <alignment horizontal="left"/>
    </xf>
    <xf numFmtId="4" fontId="19" fillId="0" borderId="0" xfId="1" applyFill="1"/>
    <xf numFmtId="0" fontId="13" fillId="0" borderId="0" xfId="0" applyFont="1" applyAlignment="1">
      <alignment vertical="center" wrapText="1"/>
    </xf>
    <xf numFmtId="0" fontId="13" fillId="0" borderId="0" xfId="0" applyFont="1" applyAlignment="1">
      <alignment vertical="center"/>
    </xf>
    <xf numFmtId="37" fontId="13" fillId="0" borderId="0" xfId="0" applyNumberFormat="1" applyFont="1" applyAlignment="1">
      <alignment horizontal="center" vertical="center"/>
    </xf>
    <xf numFmtId="5" fontId="13" fillId="0" borderId="0" xfId="0" applyNumberFormat="1" applyFont="1" applyAlignment="1">
      <alignment vertical="center"/>
    </xf>
    <xf numFmtId="5" fontId="13" fillId="0" borderId="0" xfId="0" applyNumberFormat="1" applyFont="1" applyAlignment="1">
      <alignment horizontal="center" vertical="center"/>
    </xf>
    <xf numFmtId="0" fontId="5" fillId="0" borderId="0" xfId="0" applyFont="1" applyAlignment="1">
      <alignment vertical="center"/>
    </xf>
    <xf numFmtId="5" fontId="5" fillId="0" borderId="10" xfId="0" applyNumberFormat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59" fillId="0" borderId="0" xfId="0" applyFont="1" applyAlignment="1">
      <alignment vertical="center"/>
    </xf>
    <xf numFmtId="37" fontId="5" fillId="0" borderId="10" xfId="0" applyNumberFormat="1" applyFont="1" applyBorder="1" applyAlignment="1">
      <alignment horizontal="center" vertical="center"/>
    </xf>
    <xf numFmtId="0" fontId="5" fillId="0" borderId="31" xfId="0" applyFont="1" applyBorder="1" applyAlignment="1">
      <alignment vertical="center"/>
    </xf>
    <xf numFmtId="0" fontId="13" fillId="0" borderId="8" xfId="0" applyFont="1" applyBorder="1" applyAlignment="1">
      <alignment vertical="center"/>
    </xf>
    <xf numFmtId="5" fontId="5" fillId="0" borderId="29" xfId="0" applyNumberFormat="1" applyFont="1" applyBorder="1" applyAlignment="1">
      <alignment horizontal="center" vertical="center"/>
    </xf>
    <xf numFmtId="0" fontId="59" fillId="0" borderId="0" xfId="0" applyFont="1">
      <alignment vertical="top"/>
    </xf>
    <xf numFmtId="0" fontId="5" fillId="0" borderId="0" xfId="0" applyFont="1" applyAlignment="1">
      <alignment horizontal="center" vertical="top"/>
    </xf>
    <xf numFmtId="0" fontId="59" fillId="0" borderId="0" xfId="0" applyFont="1" applyAlignment="1">
      <alignment horizontal="center" vertical="top"/>
    </xf>
    <xf numFmtId="165" fontId="7" fillId="0" borderId="0" xfId="0" applyNumberFormat="1" applyFont="1" applyAlignment="1"/>
    <xf numFmtId="0" fontId="37" fillId="0" borderId="0" xfId="0" applyFont="1" applyAlignment="1"/>
    <xf numFmtId="165" fontId="0" fillId="0" borderId="0" xfId="0" applyNumberFormat="1" applyAlignment="1"/>
    <xf numFmtId="7" fontId="19" fillId="0" borderId="0" xfId="3" applyFill="1"/>
    <xf numFmtId="165" fontId="19" fillId="0" borderId="0" xfId="3" applyNumberFormat="1" applyFill="1"/>
    <xf numFmtId="0" fontId="11" fillId="2" borderId="31" xfId="0" applyFont="1" applyFill="1" applyBorder="1" applyAlignment="1">
      <alignment horizontal="center"/>
    </xf>
    <xf numFmtId="0" fontId="11" fillId="2" borderId="8" xfId="0" applyFont="1" applyFill="1" applyBorder="1" applyAlignment="1">
      <alignment horizontal="center"/>
    </xf>
    <xf numFmtId="0" fontId="11" fillId="2" borderId="29" xfId="0" applyFont="1" applyFill="1" applyBorder="1" applyAlignment="1">
      <alignment horizontal="center"/>
    </xf>
  </cellXfs>
  <cellStyles count="292">
    <cellStyle name="20% - Accent1" xfId="28" builtinId="30" customBuiltin="1"/>
    <cellStyle name="20% - Accent1 2" xfId="64" xr:uid="{00000000-0005-0000-0000-000001000000}"/>
    <cellStyle name="20% - Accent1 2 2" xfId="65" xr:uid="{00000000-0005-0000-0000-000002000000}"/>
    <cellStyle name="20% - Accent1 3" xfId="216" xr:uid="{00000000-0005-0000-0000-000003000000}"/>
    <cellStyle name="20% - Accent1 3 2" xfId="257" xr:uid="{00000000-0005-0000-0000-000004000000}"/>
    <cellStyle name="20% - Accent1 4" xfId="231" xr:uid="{00000000-0005-0000-0000-000005000000}"/>
    <cellStyle name="20% - Accent1 5" xfId="269" xr:uid="{00000000-0005-0000-0000-000006000000}"/>
    <cellStyle name="20% - Accent2" xfId="32" builtinId="34" customBuiltin="1"/>
    <cellStyle name="20% - Accent2 2" xfId="66" xr:uid="{00000000-0005-0000-0000-000008000000}"/>
    <cellStyle name="20% - Accent2 2 2" xfId="67" xr:uid="{00000000-0005-0000-0000-000009000000}"/>
    <cellStyle name="20% - Accent2 3" xfId="218" xr:uid="{00000000-0005-0000-0000-00000A000000}"/>
    <cellStyle name="20% - Accent2 3 2" xfId="259" xr:uid="{00000000-0005-0000-0000-00000B000000}"/>
    <cellStyle name="20% - Accent2 4" xfId="233" xr:uid="{00000000-0005-0000-0000-00000C000000}"/>
    <cellStyle name="20% - Accent2 5" xfId="271" xr:uid="{00000000-0005-0000-0000-00000D000000}"/>
    <cellStyle name="20% - Accent3" xfId="36" builtinId="38" customBuiltin="1"/>
    <cellStyle name="20% - Accent3 2" xfId="68" xr:uid="{00000000-0005-0000-0000-00000F000000}"/>
    <cellStyle name="20% - Accent3 2 2" xfId="69" xr:uid="{00000000-0005-0000-0000-000010000000}"/>
    <cellStyle name="20% - Accent3 3" xfId="220" xr:uid="{00000000-0005-0000-0000-000011000000}"/>
    <cellStyle name="20% - Accent3 3 2" xfId="261" xr:uid="{00000000-0005-0000-0000-000012000000}"/>
    <cellStyle name="20% - Accent3 4" xfId="235" xr:uid="{00000000-0005-0000-0000-000013000000}"/>
    <cellStyle name="20% - Accent3 5" xfId="273" xr:uid="{00000000-0005-0000-0000-000014000000}"/>
    <cellStyle name="20% - Accent4" xfId="40" builtinId="42" customBuiltin="1"/>
    <cellStyle name="20% - Accent4 2" xfId="70" xr:uid="{00000000-0005-0000-0000-000016000000}"/>
    <cellStyle name="20% - Accent4 2 2" xfId="71" xr:uid="{00000000-0005-0000-0000-000017000000}"/>
    <cellStyle name="20% - Accent4 3" xfId="222" xr:uid="{00000000-0005-0000-0000-000018000000}"/>
    <cellStyle name="20% - Accent4 3 2" xfId="263" xr:uid="{00000000-0005-0000-0000-000019000000}"/>
    <cellStyle name="20% - Accent4 4" xfId="237" xr:uid="{00000000-0005-0000-0000-00001A000000}"/>
    <cellStyle name="20% - Accent4 5" xfId="275" xr:uid="{00000000-0005-0000-0000-00001B000000}"/>
    <cellStyle name="20% - Accent5" xfId="44" builtinId="46" customBuiltin="1"/>
    <cellStyle name="20% - Accent5 2" xfId="72" xr:uid="{00000000-0005-0000-0000-00001D000000}"/>
    <cellStyle name="20% - Accent5 2 2" xfId="73" xr:uid="{00000000-0005-0000-0000-00001E000000}"/>
    <cellStyle name="20% - Accent5 3" xfId="224" xr:uid="{00000000-0005-0000-0000-00001F000000}"/>
    <cellStyle name="20% - Accent5 3 2" xfId="265" xr:uid="{00000000-0005-0000-0000-000020000000}"/>
    <cellStyle name="20% - Accent5 4" xfId="239" xr:uid="{00000000-0005-0000-0000-000021000000}"/>
    <cellStyle name="20% - Accent5 5" xfId="277" xr:uid="{00000000-0005-0000-0000-000022000000}"/>
    <cellStyle name="20% - Accent6" xfId="48" builtinId="50" customBuiltin="1"/>
    <cellStyle name="20% - Accent6 2" xfId="74" xr:uid="{00000000-0005-0000-0000-000024000000}"/>
    <cellStyle name="20% - Accent6 2 2" xfId="75" xr:uid="{00000000-0005-0000-0000-000025000000}"/>
    <cellStyle name="20% - Accent6 3" xfId="226" xr:uid="{00000000-0005-0000-0000-000026000000}"/>
    <cellStyle name="20% - Accent6 3 2" xfId="267" xr:uid="{00000000-0005-0000-0000-000027000000}"/>
    <cellStyle name="20% - Accent6 4" xfId="241" xr:uid="{00000000-0005-0000-0000-000028000000}"/>
    <cellStyle name="20% - Accent6 5" xfId="279" xr:uid="{00000000-0005-0000-0000-000029000000}"/>
    <cellStyle name="40% - Accent1" xfId="29" builtinId="31" customBuiltin="1"/>
    <cellStyle name="40% - Accent1 2" xfId="76" xr:uid="{00000000-0005-0000-0000-00002B000000}"/>
    <cellStyle name="40% - Accent1 2 2" xfId="77" xr:uid="{00000000-0005-0000-0000-00002C000000}"/>
    <cellStyle name="40% - Accent1 3" xfId="217" xr:uid="{00000000-0005-0000-0000-00002D000000}"/>
    <cellStyle name="40% - Accent1 3 2" xfId="258" xr:uid="{00000000-0005-0000-0000-00002E000000}"/>
    <cellStyle name="40% - Accent1 4" xfId="232" xr:uid="{00000000-0005-0000-0000-00002F000000}"/>
    <cellStyle name="40% - Accent1 5" xfId="270" xr:uid="{00000000-0005-0000-0000-000030000000}"/>
    <cellStyle name="40% - Accent2" xfId="33" builtinId="35" customBuiltin="1"/>
    <cellStyle name="40% - Accent2 2" xfId="78" xr:uid="{00000000-0005-0000-0000-000032000000}"/>
    <cellStyle name="40% - Accent2 2 2" xfId="79" xr:uid="{00000000-0005-0000-0000-000033000000}"/>
    <cellStyle name="40% - Accent2 2 2 2" xfId="80" xr:uid="{00000000-0005-0000-0000-000034000000}"/>
    <cellStyle name="40% - Accent2 2 3" xfId="248" xr:uid="{00000000-0005-0000-0000-000035000000}"/>
    <cellStyle name="40% - Accent2 2 4" xfId="286" xr:uid="{00000000-0005-0000-0000-000036000000}"/>
    <cellStyle name="40% - Accent2 3" xfId="219" xr:uid="{00000000-0005-0000-0000-000037000000}"/>
    <cellStyle name="40% - Accent2 3 2" xfId="260" xr:uid="{00000000-0005-0000-0000-000038000000}"/>
    <cellStyle name="40% - Accent2 4" xfId="234" xr:uid="{00000000-0005-0000-0000-000039000000}"/>
    <cellStyle name="40% - Accent2 5" xfId="272" xr:uid="{00000000-0005-0000-0000-00003A000000}"/>
    <cellStyle name="40% - Accent3" xfId="37" builtinId="39" customBuiltin="1"/>
    <cellStyle name="40% - Accent3 2" xfId="81" xr:uid="{00000000-0005-0000-0000-00003C000000}"/>
    <cellStyle name="40% - Accent3 2 2" xfId="82" xr:uid="{00000000-0005-0000-0000-00003D000000}"/>
    <cellStyle name="40% - Accent3 3" xfId="221" xr:uid="{00000000-0005-0000-0000-00003E000000}"/>
    <cellStyle name="40% - Accent3 3 2" xfId="262" xr:uid="{00000000-0005-0000-0000-00003F000000}"/>
    <cellStyle name="40% - Accent3 4" xfId="236" xr:uid="{00000000-0005-0000-0000-000040000000}"/>
    <cellStyle name="40% - Accent3 5" xfId="274" xr:uid="{00000000-0005-0000-0000-000041000000}"/>
    <cellStyle name="40% - Accent4" xfId="41" builtinId="43" customBuiltin="1"/>
    <cellStyle name="40% - Accent4 2" xfId="83" xr:uid="{00000000-0005-0000-0000-000043000000}"/>
    <cellStyle name="40% - Accent4 2 2" xfId="84" xr:uid="{00000000-0005-0000-0000-000044000000}"/>
    <cellStyle name="40% - Accent4 3" xfId="223" xr:uid="{00000000-0005-0000-0000-000045000000}"/>
    <cellStyle name="40% - Accent4 3 2" xfId="264" xr:uid="{00000000-0005-0000-0000-000046000000}"/>
    <cellStyle name="40% - Accent4 4" xfId="238" xr:uid="{00000000-0005-0000-0000-000047000000}"/>
    <cellStyle name="40% - Accent4 5" xfId="276" xr:uid="{00000000-0005-0000-0000-000048000000}"/>
    <cellStyle name="40% - Accent5" xfId="45" builtinId="47" customBuiltin="1"/>
    <cellStyle name="40% - Accent5 2" xfId="85" xr:uid="{00000000-0005-0000-0000-00004A000000}"/>
    <cellStyle name="40% - Accent5 2 2" xfId="86" xr:uid="{00000000-0005-0000-0000-00004B000000}"/>
    <cellStyle name="40% - Accent5 3" xfId="225" xr:uid="{00000000-0005-0000-0000-00004C000000}"/>
    <cellStyle name="40% - Accent5 3 2" xfId="266" xr:uid="{00000000-0005-0000-0000-00004D000000}"/>
    <cellStyle name="40% - Accent5 4" xfId="240" xr:uid="{00000000-0005-0000-0000-00004E000000}"/>
    <cellStyle name="40% - Accent5 5" xfId="278" xr:uid="{00000000-0005-0000-0000-00004F000000}"/>
    <cellStyle name="40% - Accent6" xfId="49" builtinId="51" customBuiltin="1"/>
    <cellStyle name="40% - Accent6 2" xfId="87" xr:uid="{00000000-0005-0000-0000-000051000000}"/>
    <cellStyle name="40% - Accent6 2 2" xfId="88" xr:uid="{00000000-0005-0000-0000-000052000000}"/>
    <cellStyle name="40% - Accent6 3" xfId="227" xr:uid="{00000000-0005-0000-0000-000053000000}"/>
    <cellStyle name="40% - Accent6 3 2" xfId="268" xr:uid="{00000000-0005-0000-0000-000054000000}"/>
    <cellStyle name="40% - Accent6 4" xfId="242" xr:uid="{00000000-0005-0000-0000-000055000000}"/>
    <cellStyle name="40% - Accent6 5" xfId="280" xr:uid="{00000000-0005-0000-0000-000056000000}"/>
    <cellStyle name="60% - Accent1" xfId="30" builtinId="32" customBuiltin="1"/>
    <cellStyle name="60% - Accent1 2" xfId="89" xr:uid="{00000000-0005-0000-0000-000058000000}"/>
    <cellStyle name="60% - Accent2" xfId="34" builtinId="36" customBuiltin="1"/>
    <cellStyle name="60% - Accent2 2" xfId="90" xr:uid="{00000000-0005-0000-0000-00005A000000}"/>
    <cellStyle name="60% - Accent3" xfId="38" builtinId="40" customBuiltin="1"/>
    <cellStyle name="60% - Accent3 2" xfId="91" xr:uid="{00000000-0005-0000-0000-00005C000000}"/>
    <cellStyle name="60% - Accent4" xfId="42" builtinId="44" customBuiltin="1"/>
    <cellStyle name="60% - Accent4 2" xfId="92" xr:uid="{00000000-0005-0000-0000-00005E000000}"/>
    <cellStyle name="60% - Accent5" xfId="46" builtinId="48" customBuiltin="1"/>
    <cellStyle name="60% - Accent5 2" xfId="93" xr:uid="{00000000-0005-0000-0000-000060000000}"/>
    <cellStyle name="60% - Accent6" xfId="50" builtinId="52" customBuiltin="1"/>
    <cellStyle name="60% - Accent6 2" xfId="94" xr:uid="{00000000-0005-0000-0000-000062000000}"/>
    <cellStyle name="Accent1" xfId="27" builtinId="29" customBuiltin="1"/>
    <cellStyle name="Accent1 2" xfId="95" xr:uid="{00000000-0005-0000-0000-000064000000}"/>
    <cellStyle name="Accent2" xfId="31" builtinId="33" customBuiltin="1"/>
    <cellStyle name="Accent2 2" xfId="96" xr:uid="{00000000-0005-0000-0000-000066000000}"/>
    <cellStyle name="Accent3" xfId="35" builtinId="37" customBuiltin="1"/>
    <cellStyle name="Accent3 2" xfId="97" xr:uid="{00000000-0005-0000-0000-000068000000}"/>
    <cellStyle name="Accent4" xfId="39" builtinId="41" customBuiltin="1"/>
    <cellStyle name="Accent4 2" xfId="98" xr:uid="{00000000-0005-0000-0000-00006A000000}"/>
    <cellStyle name="Accent5" xfId="43" builtinId="45" customBuiltin="1"/>
    <cellStyle name="Accent5 2" xfId="99" xr:uid="{00000000-0005-0000-0000-00006C000000}"/>
    <cellStyle name="Accent6" xfId="47" builtinId="49" customBuiltin="1"/>
    <cellStyle name="Accent6 2" xfId="100" xr:uid="{00000000-0005-0000-0000-00006E000000}"/>
    <cellStyle name="Accent6 2 2" xfId="101" xr:uid="{00000000-0005-0000-0000-00006F000000}"/>
    <cellStyle name="Bad" xfId="18" builtinId="27" customBuiltin="1"/>
    <cellStyle name="Bad 2" xfId="102" xr:uid="{00000000-0005-0000-0000-000071000000}"/>
    <cellStyle name="Bad 3" xfId="103" xr:uid="{00000000-0005-0000-0000-000072000000}"/>
    <cellStyle name="Calculation" xfId="22" builtinId="22" customBuiltin="1"/>
    <cellStyle name="Calculation 2" xfId="104" xr:uid="{00000000-0005-0000-0000-000074000000}"/>
    <cellStyle name="Check Cell" xfId="24" builtinId="23" customBuiltin="1"/>
    <cellStyle name="Check Cell 2" xfId="105" xr:uid="{00000000-0005-0000-0000-000076000000}"/>
    <cellStyle name="Comma" xfId="1" builtinId="3"/>
    <cellStyle name="Comma 2" xfId="11" xr:uid="{00000000-0005-0000-0000-000078000000}"/>
    <cellStyle name="Comma 2 2" xfId="106" xr:uid="{00000000-0005-0000-0000-000079000000}"/>
    <cellStyle name="Comma 2 2 2" xfId="107" xr:uid="{00000000-0005-0000-0000-00007A000000}"/>
    <cellStyle name="Comma 2 2 3" xfId="108" xr:uid="{00000000-0005-0000-0000-00007B000000}"/>
    <cellStyle name="Comma 2 2 3 2" xfId="109" xr:uid="{00000000-0005-0000-0000-00007C000000}"/>
    <cellStyle name="Comma 2 3" xfId="110" xr:uid="{00000000-0005-0000-0000-00007D000000}"/>
    <cellStyle name="Comma 2 3 2" xfId="249" xr:uid="{00000000-0005-0000-0000-00007E000000}"/>
    <cellStyle name="Comma 2 3 3" xfId="287" xr:uid="{00000000-0005-0000-0000-00007F000000}"/>
    <cellStyle name="Comma 2 4" xfId="111" xr:uid="{00000000-0005-0000-0000-000080000000}"/>
    <cellStyle name="Comma 2 5" xfId="58" xr:uid="{00000000-0005-0000-0000-000081000000}"/>
    <cellStyle name="Comma 3" xfId="112" xr:uid="{00000000-0005-0000-0000-000082000000}"/>
    <cellStyle name="Comma 3 2" xfId="113" xr:uid="{00000000-0005-0000-0000-000083000000}"/>
    <cellStyle name="Comma 3 2 2" xfId="114" xr:uid="{00000000-0005-0000-0000-000084000000}"/>
    <cellStyle name="Comma 3 3" xfId="115" xr:uid="{00000000-0005-0000-0000-000085000000}"/>
    <cellStyle name="Comma 3 3 2" xfId="116" xr:uid="{00000000-0005-0000-0000-000086000000}"/>
    <cellStyle name="Comma 3 4" xfId="117" xr:uid="{00000000-0005-0000-0000-000087000000}"/>
    <cellStyle name="Comma 4" xfId="118" xr:uid="{00000000-0005-0000-0000-000088000000}"/>
    <cellStyle name="Comma 4 2" xfId="119" xr:uid="{00000000-0005-0000-0000-000089000000}"/>
    <cellStyle name="Comma 4 3" xfId="120" xr:uid="{00000000-0005-0000-0000-00008A000000}"/>
    <cellStyle name="Comma 4 3 2" xfId="121" xr:uid="{00000000-0005-0000-0000-00008B000000}"/>
    <cellStyle name="Comma 5" xfId="122" xr:uid="{00000000-0005-0000-0000-00008C000000}"/>
    <cellStyle name="Comma 5 2" xfId="123" xr:uid="{00000000-0005-0000-0000-00008D000000}"/>
    <cellStyle name="Comma 6" xfId="52" xr:uid="{00000000-0005-0000-0000-00008E000000}"/>
    <cellStyle name="Comma 6 2" xfId="244" xr:uid="{00000000-0005-0000-0000-00008F000000}"/>
    <cellStyle name="Comma 6 3" xfId="282" xr:uid="{00000000-0005-0000-0000-000090000000}"/>
    <cellStyle name="Comma 7" xfId="228" xr:uid="{00000000-0005-0000-0000-000091000000}"/>
    <cellStyle name="Comma0" xfId="2" xr:uid="{00000000-0005-0000-0000-000094000000}"/>
    <cellStyle name="Currency" xfId="3" builtinId="4"/>
    <cellStyle name="Currency 2" xfId="124" xr:uid="{00000000-0005-0000-0000-000096000000}"/>
    <cellStyle name="Currency 2 2" xfId="125" xr:uid="{00000000-0005-0000-0000-000097000000}"/>
    <cellStyle name="Currency 2 3" xfId="126" xr:uid="{00000000-0005-0000-0000-000098000000}"/>
    <cellStyle name="Currency 2 3 2" xfId="250" xr:uid="{00000000-0005-0000-0000-000099000000}"/>
    <cellStyle name="Currency 2 3 3" xfId="288" xr:uid="{00000000-0005-0000-0000-00009A000000}"/>
    <cellStyle name="Currency 3" xfId="127" xr:uid="{00000000-0005-0000-0000-00009B000000}"/>
    <cellStyle name="Currency 3 2" xfId="128" xr:uid="{00000000-0005-0000-0000-00009C000000}"/>
    <cellStyle name="Currency 3 2 2" xfId="129" xr:uid="{00000000-0005-0000-0000-00009D000000}"/>
    <cellStyle name="Currency 3 3" xfId="130" xr:uid="{00000000-0005-0000-0000-00009E000000}"/>
    <cellStyle name="Currency 3 3 2" xfId="131" xr:uid="{00000000-0005-0000-0000-00009F000000}"/>
    <cellStyle name="Currency 3 4" xfId="132" xr:uid="{00000000-0005-0000-0000-0000A0000000}"/>
    <cellStyle name="Currency 4" xfId="133" xr:uid="{00000000-0005-0000-0000-0000A1000000}"/>
    <cellStyle name="Currency 4 2" xfId="134" xr:uid="{00000000-0005-0000-0000-0000A2000000}"/>
    <cellStyle name="Currency 5" xfId="135" xr:uid="{00000000-0005-0000-0000-0000A3000000}"/>
    <cellStyle name="Currency 5 2" xfId="136" xr:uid="{00000000-0005-0000-0000-0000A4000000}"/>
    <cellStyle name="Currency 6" xfId="137" xr:uid="{00000000-0005-0000-0000-0000A5000000}"/>
    <cellStyle name="Currency 6 2" xfId="138" xr:uid="{00000000-0005-0000-0000-0000A6000000}"/>
    <cellStyle name="Currency 7" xfId="53" xr:uid="{00000000-0005-0000-0000-0000A7000000}"/>
    <cellStyle name="Currency 7 2" xfId="245" xr:uid="{00000000-0005-0000-0000-0000A8000000}"/>
    <cellStyle name="Currency 7 3" xfId="283" xr:uid="{00000000-0005-0000-0000-0000A9000000}"/>
    <cellStyle name="Currency 8" xfId="214" xr:uid="{00000000-0005-0000-0000-0000AA000000}"/>
    <cellStyle name="Currency 8 2" xfId="255" xr:uid="{00000000-0005-0000-0000-0000AB000000}"/>
    <cellStyle name="Currency 9" xfId="229" xr:uid="{00000000-0005-0000-0000-0000AC000000}"/>
    <cellStyle name="Currency0" xfId="4" xr:uid="{00000000-0005-0000-0000-0000AD000000}"/>
    <cellStyle name="Date" xfId="5" xr:uid="{00000000-0005-0000-0000-0000AE000000}"/>
    <cellStyle name="Date 2" xfId="139" xr:uid="{00000000-0005-0000-0000-0000AF000000}"/>
    <cellStyle name="Date 2 2" xfId="140" xr:uid="{00000000-0005-0000-0000-0000B0000000}"/>
    <cellStyle name="Date 2 3" xfId="141" xr:uid="{00000000-0005-0000-0000-0000B1000000}"/>
    <cellStyle name="Date 2 3 2" xfId="142" xr:uid="{00000000-0005-0000-0000-0000B2000000}"/>
    <cellStyle name="Date 3" xfId="59" xr:uid="{00000000-0005-0000-0000-0000B3000000}"/>
    <cellStyle name="Explanatory Text" xfId="26" builtinId="53" customBuiltin="1"/>
    <cellStyle name="Explanatory Text 2" xfId="143" xr:uid="{00000000-0005-0000-0000-0000B5000000}"/>
    <cellStyle name="Fixed" xfId="6" xr:uid="{00000000-0005-0000-0000-0000B6000000}"/>
    <cellStyle name="Fixed 2" xfId="144" xr:uid="{00000000-0005-0000-0000-0000B7000000}"/>
    <cellStyle name="Fixed 2 2" xfId="145" xr:uid="{00000000-0005-0000-0000-0000B8000000}"/>
    <cellStyle name="Fixed 2 3" xfId="146" xr:uid="{00000000-0005-0000-0000-0000B9000000}"/>
    <cellStyle name="Fixed 2 3 2" xfId="147" xr:uid="{00000000-0005-0000-0000-0000BA000000}"/>
    <cellStyle name="Fixed 3" xfId="60" xr:uid="{00000000-0005-0000-0000-0000BB000000}"/>
    <cellStyle name="Good" xfId="17" builtinId="26" customBuiltin="1"/>
    <cellStyle name="Good 2" xfId="148" xr:uid="{00000000-0005-0000-0000-0000BD000000}"/>
    <cellStyle name="Good 2 2" xfId="149" xr:uid="{00000000-0005-0000-0000-0000BE000000}"/>
    <cellStyle name="Heading 1" xfId="13" builtinId="16" customBuiltin="1"/>
    <cellStyle name="Heading 1 2" xfId="150" xr:uid="{00000000-0005-0000-0000-0000C0000000}"/>
    <cellStyle name="Heading 2" xfId="14" builtinId="17" customBuiltin="1"/>
    <cellStyle name="Heading 2 2" xfId="151" xr:uid="{00000000-0005-0000-0000-0000C2000000}"/>
    <cellStyle name="Heading 3" xfId="15" builtinId="18" customBuiltin="1"/>
    <cellStyle name="Heading 3 2" xfId="152" xr:uid="{00000000-0005-0000-0000-0000C4000000}"/>
    <cellStyle name="Heading 4" xfId="16" builtinId="19" customBuiltin="1"/>
    <cellStyle name="Heading 4 2" xfId="153" xr:uid="{00000000-0005-0000-0000-0000C6000000}"/>
    <cellStyle name="HEADING1" xfId="7" xr:uid="{00000000-0005-0000-0000-0000C7000000}"/>
    <cellStyle name="HEADING1 2" xfId="154" xr:uid="{00000000-0005-0000-0000-0000C8000000}"/>
    <cellStyle name="HEADING1 2 2" xfId="155" xr:uid="{00000000-0005-0000-0000-0000C9000000}"/>
    <cellStyle name="HEADING1 2 3" xfId="156" xr:uid="{00000000-0005-0000-0000-0000CA000000}"/>
    <cellStyle name="HEADING1 2 3 2" xfId="157" xr:uid="{00000000-0005-0000-0000-0000CB000000}"/>
    <cellStyle name="HEADING1 3" xfId="61" xr:uid="{00000000-0005-0000-0000-0000CC000000}"/>
    <cellStyle name="HEADING2" xfId="8" xr:uid="{00000000-0005-0000-0000-0000CD000000}"/>
    <cellStyle name="Input" xfId="20" builtinId="20" customBuiltin="1"/>
    <cellStyle name="Input 2" xfId="158" xr:uid="{00000000-0005-0000-0000-0000CF000000}"/>
    <cellStyle name="Linked Cell" xfId="23" builtinId="24" customBuiltin="1"/>
    <cellStyle name="Linked Cell 2" xfId="159" xr:uid="{00000000-0005-0000-0000-0000D1000000}"/>
    <cellStyle name="Neutral" xfId="19" builtinId="28" customBuiltin="1"/>
    <cellStyle name="Neutral 2" xfId="160" xr:uid="{00000000-0005-0000-0000-0000D3000000}"/>
    <cellStyle name="Neutral 2 2" xfId="161" xr:uid="{00000000-0005-0000-0000-0000D4000000}"/>
    <cellStyle name="Normal" xfId="0" builtinId="0"/>
    <cellStyle name="Normal 10" xfId="213" xr:uid="{00000000-0005-0000-0000-0000D6000000}"/>
    <cellStyle name="Normal 10 2" xfId="254" xr:uid="{00000000-0005-0000-0000-0000D7000000}"/>
    <cellStyle name="Normal 2" xfId="57" xr:uid="{00000000-0005-0000-0000-0000D8000000}"/>
    <cellStyle name="Normal 2 2" xfId="162" xr:uid="{00000000-0005-0000-0000-0000D9000000}"/>
    <cellStyle name="Normal 2 2 2" xfId="163" xr:uid="{00000000-0005-0000-0000-0000DA000000}"/>
    <cellStyle name="Normal 2 2 3" xfId="164" xr:uid="{00000000-0005-0000-0000-0000DB000000}"/>
    <cellStyle name="Normal 2 2 3 2" xfId="165" xr:uid="{00000000-0005-0000-0000-0000DC000000}"/>
    <cellStyle name="Normal 2 3" xfId="166" xr:uid="{00000000-0005-0000-0000-0000DD000000}"/>
    <cellStyle name="Normal 2 3 2" xfId="251" xr:uid="{00000000-0005-0000-0000-0000DE000000}"/>
    <cellStyle name="Normal 2 3 3" xfId="289" xr:uid="{00000000-0005-0000-0000-0000DF000000}"/>
    <cellStyle name="Normal 2 4" xfId="167" xr:uid="{00000000-0005-0000-0000-0000E0000000}"/>
    <cellStyle name="Normal 2 5" xfId="168" xr:uid="{00000000-0005-0000-0000-0000E1000000}"/>
    <cellStyle name="Normal 3" xfId="169" xr:uid="{00000000-0005-0000-0000-0000E2000000}"/>
    <cellStyle name="Normal 3 2" xfId="170" xr:uid="{00000000-0005-0000-0000-0000E3000000}"/>
    <cellStyle name="Normal 3 2 2" xfId="171" xr:uid="{00000000-0005-0000-0000-0000E4000000}"/>
    <cellStyle name="Normal 3 3" xfId="10" xr:uid="{00000000-0005-0000-0000-0000E5000000}"/>
    <cellStyle name="Normal 3 4" xfId="172" xr:uid="{00000000-0005-0000-0000-0000E6000000}"/>
    <cellStyle name="Normal 3 4 2" xfId="252" xr:uid="{00000000-0005-0000-0000-0000E7000000}"/>
    <cellStyle name="Normal 3 4 3" xfId="290" xr:uid="{00000000-0005-0000-0000-0000E8000000}"/>
    <cellStyle name="Normal 3 5" xfId="173" xr:uid="{00000000-0005-0000-0000-0000E9000000}"/>
    <cellStyle name="Normal 4" xfId="174" xr:uid="{00000000-0005-0000-0000-0000EA000000}"/>
    <cellStyle name="Normal 4 2" xfId="175" xr:uid="{00000000-0005-0000-0000-0000EB000000}"/>
    <cellStyle name="Normal 4 2 2" xfId="176" xr:uid="{00000000-0005-0000-0000-0000EC000000}"/>
    <cellStyle name="Normal 4 2 3" xfId="177" xr:uid="{00000000-0005-0000-0000-0000ED000000}"/>
    <cellStyle name="Normal 4 3" xfId="178" xr:uid="{00000000-0005-0000-0000-0000EE000000}"/>
    <cellStyle name="Normal 4 4" xfId="179" xr:uid="{00000000-0005-0000-0000-0000EF000000}"/>
    <cellStyle name="Normal 5" xfId="180" xr:uid="{00000000-0005-0000-0000-0000F0000000}"/>
    <cellStyle name="Normal 5 2" xfId="181" xr:uid="{00000000-0005-0000-0000-0000F1000000}"/>
    <cellStyle name="Normal 6" xfId="182" xr:uid="{00000000-0005-0000-0000-0000F2000000}"/>
    <cellStyle name="Normal 7" xfId="183" xr:uid="{00000000-0005-0000-0000-0000F3000000}"/>
    <cellStyle name="Normal 7 2" xfId="184" xr:uid="{00000000-0005-0000-0000-0000F4000000}"/>
    <cellStyle name="Normal 8" xfId="185" xr:uid="{00000000-0005-0000-0000-0000F5000000}"/>
    <cellStyle name="Normal 8 2" xfId="186" xr:uid="{00000000-0005-0000-0000-0000F6000000}"/>
    <cellStyle name="Normal 9" xfId="51" xr:uid="{00000000-0005-0000-0000-0000F7000000}"/>
    <cellStyle name="Normal 9 2" xfId="212" xr:uid="{00000000-0005-0000-0000-0000F8000000}"/>
    <cellStyle name="Normal 9 3" xfId="243" xr:uid="{00000000-0005-0000-0000-0000F9000000}"/>
    <cellStyle name="Normal 9 4" xfId="281" xr:uid="{00000000-0005-0000-0000-0000FA000000}"/>
    <cellStyle name="Note 2" xfId="187" xr:uid="{00000000-0005-0000-0000-0000FD000000}"/>
    <cellStyle name="Note 3" xfId="55" xr:uid="{00000000-0005-0000-0000-0000FE000000}"/>
    <cellStyle name="Note 3 2" xfId="247" xr:uid="{00000000-0005-0000-0000-0000FF000000}"/>
    <cellStyle name="Note 3 3" xfId="285" xr:uid="{00000000-0005-0000-0000-000000010000}"/>
    <cellStyle name="Note 4" xfId="215" xr:uid="{00000000-0005-0000-0000-000001010000}"/>
    <cellStyle name="Note 4 2" xfId="256" xr:uid="{00000000-0005-0000-0000-000002010000}"/>
    <cellStyle name="Output" xfId="21" builtinId="21" customBuiltin="1"/>
    <cellStyle name="Output 2" xfId="188" xr:uid="{00000000-0005-0000-0000-000004010000}"/>
    <cellStyle name="Percent 2" xfId="62" xr:uid="{00000000-0005-0000-0000-000006010000}"/>
    <cellStyle name="Percent 2 2" xfId="189" xr:uid="{00000000-0005-0000-0000-000007010000}"/>
    <cellStyle name="Percent 2 2 2" xfId="190" xr:uid="{00000000-0005-0000-0000-000008010000}"/>
    <cellStyle name="Percent 2 2 3" xfId="191" xr:uid="{00000000-0005-0000-0000-000009010000}"/>
    <cellStyle name="Percent 2 2 3 2" xfId="192" xr:uid="{00000000-0005-0000-0000-00000A010000}"/>
    <cellStyle name="Percent 2 3" xfId="193" xr:uid="{00000000-0005-0000-0000-00000B010000}"/>
    <cellStyle name="Percent 2 3 2" xfId="253" xr:uid="{00000000-0005-0000-0000-00000C010000}"/>
    <cellStyle name="Percent 2 3 3" xfId="291" xr:uid="{00000000-0005-0000-0000-00000D010000}"/>
    <cellStyle name="Percent 2 4" xfId="194" xr:uid="{00000000-0005-0000-0000-00000E010000}"/>
    <cellStyle name="Percent 3" xfId="195" xr:uid="{00000000-0005-0000-0000-00000F010000}"/>
    <cellStyle name="Percent 3 2" xfId="196" xr:uid="{00000000-0005-0000-0000-000010010000}"/>
    <cellStyle name="Percent 3 2 2" xfId="197" xr:uid="{00000000-0005-0000-0000-000011010000}"/>
    <cellStyle name="Percent 3 3" xfId="198" xr:uid="{00000000-0005-0000-0000-000012010000}"/>
    <cellStyle name="Percent 3 3 2" xfId="199" xr:uid="{00000000-0005-0000-0000-000013010000}"/>
    <cellStyle name="Percent 3 4" xfId="200" xr:uid="{00000000-0005-0000-0000-000014010000}"/>
    <cellStyle name="Percent 4" xfId="201" xr:uid="{00000000-0005-0000-0000-000015010000}"/>
    <cellStyle name="Percent 4 2" xfId="202" xr:uid="{00000000-0005-0000-0000-000016010000}"/>
    <cellStyle name="Percent 5" xfId="203" xr:uid="{00000000-0005-0000-0000-000017010000}"/>
    <cellStyle name="Percent 5 2" xfId="204" xr:uid="{00000000-0005-0000-0000-000018010000}"/>
    <cellStyle name="Percent 6" xfId="54" xr:uid="{00000000-0005-0000-0000-000019010000}"/>
    <cellStyle name="Percent 6 2" xfId="246" xr:uid="{00000000-0005-0000-0000-00001A010000}"/>
    <cellStyle name="Percent 6 3" xfId="284" xr:uid="{00000000-0005-0000-0000-00001B010000}"/>
    <cellStyle name="Percent 7" xfId="230" xr:uid="{00000000-0005-0000-0000-00001C010000}"/>
    <cellStyle name="STYLE1" xfId="63" xr:uid="{00000000-0005-0000-0000-00001D010000}"/>
    <cellStyle name="STYLE1 2" xfId="205" xr:uid="{00000000-0005-0000-0000-00001E010000}"/>
    <cellStyle name="STYLE1 2 2" xfId="206" xr:uid="{00000000-0005-0000-0000-00001F010000}"/>
    <cellStyle name="STYLE1 3" xfId="207" xr:uid="{00000000-0005-0000-0000-000020010000}"/>
    <cellStyle name="Title" xfId="12" builtinId="15" customBuiltin="1"/>
    <cellStyle name="Title 2" xfId="208" xr:uid="{00000000-0005-0000-0000-000022010000}"/>
    <cellStyle name="Total" xfId="9" builtinId="25" customBuiltin="1"/>
    <cellStyle name="Total 2" xfId="209" xr:uid="{00000000-0005-0000-0000-000024010000}"/>
    <cellStyle name="Total 3" xfId="210" xr:uid="{00000000-0005-0000-0000-000025010000}"/>
    <cellStyle name="Total 4" xfId="56" xr:uid="{00000000-0005-0000-0000-000026010000}"/>
    <cellStyle name="Warning Text" xfId="25" builtinId="11" customBuiltin="1"/>
    <cellStyle name="Warning Text 2" xfId="211" xr:uid="{00000000-0005-0000-0000-000028010000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3"/>
    </mc:Choice>
    <mc:Fallback>
      <c:style val="3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Chart of Major Items of Change From Test Year</a:t>
            </a:r>
          </a:p>
        </c:rich>
      </c:tx>
      <c:layout>
        <c:manualLayout>
          <c:xMode val="edge"/>
          <c:yMode val="edge"/>
          <c:x val="0.14071179040542153"/>
          <c:y val="2.693607264001296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baseline="0">
              <a:solidFill>
                <a:sysClr val="windowText" lastClr="000000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5117246614732541E-2"/>
          <c:y val="9.5504601934594369E-2"/>
          <c:w val="0.93236016082265227"/>
          <c:h val="0.44278884208844721"/>
        </c:manualLayout>
      </c:layout>
      <c:barChart>
        <c:barDir val="col"/>
        <c:grouping val="clustered"/>
        <c:varyColors val="0"/>
        <c:ser>
          <c:idx val="1"/>
          <c:order val="0"/>
          <c:tx>
            <c:strRef>
              <c:f>'S1A Chart of Major Items'!$B$31</c:f>
              <c:strCache>
                <c:ptCount val="1"/>
                <c:pt idx="0">
                  <c:v>%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69FF-4962-ADE5-7E94B333CBCD}"/>
              </c:ext>
            </c:extLst>
          </c:dPt>
          <c:dPt>
            <c:idx val="1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69FF-4962-ADE5-7E94B333CBCD}"/>
              </c:ext>
            </c:extLst>
          </c:dPt>
          <c:dPt>
            <c:idx val="2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69FF-4962-ADE5-7E94B333CBCD}"/>
              </c:ext>
            </c:extLst>
          </c:dPt>
          <c:dPt>
            <c:idx val="3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69FF-4962-ADE5-7E94B333CBCD}"/>
              </c:ext>
            </c:extLst>
          </c:dPt>
          <c:dPt>
            <c:idx val="4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9-69FF-4962-ADE5-7E94B333CBCD}"/>
              </c:ext>
            </c:extLst>
          </c:dPt>
          <c:cat>
            <c:strRef>
              <c:f>'S1A Chart of Major Items'!$A$32:$A$47</c:f>
              <c:strCache>
                <c:ptCount val="16"/>
                <c:pt idx="0">
                  <c:v>Net Revenue Increases</c:v>
                </c:pt>
                <c:pt idx="1">
                  <c:v>Property Tax</c:v>
                </c:pt>
                <c:pt idx="2">
                  <c:v>VELCO Dividend Income</c:v>
                </c:pt>
                <c:pt idx="3">
                  <c:v>Maint/ Ops Storm Costs</c:v>
                </c:pt>
                <c:pt idx="4">
                  <c:v>Gross Revenue Taxes</c:v>
                </c:pt>
                <c:pt idx="5">
                  <c:v>Financial Services </c:v>
                </c:pt>
                <c:pt idx="6">
                  <c:v>Asset Inspection &amp; Pole Testing</c:v>
                </c:pt>
                <c:pt idx="7">
                  <c:v>Transportation Costs</c:v>
                </c:pt>
                <c:pt idx="8">
                  <c:v>Software, IT &amp; Communication Costs </c:v>
                </c:pt>
                <c:pt idx="9">
                  <c:v>Depreciation</c:v>
                </c:pt>
                <c:pt idx="10">
                  <c:v>Vegetative Maintenance</c:v>
                </c:pt>
                <c:pt idx="11">
                  <c:v>Interest Expense</c:v>
                </c:pt>
                <c:pt idx="12">
                  <c:v>Non-Recurring Grant Revenue</c:v>
                </c:pt>
                <c:pt idx="13">
                  <c:v>Salary/Payroll + Benefits &amp; Training</c:v>
                </c:pt>
                <c:pt idx="14">
                  <c:v>Power Supply Costs</c:v>
                </c:pt>
                <c:pt idx="15">
                  <c:v>Transmission Costs</c:v>
                </c:pt>
              </c:strCache>
            </c:strRef>
          </c:cat>
          <c:val>
            <c:numRef>
              <c:f>'S1A Chart of Major Items'!$B$32:$B$47</c:f>
              <c:numCache>
                <c:formatCode>0.00%</c:formatCode>
                <c:ptCount val="16"/>
                <c:pt idx="0">
                  <c:v>-1.0233661016882685</c:v>
                </c:pt>
                <c:pt idx="1">
                  <c:v>-0.48426193744884383</c:v>
                </c:pt>
                <c:pt idx="2">
                  <c:v>-0.17182954338275791</c:v>
                </c:pt>
                <c:pt idx="3">
                  <c:v>-6.6917336033124303E-2</c:v>
                </c:pt>
                <c:pt idx="4">
                  <c:v>2.1043079171239053E-2</c:v>
                </c:pt>
                <c:pt idx="5">
                  <c:v>3.7145750815471626E-2</c:v>
                </c:pt>
                <c:pt idx="6">
                  <c:v>3.7612789592910652E-2</c:v>
                </c:pt>
                <c:pt idx="7">
                  <c:v>5.5823352283073974E-2</c:v>
                </c:pt>
                <c:pt idx="8">
                  <c:v>0.10018773341789469</c:v>
                </c:pt>
                <c:pt idx="9">
                  <c:v>0.13339905256416537</c:v>
                </c:pt>
                <c:pt idx="10">
                  <c:v>0.1456557602178522</c:v>
                </c:pt>
                <c:pt idx="11">
                  <c:v>0.20356154137016405</c:v>
                </c:pt>
                <c:pt idx="12">
                  <c:v>0.30109899974020815</c:v>
                </c:pt>
                <c:pt idx="13">
                  <c:v>0.42640902134745606</c:v>
                </c:pt>
                <c:pt idx="14">
                  <c:v>0.43869142380624371</c:v>
                </c:pt>
                <c:pt idx="15">
                  <c:v>0.8457464142263148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69FF-4962-ADE5-7E94B333CBC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overlap val="-15"/>
        <c:axId val="1370332079"/>
        <c:axId val="1407686127"/>
        <c:extLst>
          <c:ext xmlns:c15="http://schemas.microsoft.com/office/drawing/2012/chart" uri="{02D57815-91ED-43cb-92C2-25804820EDAC}">
            <c15:filteredBarSeries>
              <c15:ser>
                <c:idx val="2"/>
                <c:order val="1"/>
                <c:tx>
                  <c:strRef>
                    <c:extLst>
                      <c:ext uri="{02D57815-91ED-43cb-92C2-25804820EDAC}">
                        <c15:formulaRef>
                          <c15:sqref>'S1A Chart of Major Items'!$C$31</c15:sqref>
                        </c15:formulaRef>
                      </c:ext>
                    </c:extLst>
                    <c:strCache>
                      <c:ptCount val="1"/>
                      <c:pt idx="0">
                        <c:v>Amount</c:v>
                      </c:pt>
                    </c:strCache>
                  </c:strRef>
                </c:tx>
                <c:spPr>
                  <a:solidFill>
                    <a:schemeClr val="accent1">
                      <a:shade val="65000"/>
                    </a:schemeClr>
                  </a:solidFill>
                  <a:ln>
                    <a:noFill/>
                  </a:ln>
                  <a:effectLst/>
                </c:spPr>
                <c:invertIfNegative val="0"/>
                <c:cat>
                  <c:strRef>
                    <c:extLst>
                      <c:ext uri="{02D57815-91ED-43cb-92C2-25804820EDAC}">
                        <c15:formulaRef>
                          <c15:sqref>'S1A Chart of Major Items'!$A$32:$A$47</c15:sqref>
                        </c15:formulaRef>
                      </c:ext>
                    </c:extLst>
                    <c:strCache>
                      <c:ptCount val="16"/>
                      <c:pt idx="0">
                        <c:v>Net Revenue Increases</c:v>
                      </c:pt>
                      <c:pt idx="1">
                        <c:v>Property Tax</c:v>
                      </c:pt>
                      <c:pt idx="2">
                        <c:v>VELCO Dividend Income</c:v>
                      </c:pt>
                      <c:pt idx="3">
                        <c:v>Maint/ Ops Storm Costs</c:v>
                      </c:pt>
                      <c:pt idx="4">
                        <c:v>Gross Revenue Taxes</c:v>
                      </c:pt>
                      <c:pt idx="5">
                        <c:v>Financial Services </c:v>
                      </c:pt>
                      <c:pt idx="6">
                        <c:v>Asset Inspection &amp; Pole Testing</c:v>
                      </c:pt>
                      <c:pt idx="7">
                        <c:v>Transportation Costs</c:v>
                      </c:pt>
                      <c:pt idx="8">
                        <c:v>Software, IT &amp; Communication Costs </c:v>
                      </c:pt>
                      <c:pt idx="9">
                        <c:v>Depreciation</c:v>
                      </c:pt>
                      <c:pt idx="10">
                        <c:v>Vegetative Maintenance</c:v>
                      </c:pt>
                      <c:pt idx="11">
                        <c:v>Interest Expense</c:v>
                      </c:pt>
                      <c:pt idx="12">
                        <c:v>Non-Recurring Grant Revenue</c:v>
                      </c:pt>
                      <c:pt idx="13">
                        <c:v>Salary/Payroll + Benefits &amp; Training</c:v>
                      </c:pt>
                      <c:pt idx="14">
                        <c:v>Power Supply Costs</c:v>
                      </c:pt>
                      <c:pt idx="15">
                        <c:v>Transmission Costs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'S1A Chart of Major Items'!$C$32:$C$47</c15:sqref>
                        </c15:formulaRef>
                      </c:ext>
                    </c:extLst>
                    <c:numCache>
                      <c:formatCode>#,##0_);\(#,##0\)</c:formatCode>
                      <c:ptCount val="16"/>
                      <c:pt idx="0">
                        <c:v>-3069843.400000005</c:v>
                      </c:pt>
                      <c:pt idx="1">
                        <c:v>-1452665.1900000006</c:v>
                      </c:pt>
                      <c:pt idx="2">
                        <c:v>-515445.82999999996</c:v>
                      </c:pt>
                      <c:pt idx="3">
                        <c:v>-200735.34</c:v>
                      </c:pt>
                      <c:pt idx="4" formatCode="#,##0_);[Red]\(#,##0\)">
                        <c:v>63123.995999999934</c:v>
                      </c:pt>
                      <c:pt idx="5" formatCode="#,##0_);[Red]\(#,##0\)">
                        <c:v>111428</c:v>
                      </c:pt>
                      <c:pt idx="6" formatCode="#,##0_);[Red]\(#,##0\)">
                        <c:v>112829</c:v>
                      </c:pt>
                      <c:pt idx="7" formatCode="#,##0_);[Red]\(#,##0\)">
                        <c:v>167456.15209391722</c:v>
                      </c:pt>
                      <c:pt idx="8" formatCode="#,##0_);[Red]\(#,##0\)">
                        <c:v>300538.24500000023</c:v>
                      </c:pt>
                      <c:pt idx="9" formatCode="#,##0_);[Red]\(#,##0\)">
                        <c:v>400163.9299999997</c:v>
                      </c:pt>
                      <c:pt idx="10" formatCode="#,##0_);[Red]\(#,##0\)">
                        <c:v>436931</c:v>
                      </c:pt>
                      <c:pt idx="11" formatCode="#,##0_);[Red]\(#,##0\)">
                        <c:v>610633.92000000004</c:v>
                      </c:pt>
                      <c:pt idx="12" formatCode="#,##0_);[Red]\(#,##0\)">
                        <c:v>903222</c:v>
                      </c:pt>
                      <c:pt idx="13" formatCode="#,##0_);[Red]\(#,##0\)">
                        <c:v>1279120.8519848858</c:v>
                      </c:pt>
                      <c:pt idx="14">
                        <c:v>1315965</c:v>
                      </c:pt>
                      <c:pt idx="15" formatCode="#,##0_);[Red]\(#,##0\)">
                        <c:v>2537028.5799999996</c:v>
                      </c:pt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B-69FF-4962-ADE5-7E94B333CBCD}"/>
                  </c:ext>
                </c:extLst>
              </c15:ser>
            </c15:filteredBarSeries>
          </c:ext>
        </c:extLst>
      </c:barChart>
      <c:catAx>
        <c:axId val="1370332079"/>
        <c:scaling>
          <c:orientation val="minMax"/>
        </c:scaling>
        <c:delete val="0"/>
        <c:axPos val="b"/>
        <c:majorGridlines>
          <c:spPr>
            <a:ln w="22225" cap="flat" cmpd="sng" algn="ctr">
              <a:solidFill>
                <a:schemeClr val="tx1">
                  <a:alpha val="18000"/>
                </a:schemeClr>
              </a:solidFill>
              <a:prstDash val="solid"/>
              <a:round/>
            </a:ln>
            <a:effectLst/>
          </c:spPr>
        </c:majorGridlines>
        <c:numFmt formatCode="0.00%" sourceLinked="0"/>
        <c:majorTickMark val="none"/>
        <c:minorTickMark val="none"/>
        <c:tickLblPos val="low"/>
        <c:spPr>
          <a:noFill/>
          <a:ln w="3175" cap="flat" cmpd="sng" algn="ctr">
            <a:solidFill>
              <a:schemeClr val="accent1">
                <a:lumMod val="60000"/>
                <a:lumOff val="40000"/>
              </a:schemeClr>
            </a:solidFill>
            <a:prstDash val="solid"/>
            <a:round/>
          </a:ln>
          <a:effectLst/>
        </c:spPr>
        <c:txPr>
          <a:bodyPr rot="-360000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407686127"/>
        <c:crosses val="autoZero"/>
        <c:auto val="1"/>
        <c:lblAlgn val="ctr"/>
        <c:lblOffset val="50"/>
        <c:noMultiLvlLbl val="0"/>
      </c:catAx>
      <c:valAx>
        <c:axId val="1407686127"/>
        <c:scaling>
          <c:orientation val="minMax"/>
          <c:max val="0.55000000000000004"/>
          <c:min val="-0.45"/>
        </c:scaling>
        <c:delete val="0"/>
        <c:axPos val="l"/>
        <c:numFmt formatCode="0.00%" sourceLinked="1"/>
        <c:majorTickMark val="none"/>
        <c:minorTickMark val="none"/>
        <c:tickLblPos val="nextTo"/>
        <c:spPr>
          <a:noFill/>
          <a:ln w="9525" cap="flat" cmpd="sng" algn="ctr">
            <a:noFill/>
            <a:prstDash val="solid"/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000" b="0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370332079"/>
        <c:crosses val="autoZero"/>
        <c:crossBetween val="between"/>
      </c:valAx>
      <c:spPr>
        <a:noFill/>
        <a:ln w="19050">
          <a:solidFill>
            <a:schemeClr val="tx1"/>
          </a:solidFill>
        </a:ln>
        <a:effectLst/>
      </c:spPr>
    </c:plotArea>
    <c:plotVisOnly val="1"/>
    <c:dispBlanksAs val="gap"/>
    <c:showDLblsOverMax val="0"/>
    <c:extLst/>
  </c:chart>
  <c:spPr>
    <a:solidFill>
      <a:schemeClr val="bg1">
        <a:lumMod val="85000"/>
      </a:schemeClr>
    </a:solidFill>
    <a:ln w="31750" cap="flat" cmpd="sng" algn="ctr">
      <a:solidFill>
        <a:schemeClr val="tx1"/>
      </a:solidFill>
      <a:prstDash val="solid"/>
      <a:round/>
    </a:ln>
    <a:effectLst/>
  </c:spPr>
  <c:txPr>
    <a:bodyPr rot="0" vert="horz"/>
    <a:lstStyle/>
    <a:p>
      <a:pPr>
        <a:defRPr>
          <a:solidFill>
            <a:sysClr val="windowText" lastClr="000000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1">
  <a:schemeClr val="accent1"/>
</cs:colorStyle>
</file>

<file path=xl/charts/style1.xml><?xml version="1.0" encoding="utf-8"?>
<cs:chartStyle xmlns:cs="http://schemas.microsoft.com/office/drawing/2012/chartStyle" xmlns:a="http://schemas.openxmlformats.org/drawingml/2006/main" id="102">
  <cs:axisTitle>
    <cs:lnRef idx="0"/>
    <cs:fillRef idx="0"/>
    <cs:effectRef idx="0"/>
    <cs:fontRef idx="minor">
      <a:schemeClr val="tx1"/>
    </cs:fontRef>
    <cs:defRPr sz="1000" b="1" kern="1200"/>
  </cs:axisTitle>
  <cs:category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categoryAxis>
  <cs:chartArea mods="allowNoFillOverride allowNoLineOverride">
    <cs:lnRef idx="1">
      <a:schemeClr val="tx1">
        <a:tint val="75000"/>
      </a:schemeClr>
    </cs:lnRef>
    <cs:fillRef idx="1">
      <a:schemeClr val="bg1"/>
    </cs:fillRef>
    <cs:effectRef idx="0"/>
    <cs:fontRef idx="minor">
      <a:schemeClr val="tx1"/>
    </cs:fontRef>
    <cs:spPr>
      <a:ln>
        <a:round/>
      </a:ln>
    </cs:spPr>
    <cs:defRPr sz="1000" kern="1200"/>
  </cs:chartArea>
  <cs:dataLabel>
    <cs:lnRef idx="0"/>
    <cs:fillRef idx="0"/>
    <cs:effectRef idx="0"/>
    <cs:fontRef idx="minor">
      <a:schemeClr val="tx1"/>
    </cs:fontRef>
    <cs:defRPr sz="1000" kern="1200"/>
  </cs:dataLabel>
  <cs:dataLabelCallout>
    <cs:lnRef idx="0"/>
    <cs:fillRef idx="0"/>
    <cs:effectRef idx="0"/>
    <cs:fontRef idx="minor">
      <a:schemeClr val="dk1"/>
    </cs:fontRef>
    <cs:spPr>
      <a:solidFill>
        <a:schemeClr val="lt1"/>
      </a:solidFill>
      <a:ln>
        <a:solidFill>
          <a:schemeClr val="dk1">
            <a:lumMod val="65000"/>
            <a:lumOff val="35000"/>
          </a:schemeClr>
        </a:solidFill>
      </a:ln>
    </cs:spPr>
    <cs:defRPr sz="1000" kern="1200"/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1">
      <cs:styleClr val="auto"/>
    </cs:lnRef>
    <cs:lineWidthScale>3</cs:lineWidthScale>
    <cs:fillRef idx="0"/>
    <cs:effectRef idx="0"/>
    <cs:fontRef idx="minor">
      <a:schemeClr val="tx1"/>
    </cs:fontRef>
    <cs:spPr>
      <a:ln cap="rnd">
        <a:round/>
      </a:ln>
    </cs:spPr>
  </cs:dataPointLine>
  <cs:dataPointMarker>
    <cs:lnRef idx="1">
      <cs:styleClr val="auto"/>
    </cs:lnRef>
    <cs:fillRef idx="1">
      <cs:styleClr val="auto"/>
    </cs:fillRef>
    <cs:effectRef idx="0"/>
    <cs:fontRef idx="minor">
      <a:schemeClr val="tx1"/>
    </cs:fontRef>
    <cs:spPr>
      <a:ln>
        <a:round/>
      </a:ln>
    </cs:spPr>
  </cs:dataPointMarker>
  <cs:dataPointMarkerLayout/>
  <cs:dataPointWireframe>
    <cs:lnRef idx="1">
      <cs:styleClr val="auto"/>
    </cs:lnRef>
    <cs:fillRef idx="0"/>
    <cs:effectRef idx="0"/>
    <cs:fontRef idx="minor">
      <a:schemeClr val="tx1"/>
    </cs:fontRef>
    <cs:spPr>
      <a:ln>
        <a:round/>
      </a:ln>
    </cs:spPr>
  </cs:dataPointWireframe>
  <cs:dataTable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dataTable>
  <cs:downBar>
    <cs:lnRef idx="1">
      <a:schemeClr val="tx1"/>
    </cs:lnRef>
    <cs:fillRef idx="1">
      <a:schemeClr val="dk1">
        <a:tint val="95000"/>
      </a:schemeClr>
    </cs:fillRef>
    <cs:effectRef idx="0"/>
    <cs:fontRef idx="minor">
      <a:schemeClr val="tx1"/>
    </cs:fontRef>
    <cs:spPr>
      <a:ln>
        <a:round/>
      </a:ln>
    </cs:spPr>
  </cs:downBar>
  <cs:drop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dropLine>
  <cs:errorBar>
    <cs:lnRef idx="1">
      <a:schemeClr val="tx1"/>
    </cs:lnRef>
    <cs:fillRef idx="1">
      <a:schemeClr val="tx1"/>
    </cs:fillRef>
    <cs:effectRef idx="0"/>
    <cs:fontRef idx="minor">
      <a:schemeClr val="tx1"/>
    </cs:fontRef>
    <cs:spPr>
      <a:ln>
        <a:round/>
      </a:ln>
    </cs:spPr>
  </cs:errorBar>
  <cs:flo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floor>
  <cs:gridlineMajor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</cs:gridlineMajor>
  <cs:gridlineMinor>
    <cs:lnRef idx="1">
      <a:schemeClr val="tx1">
        <a:tint val="50000"/>
      </a:schemeClr>
    </cs:lnRef>
    <cs:fillRef idx="0"/>
    <cs:effectRef idx="0"/>
    <cs:fontRef idx="minor">
      <a:schemeClr val="tx1"/>
    </cs:fontRef>
    <cs:spPr>
      <a:ln>
        <a:round/>
      </a:ln>
    </cs:spPr>
  </cs:gridlineMinor>
  <cs:hiLo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hiLoLine>
  <cs:leader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leaderLine>
  <cs:legend>
    <cs:lnRef idx="0"/>
    <cs:fillRef idx="0"/>
    <cs:effectRef idx="0"/>
    <cs:fontRef idx="minor">
      <a:schemeClr val="tx1"/>
    </cs:fontRef>
    <cs:defRPr sz="1000" kern="1200"/>
  </cs:legend>
  <cs:plotArea mods="allowNoFillOverride allowNoLineOverride">
    <cs:lnRef idx="0"/>
    <cs:fillRef idx="1">
      <a:schemeClr val="bg1"/>
    </cs:fillRef>
    <cs:effectRef idx="0"/>
    <cs:fontRef idx="minor">
      <a:schemeClr val="tx1"/>
    </cs:fontRef>
  </cs:plotArea>
  <cs:plotArea3D>
    <cs:lnRef idx="0"/>
    <cs:fillRef idx="0"/>
    <cs:effectRef idx="0"/>
    <cs:fontRef idx="minor">
      <a:schemeClr val="tx1"/>
    </cs:fontRef>
  </cs:plotArea3D>
  <cs:series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seriesAxis>
  <cs:seriesLine>
    <cs:lnRef idx="1">
      <a:schemeClr val="tx1"/>
    </cs:lnRef>
    <cs:fillRef idx="0"/>
    <cs:effectRef idx="0"/>
    <cs:fontRef idx="minor">
      <a:schemeClr val="tx1"/>
    </cs:fontRef>
    <cs:spPr>
      <a:ln>
        <a:round/>
      </a:ln>
    </cs:spPr>
  </cs:seriesLine>
  <cs:title>
    <cs:lnRef idx="0"/>
    <cs:fillRef idx="0"/>
    <cs:effectRef idx="0"/>
    <cs:fontRef idx="minor">
      <a:schemeClr val="tx1"/>
    </cs:fontRef>
    <cs:defRPr sz="1800" b="1" kern="1200"/>
  </cs:title>
  <cs:trendline>
    <cs:lnRef idx="1">
      <a:schemeClr val="tx1"/>
    </cs:lnRef>
    <cs:fillRef idx="0"/>
    <cs:effectRef idx="0"/>
    <cs:fontRef idx="minor">
      <a:schemeClr val="tx1"/>
    </cs:fontRef>
    <cs:spPr>
      <a:ln cap="rnd">
        <a:round/>
      </a:ln>
    </cs:spPr>
  </cs:trendline>
  <cs:trendlineLabel>
    <cs:lnRef idx="0"/>
    <cs:fillRef idx="0"/>
    <cs:effectRef idx="0"/>
    <cs:fontRef idx="minor">
      <a:schemeClr val="tx1"/>
    </cs:fontRef>
    <cs:defRPr sz="1000" kern="1200"/>
  </cs:trendlineLabel>
  <cs:upBar>
    <cs:lnRef idx="1">
      <a:schemeClr val="tx1"/>
    </cs:lnRef>
    <cs:fillRef idx="1">
      <a:schemeClr val="dk1">
        <a:tint val="5000"/>
      </a:schemeClr>
    </cs:fillRef>
    <cs:effectRef idx="0"/>
    <cs:fontRef idx="minor">
      <a:schemeClr val="tx1"/>
    </cs:fontRef>
    <cs:spPr>
      <a:ln>
        <a:round/>
      </a:ln>
    </cs:spPr>
  </cs:upBar>
  <cs:valueAxis>
    <cs:lnRef idx="1">
      <a:schemeClr val="tx1">
        <a:tint val="75000"/>
      </a:schemeClr>
    </cs:lnRef>
    <cs:fillRef idx="0"/>
    <cs:effectRef idx="0"/>
    <cs:fontRef idx="minor">
      <a:schemeClr val="tx1"/>
    </cs:fontRef>
    <cs:spPr>
      <a:ln>
        <a:round/>
      </a:ln>
    </cs:spPr>
    <cs:defRPr sz="1000" kern="1200"/>
  </cs:valueAxis>
  <cs:wall>
    <cs:lnRef idx="0"/>
    <cs:fillRef idx="0"/>
    <cs:effectRef idx="0"/>
    <cs:fontRef idx="minor">
      <a:schemeClr val="tx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514353</xdr:colOff>
      <xdr:row>4</xdr:row>
      <xdr:rowOff>19058</xdr:rowOff>
    </xdr:from>
    <xdr:to>
      <xdr:col>6</xdr:col>
      <xdr:colOff>723900</xdr:colOff>
      <xdr:row>24</xdr:row>
      <xdr:rowOff>47625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1CA2903B-C571-4803-AA09-217B0D7163B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Slipstream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78"/>
  <sheetViews>
    <sheetView showGridLines="0" tabSelected="1" topLeftCell="A22" zoomScale="80" zoomScaleNormal="80" workbookViewId="0">
      <selection activeCell="J36" sqref="J36"/>
    </sheetView>
  </sheetViews>
  <sheetFormatPr defaultColWidth="8" defaultRowHeight="13.2" x14ac:dyDescent="0.25"/>
  <cols>
    <col min="1" max="1" width="4.1796875" style="43" customWidth="1"/>
    <col min="2" max="2" width="50.08984375" style="43" customWidth="1"/>
    <col min="3" max="3" width="14.453125" style="43" bestFit="1" customWidth="1"/>
    <col min="4" max="4" width="12.54296875" style="43" customWidth="1"/>
    <col min="5" max="5" width="13.36328125" style="43" customWidth="1"/>
    <col min="6" max="6" width="11.81640625" style="43" bestFit="1" customWidth="1"/>
    <col min="7" max="7" width="4.54296875" style="43" customWidth="1"/>
    <col min="8" max="8" width="10.6328125" style="43" bestFit="1" customWidth="1"/>
    <col min="9" max="9" width="20.6328125" style="43" bestFit="1" customWidth="1"/>
    <col min="10" max="10" width="10.6328125" style="43" customWidth="1"/>
    <col min="11" max="11" width="19.36328125" style="43" bestFit="1" customWidth="1"/>
    <col min="12" max="12" width="16.36328125" style="43" customWidth="1"/>
    <col min="13" max="13" width="30.81640625" style="43" bestFit="1" customWidth="1"/>
    <col min="14" max="14" width="21.90625" style="43" bestFit="1" customWidth="1"/>
    <col min="15" max="15" width="14.90625" style="43" bestFit="1" customWidth="1"/>
    <col min="16" max="16" width="9.1796875" style="43" bestFit="1" customWidth="1"/>
    <col min="17" max="16384" width="8" style="43"/>
  </cols>
  <sheetData>
    <row r="1" spans="1:16" x14ac:dyDescent="0.25">
      <c r="A1" s="83" t="s">
        <v>82</v>
      </c>
      <c r="C1" s="45" t="s">
        <v>81</v>
      </c>
    </row>
    <row r="2" spans="1:16" ht="21.75" customHeight="1" x14ac:dyDescent="0.25">
      <c r="A2" s="83" t="s">
        <v>45</v>
      </c>
    </row>
    <row r="3" spans="1:16" ht="21.75" customHeight="1" x14ac:dyDescent="0.3">
      <c r="A3" s="45" t="s">
        <v>21</v>
      </c>
      <c r="C3" s="139" t="s">
        <v>77</v>
      </c>
      <c r="D3" s="140"/>
      <c r="E3" s="140"/>
      <c r="F3" s="141"/>
      <c r="L3" s="135"/>
      <c r="M3" s="135"/>
      <c r="N3" s="135"/>
    </row>
    <row r="4" spans="1:16" ht="21.75" customHeight="1" x14ac:dyDescent="0.3">
      <c r="A4" s="64"/>
      <c r="B4" s="64"/>
      <c r="C4" s="68" t="s">
        <v>46</v>
      </c>
      <c r="D4" s="68" t="s">
        <v>24</v>
      </c>
      <c r="E4" s="68" t="s">
        <v>29</v>
      </c>
      <c r="F4" s="68"/>
      <c r="G4" s="68"/>
      <c r="K4" s="135"/>
      <c r="L4" s="136"/>
      <c r="M4" s="136"/>
      <c r="N4" s="136"/>
      <c r="O4" s="54"/>
      <c r="P4" s="54"/>
    </row>
    <row r="5" spans="1:16" ht="21.75" customHeight="1" x14ac:dyDescent="0.3">
      <c r="A5" s="69" t="s">
        <v>54</v>
      </c>
      <c r="B5" s="72" t="s">
        <v>55</v>
      </c>
      <c r="C5" s="69" t="s">
        <v>100</v>
      </c>
      <c r="D5" s="69" t="s">
        <v>25</v>
      </c>
      <c r="E5" s="69">
        <v>2026</v>
      </c>
      <c r="F5" s="69"/>
      <c r="G5" s="69"/>
      <c r="K5" s="135"/>
      <c r="L5" s="136"/>
      <c r="M5" s="136"/>
      <c r="N5" s="136"/>
      <c r="O5" s="54"/>
      <c r="P5" s="54"/>
    </row>
    <row r="6" spans="1:16" ht="21.75" customHeight="1" x14ac:dyDescent="0.3">
      <c r="A6" s="64">
        <v>1</v>
      </c>
      <c r="B6" s="43" t="s">
        <v>63</v>
      </c>
      <c r="C6" s="54">
        <v>41664892.57</v>
      </c>
      <c r="D6" s="54">
        <v>1315965</v>
      </c>
      <c r="E6" s="54">
        <f>+C6+D6</f>
        <v>42980857.57</v>
      </c>
      <c r="F6" s="64"/>
      <c r="G6" s="70"/>
      <c r="H6" s="134"/>
      <c r="I6" s="134"/>
      <c r="J6" s="134"/>
      <c r="K6" s="135"/>
      <c r="L6" s="136"/>
      <c r="M6" s="136"/>
      <c r="N6" s="136"/>
      <c r="O6" s="54"/>
      <c r="P6" s="54"/>
    </row>
    <row r="7" spans="1:16" ht="21.75" customHeight="1" x14ac:dyDescent="0.3">
      <c r="A7" s="64">
        <f t="shared" ref="A7:A41" si="0">A6+1</f>
        <v>2</v>
      </c>
      <c r="B7" s="54" t="s">
        <v>60</v>
      </c>
      <c r="C7" s="54">
        <v>16985781.640000001</v>
      </c>
      <c r="D7" s="54">
        <v>2488886.6505725854</v>
      </c>
      <c r="E7" s="54">
        <f>C7+D7</f>
        <v>19474668.290572587</v>
      </c>
      <c r="F7" s="64"/>
      <c r="G7" s="70"/>
      <c r="H7" s="134"/>
      <c r="I7" s="134"/>
      <c r="J7" s="134"/>
      <c r="K7" s="135"/>
      <c r="L7" s="136"/>
      <c r="M7" s="136"/>
      <c r="N7" s="136"/>
      <c r="O7" s="54"/>
      <c r="P7" s="54"/>
    </row>
    <row r="8" spans="1:16" ht="21.75" customHeight="1" x14ac:dyDescent="0.3">
      <c r="A8" s="64">
        <f t="shared" si="0"/>
        <v>3</v>
      </c>
      <c r="B8" s="43" t="s">
        <v>4</v>
      </c>
      <c r="C8" s="54">
        <v>9934565.5899999999</v>
      </c>
      <c r="D8" s="54">
        <v>-693102.28929283074</v>
      </c>
      <c r="E8" s="54">
        <f>C8+D8</f>
        <v>9241463.3007071689</v>
      </c>
      <c r="F8" s="64"/>
      <c r="G8" s="70"/>
      <c r="H8" s="134"/>
      <c r="I8" s="134"/>
      <c r="J8" s="134"/>
      <c r="K8" s="135"/>
      <c r="L8" s="136"/>
      <c r="M8" s="136"/>
      <c r="N8" s="136"/>
      <c r="O8" s="54"/>
      <c r="P8" s="54"/>
    </row>
    <row r="9" spans="1:16" ht="21.75" customHeight="1" x14ac:dyDescent="0.3">
      <c r="A9" s="64">
        <f t="shared" si="0"/>
        <v>4</v>
      </c>
      <c r="B9" s="43" t="s">
        <v>5</v>
      </c>
      <c r="C9" s="54">
        <v>10372036.640000001</v>
      </c>
      <c r="D9" s="54">
        <v>1601825.4650585633</v>
      </c>
      <c r="E9" s="54">
        <f>C9+D9</f>
        <v>11973862.105058564</v>
      </c>
      <c r="F9" s="64"/>
      <c r="G9" s="70"/>
      <c r="K9" s="135"/>
      <c r="L9" s="136"/>
      <c r="M9" s="136"/>
      <c r="N9" s="136"/>
      <c r="O9" s="54"/>
      <c r="P9" s="54"/>
    </row>
    <row r="10" spans="1:16" ht="21.75" customHeight="1" x14ac:dyDescent="0.3">
      <c r="A10" s="64">
        <f t="shared" si="0"/>
        <v>5</v>
      </c>
      <c r="B10" s="50" t="s">
        <v>6</v>
      </c>
      <c r="C10" s="54">
        <v>3343981.26</v>
      </c>
      <c r="D10" s="54">
        <v>264056.56021215359</v>
      </c>
      <c r="E10" s="54">
        <f>C10+D10</f>
        <v>3608037.8202121533</v>
      </c>
      <c r="F10" s="64"/>
      <c r="G10" s="70"/>
      <c r="H10" s="134"/>
      <c r="I10" s="134"/>
      <c r="J10" s="134"/>
      <c r="K10" s="135"/>
      <c r="L10" s="136"/>
      <c r="M10" s="136"/>
      <c r="N10" s="136"/>
      <c r="O10" s="54"/>
      <c r="P10" s="54"/>
    </row>
    <row r="11" spans="1:16" ht="21.75" customHeight="1" x14ac:dyDescent="0.3">
      <c r="A11" s="64">
        <f t="shared" si="0"/>
        <v>6</v>
      </c>
      <c r="B11" s="50" t="s">
        <v>61</v>
      </c>
      <c r="C11" s="54">
        <v>5412847.7800000012</v>
      </c>
      <c r="D11" s="54">
        <v>531362.40884301485</v>
      </c>
      <c r="E11" s="54">
        <f>C11+D11</f>
        <v>5944210.1888430156</v>
      </c>
      <c r="F11" s="64"/>
      <c r="G11" s="64"/>
      <c r="H11" s="134"/>
      <c r="I11" s="134"/>
      <c r="J11" s="134"/>
      <c r="K11" s="135"/>
      <c r="L11" s="136"/>
      <c r="M11" s="136"/>
      <c r="N11" s="136"/>
      <c r="O11" s="54"/>
      <c r="P11" s="54"/>
    </row>
    <row r="12" spans="1:16" ht="21.75" customHeight="1" x14ac:dyDescent="0.3">
      <c r="A12" s="64">
        <f t="shared" si="0"/>
        <v>7</v>
      </c>
      <c r="B12" s="86"/>
      <c r="C12" s="86"/>
      <c r="D12" s="86"/>
      <c r="E12" s="86"/>
      <c r="F12" s="64"/>
      <c r="G12" s="64"/>
      <c r="K12" s="135"/>
      <c r="L12" s="136"/>
      <c r="M12" s="136"/>
      <c r="N12" s="136"/>
      <c r="O12" s="54"/>
      <c r="P12" s="54"/>
    </row>
    <row r="13" spans="1:16" ht="21.75" customHeight="1" x14ac:dyDescent="0.3">
      <c r="A13" s="64">
        <f t="shared" si="0"/>
        <v>8</v>
      </c>
      <c r="B13" s="50" t="s">
        <v>8</v>
      </c>
      <c r="C13" s="54">
        <f>SUM(C6:C11)</f>
        <v>87714105.480000004</v>
      </c>
      <c r="D13" s="54">
        <f>SUM(D6:D11)</f>
        <v>5508993.7953934874</v>
      </c>
      <c r="E13" s="54">
        <f>SUM(E6:E11)</f>
        <v>93223099.275393501</v>
      </c>
      <c r="F13" s="87"/>
      <c r="G13" s="87"/>
      <c r="H13" s="54"/>
      <c r="I13" s="54"/>
      <c r="J13" s="54"/>
      <c r="K13" s="135"/>
      <c r="L13" s="136"/>
      <c r="M13" s="136"/>
      <c r="N13" s="136"/>
      <c r="O13" s="54"/>
      <c r="P13" s="54"/>
    </row>
    <row r="14" spans="1:16" ht="21.75" customHeight="1" x14ac:dyDescent="0.25">
      <c r="A14" s="64">
        <f t="shared" si="0"/>
        <v>9</v>
      </c>
      <c r="B14" s="50"/>
      <c r="C14" s="50"/>
      <c r="D14" s="50"/>
      <c r="F14" s="64"/>
      <c r="G14" s="64"/>
      <c r="L14" s="134"/>
      <c r="M14" s="134"/>
      <c r="N14" s="134"/>
      <c r="O14" s="134"/>
      <c r="P14" s="54"/>
    </row>
    <row r="15" spans="1:16" ht="21.75" customHeight="1" x14ac:dyDescent="0.25">
      <c r="A15" s="64">
        <f t="shared" si="0"/>
        <v>10</v>
      </c>
      <c r="B15" s="50" t="s">
        <v>9</v>
      </c>
      <c r="C15" s="54">
        <v>6756201.0700000003</v>
      </c>
      <c r="D15" s="54">
        <v>400163.9299999997</v>
      </c>
      <c r="E15" s="54">
        <f t="shared" ref="E15:E20" si="1">C15+D15</f>
        <v>7156365</v>
      </c>
      <c r="F15" s="64"/>
      <c r="G15" s="64"/>
      <c r="H15" s="134"/>
      <c r="O15" s="134"/>
      <c r="P15" s="54"/>
    </row>
    <row r="16" spans="1:16" ht="21.75" customHeight="1" x14ac:dyDescent="0.25">
      <c r="A16" s="64">
        <f t="shared" si="0"/>
        <v>11</v>
      </c>
      <c r="B16" s="43" t="s">
        <v>65</v>
      </c>
      <c r="C16" s="54">
        <v>0</v>
      </c>
      <c r="D16" s="54">
        <v>0</v>
      </c>
      <c r="E16" s="54">
        <f t="shared" si="1"/>
        <v>0</v>
      </c>
      <c r="F16" s="64"/>
      <c r="G16" s="64"/>
      <c r="N16" s="137"/>
    </row>
    <row r="17" spans="1:14" ht="21.75" customHeight="1" x14ac:dyDescent="0.25">
      <c r="A17" s="64">
        <f t="shared" si="0"/>
        <v>12</v>
      </c>
      <c r="B17" s="43" t="s">
        <v>79</v>
      </c>
      <c r="C17" s="54">
        <v>486137.12</v>
      </c>
      <c r="D17" s="54">
        <v>-486137.12</v>
      </c>
      <c r="E17" s="54">
        <f t="shared" si="1"/>
        <v>0</v>
      </c>
      <c r="F17" s="64"/>
      <c r="G17" s="64"/>
      <c r="H17" s="134"/>
      <c r="N17" s="137"/>
    </row>
    <row r="18" spans="1:14" ht="21.75" customHeight="1" x14ac:dyDescent="0.25">
      <c r="A18" s="64">
        <f t="shared" si="0"/>
        <v>13</v>
      </c>
      <c r="B18" s="43" t="s">
        <v>10</v>
      </c>
      <c r="C18" s="54">
        <v>553035.36</v>
      </c>
      <c r="D18" s="54">
        <v>-553035.36</v>
      </c>
      <c r="E18" s="54">
        <f t="shared" si="1"/>
        <v>0</v>
      </c>
      <c r="F18" s="64"/>
      <c r="G18" s="64"/>
      <c r="H18" s="134"/>
      <c r="N18" s="137"/>
    </row>
    <row r="19" spans="1:14" ht="21.75" customHeight="1" x14ac:dyDescent="0.25">
      <c r="A19" s="64">
        <f t="shared" si="0"/>
        <v>14</v>
      </c>
      <c r="B19" s="43" t="s">
        <v>3</v>
      </c>
      <c r="C19" s="54">
        <v>4582639.2299999995</v>
      </c>
      <c r="D19" s="54">
        <v>620833.18999999994</v>
      </c>
      <c r="E19" s="54">
        <f t="shared" si="1"/>
        <v>5203472.42</v>
      </c>
      <c r="F19" s="64"/>
      <c r="G19" s="64"/>
      <c r="H19" s="134"/>
      <c r="N19" s="137"/>
    </row>
    <row r="20" spans="1:14" ht="21.75" customHeight="1" x14ac:dyDescent="0.25">
      <c r="A20" s="64">
        <f t="shared" si="0"/>
        <v>15</v>
      </c>
      <c r="B20" s="43" t="s">
        <v>11</v>
      </c>
      <c r="C20" s="54">
        <v>814973.88</v>
      </c>
      <c r="D20" s="54">
        <v>-10199.269999999902</v>
      </c>
      <c r="E20" s="54">
        <f t="shared" si="1"/>
        <v>804774.6100000001</v>
      </c>
      <c r="F20" s="64"/>
      <c r="G20" s="64"/>
      <c r="N20" s="138"/>
    </row>
    <row r="21" spans="1:14" ht="21.75" customHeight="1" x14ac:dyDescent="0.25">
      <c r="A21" s="64">
        <f t="shared" si="0"/>
        <v>16</v>
      </c>
      <c r="B21" s="43" t="s">
        <v>12</v>
      </c>
      <c r="C21" s="54">
        <v>9374.1299999999992</v>
      </c>
      <c r="D21" s="54">
        <v>-1994.1299999999992</v>
      </c>
      <c r="E21" s="54">
        <v>7380</v>
      </c>
      <c r="F21" s="64"/>
      <c r="G21" s="64"/>
      <c r="H21" s="54"/>
    </row>
    <row r="22" spans="1:14" ht="21.75" customHeight="1" x14ac:dyDescent="0.25">
      <c r="A22" s="64">
        <f t="shared" si="0"/>
        <v>17</v>
      </c>
      <c r="B22" s="88"/>
      <c r="C22" s="65"/>
      <c r="D22" s="65"/>
      <c r="E22" s="65"/>
    </row>
    <row r="23" spans="1:14" ht="21.75" customHeight="1" x14ac:dyDescent="0.25">
      <c r="A23" s="64">
        <f t="shared" si="0"/>
        <v>18</v>
      </c>
      <c r="B23" s="43" t="s">
        <v>13</v>
      </c>
      <c r="C23" s="54">
        <f>SUM(C13:C22)</f>
        <v>100916466.27000001</v>
      </c>
      <c r="D23" s="54">
        <f>SUM(D13:D22)</f>
        <v>5478625.0353934867</v>
      </c>
      <c r="E23" s="54">
        <f>SUM(E13:E22)</f>
        <v>106395091.3053935</v>
      </c>
      <c r="F23" s="64"/>
      <c r="G23" s="64"/>
      <c r="H23" s="54"/>
      <c r="I23" s="54"/>
      <c r="J23" s="54"/>
    </row>
    <row r="24" spans="1:14" ht="21.75" customHeight="1" x14ac:dyDescent="0.25">
      <c r="A24" s="64">
        <f t="shared" si="0"/>
        <v>19</v>
      </c>
      <c r="C24" s="54"/>
      <c r="D24" s="54"/>
      <c r="E24" s="54"/>
      <c r="F24" s="64"/>
      <c r="G24" s="64"/>
    </row>
    <row r="25" spans="1:14" ht="21.75" customHeight="1" x14ac:dyDescent="0.25">
      <c r="A25" s="64">
        <f t="shared" si="0"/>
        <v>20</v>
      </c>
      <c r="B25" s="43" t="s">
        <v>72</v>
      </c>
      <c r="C25" s="54">
        <v>-5918186.8700000001</v>
      </c>
      <c r="D25" s="54">
        <v>-515423.45999999996</v>
      </c>
      <c r="E25" s="54">
        <f>C25+D25</f>
        <v>-6433610.3300000001</v>
      </c>
      <c r="F25" s="64"/>
      <c r="G25" s="64"/>
      <c r="H25" s="134"/>
    </row>
    <row r="26" spans="1:14" ht="21.75" customHeight="1" x14ac:dyDescent="0.25">
      <c r="A26" s="64">
        <f t="shared" si="0"/>
        <v>21</v>
      </c>
      <c r="B26" s="43" t="s">
        <v>64</v>
      </c>
      <c r="C26" s="89">
        <v>-2774328.2900000005</v>
      </c>
      <c r="D26" s="54">
        <v>-531766.55631468445</v>
      </c>
      <c r="E26" s="54">
        <f>C26+D26</f>
        <v>-3306094.846314685</v>
      </c>
      <c r="F26" s="64"/>
      <c r="G26" s="64"/>
      <c r="H26" s="134"/>
    </row>
    <row r="27" spans="1:14" ht="21.75" customHeight="1" x14ac:dyDescent="0.25">
      <c r="A27" s="64">
        <f t="shared" si="0"/>
        <v>22</v>
      </c>
      <c r="B27" s="43" t="s">
        <v>14</v>
      </c>
      <c r="C27" s="54">
        <v>-663581.42999999993</v>
      </c>
      <c r="D27" s="54">
        <v>-22.369999999995343</v>
      </c>
      <c r="E27" s="54">
        <f>C27+D27</f>
        <v>-663603.79999999993</v>
      </c>
      <c r="F27" s="64"/>
      <c r="G27" s="64"/>
    </row>
    <row r="28" spans="1:14" ht="21.75" customHeight="1" x14ac:dyDescent="0.25">
      <c r="A28" s="64">
        <f t="shared" si="0"/>
        <v>23</v>
      </c>
      <c r="B28" s="43" t="s">
        <v>78</v>
      </c>
      <c r="C28" s="54">
        <v>273022.95</v>
      </c>
      <c r="D28" s="54">
        <v>0</v>
      </c>
      <c r="E28" s="54">
        <f>C28+D28</f>
        <v>273022.95</v>
      </c>
      <c r="F28" s="64"/>
      <c r="G28" s="64"/>
    </row>
    <row r="29" spans="1:14" ht="21.75" customHeight="1" x14ac:dyDescent="0.25">
      <c r="A29" s="64">
        <f t="shared" si="0"/>
        <v>24</v>
      </c>
      <c r="B29" s="88"/>
      <c r="C29" s="65"/>
      <c r="D29" s="65"/>
      <c r="E29" s="65"/>
      <c r="F29" s="64"/>
      <c r="G29" s="64"/>
      <c r="K29" s="54"/>
    </row>
    <row r="30" spans="1:14" ht="21.75" customHeight="1" x14ac:dyDescent="0.25">
      <c r="A30" s="64">
        <f t="shared" si="0"/>
        <v>25</v>
      </c>
      <c r="B30" s="43" t="s">
        <v>2</v>
      </c>
      <c r="C30" s="54">
        <f>SUM(C23:C28)</f>
        <v>91833392.629999995</v>
      </c>
      <c r="D30" s="54">
        <f>SUM(D23:D28)</f>
        <v>4431412.6490788022</v>
      </c>
      <c r="E30" s="54">
        <f>SUM(E23:E28)</f>
        <v>96264805.279078826</v>
      </c>
      <c r="F30" s="64"/>
      <c r="G30" s="64"/>
      <c r="H30" s="54"/>
      <c r="I30" s="54"/>
    </row>
    <row r="31" spans="1:14" ht="21.75" customHeight="1" x14ac:dyDescent="0.25">
      <c r="A31" s="64">
        <f>A30+1</f>
        <v>26</v>
      </c>
      <c r="C31" s="54"/>
      <c r="D31" s="54"/>
      <c r="E31" s="54"/>
      <c r="F31" s="64"/>
      <c r="G31" s="64"/>
      <c r="I31" s="107" t="s">
        <v>112</v>
      </c>
      <c r="J31" s="108" t="s">
        <v>67</v>
      </c>
    </row>
    <row r="32" spans="1:14" ht="21.75" customHeight="1" x14ac:dyDescent="0.25">
      <c r="A32" s="64">
        <f t="shared" si="0"/>
        <v>27</v>
      </c>
      <c r="B32" s="88" t="s">
        <v>16</v>
      </c>
      <c r="C32" s="65">
        <v>98104768.629999995</v>
      </c>
      <c r="D32" s="65">
        <v>2272823.3700000048</v>
      </c>
      <c r="E32" s="65">
        <f>C32+D32</f>
        <v>100377592</v>
      </c>
      <c r="F32" s="64"/>
      <c r="G32" s="64"/>
      <c r="H32" s="134"/>
      <c r="I32" s="109" t="s">
        <v>113</v>
      </c>
      <c r="J32" s="110">
        <f>+D30+D39</f>
        <v>5535703.2550788019</v>
      </c>
    </row>
    <row r="33" spans="1:12" ht="21.75" customHeight="1" x14ac:dyDescent="0.25">
      <c r="A33" s="64">
        <f t="shared" si="0"/>
        <v>28</v>
      </c>
      <c r="B33" s="43" t="s">
        <v>19</v>
      </c>
      <c r="C33" s="54">
        <f>C32-C30</f>
        <v>6271376</v>
      </c>
      <c r="D33" s="54"/>
      <c r="E33" s="74">
        <f>E32-E30</f>
        <v>4112786.7209211737</v>
      </c>
      <c r="F33" s="64"/>
      <c r="G33" s="64"/>
      <c r="I33" s="111" t="s">
        <v>133</v>
      </c>
      <c r="J33" s="110">
        <f>+C37</f>
        <v>-873762.8900000006</v>
      </c>
    </row>
    <row r="34" spans="1:12" ht="21.75" customHeight="1" x14ac:dyDescent="0.25">
      <c r="A34" s="64">
        <f t="shared" si="0"/>
        <v>29</v>
      </c>
      <c r="C34" s="54"/>
      <c r="D34" s="54"/>
      <c r="E34" s="54"/>
      <c r="F34" s="64"/>
      <c r="G34" s="64"/>
      <c r="I34" s="109" t="s">
        <v>114</v>
      </c>
      <c r="J34" s="110">
        <f>+D19+D20</f>
        <v>610633.92000000004</v>
      </c>
    </row>
    <row r="35" spans="1:12" ht="21.75" customHeight="1" x14ac:dyDescent="0.25">
      <c r="A35" s="64">
        <f t="shared" si="0"/>
        <v>30</v>
      </c>
      <c r="B35" s="88" t="s">
        <v>80</v>
      </c>
      <c r="C35" s="65">
        <f>1*(C19+C20)</f>
        <v>5397613.1099999994</v>
      </c>
      <c r="D35" s="65"/>
      <c r="E35" s="65">
        <f>1*(E19+E20)</f>
        <v>6008247.0300000003</v>
      </c>
      <c r="F35" s="64"/>
      <c r="G35" s="87"/>
      <c r="H35" s="54"/>
      <c r="I35" s="109" t="s">
        <v>115</v>
      </c>
      <c r="J35" s="112">
        <f>-D32</f>
        <v>-2272823.3700000048</v>
      </c>
    </row>
    <row r="36" spans="1:12" ht="21.75" customHeight="1" x14ac:dyDescent="0.25">
      <c r="A36" s="64">
        <f t="shared" si="0"/>
        <v>31</v>
      </c>
      <c r="C36" s="54"/>
      <c r="D36" s="54"/>
      <c r="E36" s="54"/>
      <c r="F36" s="87"/>
      <c r="G36" s="87"/>
      <c r="I36" s="113" t="s">
        <v>112</v>
      </c>
      <c r="J36" s="114">
        <f>SUM(J32:J35)</f>
        <v>2999750.9150787964</v>
      </c>
      <c r="K36" s="115"/>
      <c r="L36" s="115"/>
    </row>
    <row r="37" spans="1:12" ht="21.75" customHeight="1" x14ac:dyDescent="0.25">
      <c r="A37" s="64">
        <f t="shared" si="0"/>
        <v>32</v>
      </c>
      <c r="B37" s="43" t="s">
        <v>0</v>
      </c>
      <c r="C37" s="54">
        <f>+C35-C33</f>
        <v>-873762.8900000006</v>
      </c>
      <c r="D37" s="54"/>
      <c r="E37" s="54">
        <f>+E35-E33</f>
        <v>1895460.3090788266</v>
      </c>
      <c r="F37" s="64"/>
      <c r="G37" s="64"/>
      <c r="K37" s="54"/>
    </row>
    <row r="38" spans="1:12" ht="21.75" customHeight="1" x14ac:dyDescent="0.25">
      <c r="A38" s="64">
        <f t="shared" si="0"/>
        <v>33</v>
      </c>
      <c r="C38" s="54"/>
      <c r="D38" s="54"/>
      <c r="E38" s="54"/>
      <c r="F38" s="64"/>
      <c r="G38" s="64"/>
      <c r="K38" s="54"/>
    </row>
    <row r="39" spans="1:12" ht="21.75" customHeight="1" thickBot="1" x14ac:dyDescent="0.3">
      <c r="A39" s="64">
        <f t="shared" si="0"/>
        <v>34</v>
      </c>
      <c r="B39" s="90" t="s">
        <v>28</v>
      </c>
      <c r="C39" s="91">
        <v>0</v>
      </c>
      <c r="D39" s="91">
        <f>+E39-C39</f>
        <v>1104290.6059999999</v>
      </c>
      <c r="E39" s="91">
        <v>1104290.6059999999</v>
      </c>
      <c r="F39" s="64"/>
      <c r="G39" s="64"/>
      <c r="H39" s="134"/>
    </row>
    <row r="40" spans="1:12" ht="21.75" customHeight="1" thickTop="1" x14ac:dyDescent="0.25">
      <c r="A40" s="64">
        <f t="shared" si="0"/>
        <v>35</v>
      </c>
      <c r="B40" s="43" t="s">
        <v>49</v>
      </c>
      <c r="C40" s="54"/>
      <c r="D40" s="54"/>
      <c r="E40" s="54">
        <f>+E37+E39</f>
        <v>2999750.9150788262</v>
      </c>
      <c r="F40" s="64"/>
      <c r="G40" s="64"/>
    </row>
    <row r="41" spans="1:12" ht="21.75" customHeight="1" x14ac:dyDescent="0.25">
      <c r="A41" s="64">
        <f t="shared" si="0"/>
        <v>36</v>
      </c>
      <c r="B41" s="43" t="s">
        <v>1</v>
      </c>
      <c r="C41" s="92"/>
      <c r="D41" s="93"/>
      <c r="E41" s="92">
        <f>+E40/E32</f>
        <v>2.9884667038823028E-2</v>
      </c>
      <c r="F41" s="64"/>
      <c r="G41" s="66"/>
    </row>
    <row r="42" spans="1:12" ht="15" x14ac:dyDescent="0.25">
      <c r="A42" s="64"/>
      <c r="B42" s="64"/>
      <c r="C42" s="64"/>
      <c r="D42" s="104"/>
      <c r="E42" s="104"/>
      <c r="F42" s="116"/>
      <c r="G42" s="64"/>
    </row>
    <row r="43" spans="1:12" ht="15" x14ac:dyDescent="0.25">
      <c r="A43" s="64"/>
      <c r="B43" s="64"/>
      <c r="C43" s="64"/>
      <c r="D43" s="64"/>
      <c r="E43" s="117"/>
      <c r="F43" s="64"/>
      <c r="G43" s="64"/>
    </row>
    <row r="44" spans="1:12" x14ac:dyDescent="0.25">
      <c r="A44" s="64"/>
      <c r="C44" s="50"/>
      <c r="D44" s="50"/>
      <c r="E44" s="50"/>
      <c r="F44" s="64"/>
      <c r="G44" s="64"/>
    </row>
    <row r="45" spans="1:12" x14ac:dyDescent="0.25">
      <c r="A45" s="64"/>
      <c r="C45" s="50"/>
      <c r="D45" s="50"/>
      <c r="E45" s="50"/>
      <c r="F45" s="116"/>
      <c r="G45" s="64"/>
    </row>
    <row r="46" spans="1:12" x14ac:dyDescent="0.25">
      <c r="A46" s="64"/>
      <c r="C46" s="50"/>
      <c r="D46" s="50"/>
      <c r="E46" s="50"/>
      <c r="F46" s="116"/>
      <c r="G46" s="64"/>
    </row>
    <row r="47" spans="1:12" x14ac:dyDescent="0.25">
      <c r="A47" s="64"/>
      <c r="C47" s="50"/>
      <c r="D47" s="50"/>
      <c r="E47" s="50"/>
      <c r="F47" s="64"/>
      <c r="G47" s="64"/>
    </row>
    <row r="48" spans="1:12" x14ac:dyDescent="0.25">
      <c r="A48" s="64"/>
      <c r="C48" s="50"/>
      <c r="D48" s="50"/>
      <c r="E48" s="50"/>
      <c r="F48" s="64"/>
      <c r="G48" s="64"/>
    </row>
    <row r="49" spans="1:7" x14ac:dyDescent="0.25">
      <c r="A49" s="64"/>
      <c r="C49" s="50"/>
      <c r="D49" s="50"/>
      <c r="E49" s="50"/>
      <c r="F49" s="64"/>
      <c r="G49" s="64"/>
    </row>
    <row r="50" spans="1:7" x14ac:dyDescent="0.25">
      <c r="A50" s="64"/>
      <c r="C50" s="50"/>
      <c r="D50" s="50"/>
      <c r="E50" s="50"/>
      <c r="F50" s="64"/>
      <c r="G50" s="64"/>
    </row>
    <row r="51" spans="1:7" x14ac:dyDescent="0.25">
      <c r="A51" s="64"/>
      <c r="C51" s="50"/>
      <c r="D51" s="50"/>
      <c r="E51" s="50"/>
      <c r="F51" s="64"/>
      <c r="G51" s="64"/>
    </row>
    <row r="52" spans="1:7" x14ac:dyDescent="0.25">
      <c r="A52" s="64"/>
      <c r="C52" s="50"/>
      <c r="D52" s="50"/>
      <c r="E52" s="50"/>
      <c r="F52" s="64"/>
      <c r="G52" s="64"/>
    </row>
    <row r="53" spans="1:7" x14ac:dyDescent="0.25">
      <c r="A53" s="64"/>
      <c r="C53" s="50"/>
      <c r="D53" s="50"/>
      <c r="E53" s="50"/>
      <c r="F53" s="64"/>
      <c r="G53" s="64"/>
    </row>
    <row r="54" spans="1:7" x14ac:dyDescent="0.25">
      <c r="A54" s="64"/>
      <c r="C54" s="50"/>
      <c r="D54" s="50"/>
      <c r="E54" s="50"/>
      <c r="F54" s="64"/>
      <c r="G54" s="64"/>
    </row>
    <row r="55" spans="1:7" x14ac:dyDescent="0.25">
      <c r="A55" s="64"/>
      <c r="C55" s="50"/>
      <c r="D55" s="50"/>
      <c r="E55" s="50"/>
      <c r="F55" s="64"/>
      <c r="G55" s="64"/>
    </row>
    <row r="56" spans="1:7" x14ac:dyDescent="0.25">
      <c r="A56" s="64"/>
      <c r="F56" s="64"/>
      <c r="G56" s="64"/>
    </row>
    <row r="57" spans="1:7" x14ac:dyDescent="0.25">
      <c r="A57" s="64"/>
      <c r="C57" s="50"/>
      <c r="D57" s="50"/>
      <c r="E57" s="50"/>
      <c r="F57" s="64"/>
      <c r="G57" s="64"/>
    </row>
    <row r="58" spans="1:7" x14ac:dyDescent="0.25">
      <c r="A58" s="64"/>
      <c r="C58" s="50"/>
      <c r="D58" s="50"/>
      <c r="E58" s="50"/>
      <c r="F58" s="64"/>
      <c r="G58" s="64"/>
    </row>
    <row r="59" spans="1:7" x14ac:dyDescent="0.25">
      <c r="A59" s="64"/>
      <c r="F59" s="64"/>
      <c r="G59" s="64"/>
    </row>
    <row r="60" spans="1:7" x14ac:dyDescent="0.25">
      <c r="A60" s="64"/>
      <c r="C60" s="50"/>
      <c r="D60" s="50"/>
      <c r="E60" s="50"/>
      <c r="F60" s="64"/>
      <c r="G60" s="64"/>
    </row>
    <row r="61" spans="1:7" x14ac:dyDescent="0.25">
      <c r="A61" s="64"/>
      <c r="C61" s="50"/>
      <c r="D61" s="50"/>
      <c r="E61" s="50"/>
      <c r="F61" s="64"/>
      <c r="G61" s="64"/>
    </row>
    <row r="62" spans="1:7" x14ac:dyDescent="0.25">
      <c r="A62" s="64"/>
      <c r="C62" s="50"/>
      <c r="D62" s="50"/>
      <c r="E62" s="50"/>
      <c r="F62" s="64"/>
      <c r="G62" s="64"/>
    </row>
    <row r="63" spans="1:7" x14ac:dyDescent="0.25">
      <c r="A63" s="64"/>
      <c r="C63" s="50"/>
      <c r="D63" s="50"/>
      <c r="F63" s="64"/>
      <c r="G63" s="64"/>
    </row>
    <row r="64" spans="1:7" x14ac:dyDescent="0.25">
      <c r="A64" s="64"/>
      <c r="C64" s="50"/>
      <c r="D64" s="50"/>
      <c r="E64" s="50"/>
      <c r="F64" s="64"/>
      <c r="G64" s="64"/>
    </row>
    <row r="65" spans="1:7" x14ac:dyDescent="0.25">
      <c r="A65" s="64"/>
      <c r="C65" s="50"/>
      <c r="D65" s="50"/>
      <c r="E65" s="50"/>
      <c r="F65" s="64"/>
      <c r="G65" s="64"/>
    </row>
    <row r="66" spans="1:7" x14ac:dyDescent="0.25">
      <c r="A66" s="64"/>
      <c r="F66" s="64"/>
      <c r="G66" s="64"/>
    </row>
    <row r="67" spans="1:7" x14ac:dyDescent="0.25">
      <c r="A67" s="64"/>
      <c r="C67" s="50"/>
      <c r="D67" s="50"/>
      <c r="E67" s="50"/>
      <c r="F67" s="64"/>
      <c r="G67" s="64"/>
    </row>
    <row r="68" spans="1:7" x14ac:dyDescent="0.25">
      <c r="A68" s="64"/>
      <c r="C68" s="94"/>
      <c r="D68" s="94"/>
      <c r="E68" s="94"/>
      <c r="F68" s="64"/>
      <c r="G68" s="64"/>
    </row>
    <row r="69" spans="1:7" x14ac:dyDescent="0.25">
      <c r="A69" s="64"/>
      <c r="C69" s="50"/>
      <c r="D69" s="50"/>
      <c r="E69" s="50"/>
      <c r="F69" s="64"/>
      <c r="G69" s="64"/>
    </row>
    <row r="70" spans="1:7" x14ac:dyDescent="0.25">
      <c r="A70" s="64"/>
      <c r="C70" s="50"/>
      <c r="D70" s="50"/>
      <c r="E70" s="50"/>
      <c r="F70" s="64"/>
      <c r="G70" s="64"/>
    </row>
    <row r="71" spans="1:7" x14ac:dyDescent="0.25">
      <c r="A71" s="64"/>
      <c r="C71" s="50"/>
      <c r="D71" s="50"/>
      <c r="E71" s="50"/>
      <c r="F71" s="64"/>
      <c r="G71" s="64"/>
    </row>
    <row r="72" spans="1:7" x14ac:dyDescent="0.25">
      <c r="A72" s="64"/>
      <c r="C72" s="94"/>
      <c r="D72" s="94"/>
      <c r="E72" s="94"/>
      <c r="F72" s="64"/>
      <c r="G72" s="64"/>
    </row>
    <row r="73" spans="1:7" x14ac:dyDescent="0.25">
      <c r="A73" s="64"/>
      <c r="C73" s="94"/>
      <c r="D73" s="50"/>
      <c r="E73" s="50"/>
      <c r="F73" s="64"/>
      <c r="G73" s="64"/>
    </row>
    <row r="74" spans="1:7" x14ac:dyDescent="0.25">
      <c r="A74" s="64"/>
      <c r="F74" s="64"/>
      <c r="G74" s="64"/>
    </row>
    <row r="75" spans="1:7" x14ac:dyDescent="0.25">
      <c r="A75" s="64"/>
      <c r="C75" s="50"/>
      <c r="E75" s="50"/>
      <c r="F75" s="64"/>
      <c r="G75" s="64"/>
    </row>
    <row r="76" spans="1:7" x14ac:dyDescent="0.25">
      <c r="A76" s="64"/>
      <c r="C76" s="50"/>
      <c r="E76" s="50"/>
      <c r="F76" s="64"/>
      <c r="G76" s="64"/>
    </row>
    <row r="77" spans="1:7" x14ac:dyDescent="0.25">
      <c r="A77" s="64"/>
      <c r="C77" s="50"/>
      <c r="E77" s="50"/>
      <c r="F77" s="64"/>
      <c r="G77" s="64"/>
    </row>
    <row r="78" spans="1:7" x14ac:dyDescent="0.25">
      <c r="D78" s="63"/>
      <c r="F78" s="64"/>
      <c r="G78" s="64"/>
    </row>
  </sheetData>
  <mergeCells count="1">
    <mergeCell ref="C3:F3"/>
  </mergeCells>
  <phoneticPr fontId="6" type="noConversion"/>
  <pageMargins left="0.25" right="0.25" top="0.5" bottom="0.5" header="0.3" footer="0.3"/>
  <pageSetup scale="70" orientation="portrait" horizontalDpi="4294967295" verticalDpi="4294967295" r:id="rId1"/>
  <headerFooter alignWithMargins="0">
    <oddHeader>&amp;R&amp;A</oddHeader>
    <oddFooter>&amp;L&amp;8&amp;Z&amp;F&amp;A&amp;R&amp;8&amp;T 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J92"/>
  <sheetViews>
    <sheetView workbookViewId="0"/>
  </sheetViews>
  <sheetFormatPr defaultColWidth="8" defaultRowHeight="15" x14ac:dyDescent="0.25"/>
  <cols>
    <col min="1" max="1" width="4.1796875" style="2" customWidth="1"/>
    <col min="2" max="2" width="50.08984375" style="2" customWidth="1"/>
    <col min="3" max="3" width="13" style="2" customWidth="1"/>
    <col min="4" max="4" width="12.54296875" style="2" customWidth="1"/>
    <col min="5" max="5" width="13.36328125" style="2" customWidth="1"/>
    <col min="6" max="6" width="11.81640625" style="2" bestFit="1" customWidth="1"/>
    <col min="7" max="7" width="11.08984375" style="6" customWidth="1"/>
    <col min="8" max="9" width="8" style="6" customWidth="1"/>
    <col min="10" max="10" width="11.54296875" style="6" customWidth="1"/>
    <col min="11" max="16384" width="8" style="6"/>
  </cols>
  <sheetData>
    <row r="1" spans="1:10" x14ac:dyDescent="0.25">
      <c r="A1" s="46" t="s">
        <v>35</v>
      </c>
      <c r="B1" s="30"/>
      <c r="C1" s="28"/>
      <c r="D1" s="28"/>
      <c r="E1" s="28"/>
      <c r="F1" s="28"/>
      <c r="G1" s="27"/>
    </row>
    <row r="2" spans="1:10" ht="21.75" customHeight="1" x14ac:dyDescent="0.25">
      <c r="A2" s="46" t="s">
        <v>40</v>
      </c>
      <c r="B2" s="30"/>
      <c r="C2" s="30"/>
      <c r="D2" s="30"/>
      <c r="E2" s="30"/>
      <c r="F2" s="30"/>
      <c r="G2" s="42"/>
    </row>
    <row r="3" spans="1:10" ht="21.75" customHeight="1" x14ac:dyDescent="0.25">
      <c r="A3" s="30" t="s">
        <v>37</v>
      </c>
      <c r="B3" s="30"/>
      <c r="C3" s="30"/>
      <c r="D3" s="30"/>
      <c r="E3" s="36"/>
      <c r="F3" s="30"/>
      <c r="G3" s="42"/>
    </row>
    <row r="4" spans="1:10" ht="21.75" customHeight="1" x14ac:dyDescent="0.25">
      <c r="A4" s="30"/>
      <c r="B4" s="30"/>
      <c r="C4" s="30"/>
      <c r="D4" s="28"/>
      <c r="E4" s="30"/>
      <c r="F4" s="30"/>
      <c r="G4" s="30"/>
    </row>
    <row r="5" spans="1:10" ht="21.75" customHeight="1" x14ac:dyDescent="0.25">
      <c r="A5" s="30"/>
      <c r="B5" s="30"/>
      <c r="C5" s="26" t="s">
        <v>34</v>
      </c>
      <c r="D5" s="30"/>
      <c r="E5" s="30"/>
      <c r="F5" s="30"/>
      <c r="G5" s="1"/>
    </row>
    <row r="6" spans="1:10" ht="21.75" customHeight="1" x14ac:dyDescent="0.25">
      <c r="A6" s="36"/>
      <c r="B6" s="36"/>
      <c r="C6" s="36" t="s">
        <v>51</v>
      </c>
      <c r="D6" s="36"/>
      <c r="E6" s="36" t="s">
        <v>52</v>
      </c>
      <c r="F6" s="36" t="s">
        <v>53</v>
      </c>
      <c r="G6" s="1"/>
    </row>
    <row r="7" spans="1:10" ht="21.75" customHeight="1" x14ac:dyDescent="0.25">
      <c r="A7" s="37" t="s">
        <v>54</v>
      </c>
      <c r="B7" s="37" t="s">
        <v>55</v>
      </c>
      <c r="C7" s="37" t="s">
        <v>56</v>
      </c>
      <c r="D7" s="59" t="s">
        <v>57</v>
      </c>
      <c r="E7" s="37" t="s">
        <v>51</v>
      </c>
      <c r="F7" s="37" t="s">
        <v>58</v>
      </c>
      <c r="G7" s="17"/>
    </row>
    <row r="8" spans="1:10" ht="21.75" customHeight="1" x14ac:dyDescent="0.25">
      <c r="A8" s="36">
        <v>1</v>
      </c>
      <c r="B8" s="30" t="s">
        <v>59</v>
      </c>
      <c r="C8" s="33" t="e">
        <f>#REF!</f>
        <v>#REF!</v>
      </c>
      <c r="D8" s="33" t="e">
        <f>+#REF!</f>
        <v>#REF!</v>
      </c>
      <c r="E8" s="33" t="e">
        <f>+C8+D8</f>
        <v>#REF!</v>
      </c>
      <c r="F8" s="36" t="s">
        <v>22</v>
      </c>
      <c r="G8" s="19"/>
      <c r="J8" s="20"/>
    </row>
    <row r="9" spans="1:10" ht="21.75" customHeight="1" x14ac:dyDescent="0.25">
      <c r="A9" s="36">
        <f t="shared" ref="A9:A47" si="0">A8+1</f>
        <v>2</v>
      </c>
      <c r="B9" s="33" t="s">
        <v>60</v>
      </c>
      <c r="C9" s="33" t="e">
        <f>#REF!</f>
        <v>#REF!</v>
      </c>
      <c r="D9" s="33" t="e">
        <f>+#REF!</f>
        <v>#REF!</v>
      </c>
      <c r="E9" s="33" t="e">
        <f>+#REF!</f>
        <v>#REF!</v>
      </c>
      <c r="F9" s="36">
        <v>3</v>
      </c>
      <c r="J9" s="20"/>
    </row>
    <row r="10" spans="1:10" ht="21.75" customHeight="1" x14ac:dyDescent="0.25">
      <c r="A10" s="36">
        <f t="shared" si="0"/>
        <v>3</v>
      </c>
      <c r="B10" s="30" t="s">
        <v>4</v>
      </c>
      <c r="C10" s="33" t="e">
        <f>#REF!</f>
        <v>#REF!</v>
      </c>
      <c r="D10" s="33" t="e">
        <f>#REF!</f>
        <v>#REF!</v>
      </c>
      <c r="E10" s="33" t="e">
        <f>C10+D10</f>
        <v>#REF!</v>
      </c>
      <c r="F10" s="36">
        <v>4</v>
      </c>
      <c r="J10" s="20"/>
    </row>
    <row r="11" spans="1:10" ht="21.75" customHeight="1" x14ac:dyDescent="0.25">
      <c r="A11" s="36">
        <f t="shared" si="0"/>
        <v>4</v>
      </c>
      <c r="B11" s="30" t="s">
        <v>5</v>
      </c>
      <c r="C11" s="33" t="e">
        <f>#REF!</f>
        <v>#REF!</v>
      </c>
      <c r="D11" s="33" t="e">
        <f>#REF!</f>
        <v>#REF!</v>
      </c>
      <c r="E11" s="33" t="e">
        <f>C11+D11</f>
        <v>#REF!</v>
      </c>
      <c r="F11" s="36">
        <v>4</v>
      </c>
      <c r="J11" s="20"/>
    </row>
    <row r="12" spans="1:10" ht="21.75" customHeight="1" x14ac:dyDescent="0.25">
      <c r="A12" s="36">
        <f t="shared" si="0"/>
        <v>5</v>
      </c>
      <c r="B12" s="39" t="s">
        <v>6</v>
      </c>
      <c r="C12" s="33" t="e">
        <f>#REF!</f>
        <v>#REF!</v>
      </c>
      <c r="D12" s="33" t="e">
        <f>#REF!</f>
        <v>#REF!</v>
      </c>
      <c r="E12" s="33" t="e">
        <f>C12+D12</f>
        <v>#REF!</v>
      </c>
      <c r="F12" s="36">
        <v>5</v>
      </c>
      <c r="J12" s="20"/>
    </row>
    <row r="13" spans="1:10" ht="21.75" customHeight="1" x14ac:dyDescent="0.25">
      <c r="A13" s="36">
        <f t="shared" si="0"/>
        <v>6</v>
      </c>
      <c r="B13" s="39" t="s">
        <v>7</v>
      </c>
      <c r="C13" s="33" t="e">
        <f>#REF!+#REF!+#REF!</f>
        <v>#REF!</v>
      </c>
      <c r="D13" s="33" t="e">
        <f>#REF!</f>
        <v>#REF!</v>
      </c>
      <c r="E13" s="33" t="e">
        <f>C13+D13</f>
        <v>#REF!</v>
      </c>
      <c r="F13" s="36">
        <v>6</v>
      </c>
      <c r="J13" s="20"/>
    </row>
    <row r="14" spans="1:10" ht="21.75" customHeight="1" x14ac:dyDescent="0.25">
      <c r="A14" s="36">
        <f>A13+1</f>
        <v>7</v>
      </c>
      <c r="B14" s="39" t="s">
        <v>41</v>
      </c>
      <c r="C14" s="33" t="e">
        <f>#REF!</f>
        <v>#REF!</v>
      </c>
      <c r="D14" s="33" t="e">
        <f>#REF!</f>
        <v>#REF!</v>
      </c>
      <c r="E14" s="33" t="e">
        <f>D14+C14</f>
        <v>#REF!</v>
      </c>
      <c r="F14" s="36">
        <v>7</v>
      </c>
      <c r="G14" s="1"/>
      <c r="J14" s="20"/>
    </row>
    <row r="15" spans="1:10" ht="21.75" customHeight="1" x14ac:dyDescent="0.25">
      <c r="A15" s="36">
        <v>8</v>
      </c>
      <c r="B15" s="38"/>
      <c r="C15" s="38"/>
      <c r="D15" s="38"/>
      <c r="E15" s="38"/>
      <c r="F15" s="36"/>
      <c r="J15" s="20"/>
    </row>
    <row r="16" spans="1:10" ht="21.75" customHeight="1" x14ac:dyDescent="0.25">
      <c r="A16" s="36">
        <v>9</v>
      </c>
      <c r="B16" s="39" t="s">
        <v>8</v>
      </c>
      <c r="C16" s="33" t="e">
        <f>SUM(C8:C14)</f>
        <v>#REF!</v>
      </c>
      <c r="D16" s="33" t="e">
        <f>SUM(D8:D14)</f>
        <v>#REF!</v>
      </c>
      <c r="E16" s="33" t="e">
        <f>SUM(E8:E14)</f>
        <v>#REF!</v>
      </c>
      <c r="F16" s="48"/>
      <c r="G16" s="33"/>
      <c r="J16" s="20"/>
    </row>
    <row r="17" spans="1:10" ht="21.75" customHeight="1" x14ac:dyDescent="0.25">
      <c r="A17" s="36">
        <f t="shared" si="0"/>
        <v>10</v>
      </c>
      <c r="B17" s="39"/>
      <c r="C17" s="39"/>
      <c r="D17" s="39"/>
      <c r="E17" s="30"/>
      <c r="F17" s="36"/>
      <c r="J17" s="20"/>
    </row>
    <row r="18" spans="1:10" ht="21.75" customHeight="1" x14ac:dyDescent="0.25">
      <c r="A18" s="36">
        <f t="shared" si="0"/>
        <v>11</v>
      </c>
      <c r="B18" s="39" t="s">
        <v>9</v>
      </c>
      <c r="C18" s="33" t="e">
        <f>#REF!</f>
        <v>#REF!</v>
      </c>
      <c r="D18" s="33" t="e">
        <f>+#REF!</f>
        <v>#REF!</v>
      </c>
      <c r="E18" s="33" t="e">
        <f>C18+D18+0.02</f>
        <v>#REF!</v>
      </c>
      <c r="F18" s="36">
        <v>8</v>
      </c>
      <c r="J18" s="20"/>
    </row>
    <row r="19" spans="1:10" ht="21.75" customHeight="1" x14ac:dyDescent="0.25">
      <c r="A19" s="36">
        <f t="shared" si="0"/>
        <v>12</v>
      </c>
      <c r="B19" s="30" t="s">
        <v>30</v>
      </c>
      <c r="C19" s="33" t="e">
        <f>+#REF!</f>
        <v>#REF!</v>
      </c>
      <c r="D19" s="33" t="e">
        <f>+E19-C19</f>
        <v>#REF!</v>
      </c>
      <c r="E19" s="33" t="e">
        <f>-#REF!</f>
        <v>#REF!</v>
      </c>
      <c r="F19" s="36">
        <v>8</v>
      </c>
      <c r="G19" s="9"/>
      <c r="J19" s="20"/>
    </row>
    <row r="20" spans="1:10" ht="21.75" customHeight="1" x14ac:dyDescent="0.25">
      <c r="A20" s="36">
        <f t="shared" si="0"/>
        <v>13</v>
      </c>
      <c r="B20" s="30" t="s">
        <v>31</v>
      </c>
      <c r="C20" s="33" t="e">
        <f>+#REF!+#REF!+#REF!</f>
        <v>#REF!</v>
      </c>
      <c r="D20" s="33" t="e">
        <f>+E20-C20</f>
        <v>#REF!</v>
      </c>
      <c r="E20" s="33" t="e">
        <f>-#REF!</f>
        <v>#REF!</v>
      </c>
      <c r="F20" s="36">
        <v>8</v>
      </c>
      <c r="J20" s="20"/>
    </row>
    <row r="21" spans="1:10" ht="21.75" customHeight="1" x14ac:dyDescent="0.25">
      <c r="A21" s="36">
        <f t="shared" si="0"/>
        <v>14</v>
      </c>
      <c r="B21" s="30" t="s">
        <v>43</v>
      </c>
      <c r="C21" s="33" t="e">
        <f>#REF!</f>
        <v>#REF!</v>
      </c>
      <c r="D21" s="33">
        <v>0</v>
      </c>
      <c r="E21" s="33" t="e">
        <f>C21+D21</f>
        <v>#REF!</v>
      </c>
      <c r="F21" s="36">
        <v>9</v>
      </c>
      <c r="J21" s="20"/>
    </row>
    <row r="22" spans="1:10" ht="21.75" customHeight="1" x14ac:dyDescent="0.25">
      <c r="A22" s="36">
        <f t="shared" si="0"/>
        <v>15</v>
      </c>
      <c r="B22" s="30" t="s">
        <v>26</v>
      </c>
      <c r="C22" s="33" t="e">
        <f>#REF!-#REF!</f>
        <v>#REF!</v>
      </c>
      <c r="D22" s="33" t="e">
        <f>-C22</f>
        <v>#REF!</v>
      </c>
      <c r="E22" s="33" t="e">
        <f>C22+D22</f>
        <v>#REF!</v>
      </c>
      <c r="F22" s="36" t="s">
        <v>50</v>
      </c>
      <c r="J22" s="20"/>
    </row>
    <row r="23" spans="1:10" ht="21.75" customHeight="1" x14ac:dyDescent="0.25">
      <c r="A23" s="36">
        <f t="shared" si="0"/>
        <v>16</v>
      </c>
      <c r="B23" s="30" t="s">
        <v>10</v>
      </c>
      <c r="C23" s="33" t="e">
        <f>#REF!</f>
        <v>#REF!</v>
      </c>
      <c r="D23" s="33" t="e">
        <f>-C23</f>
        <v>#REF!</v>
      </c>
      <c r="E23" s="33" t="e">
        <f>C23+D23</f>
        <v>#REF!</v>
      </c>
      <c r="F23" s="36" t="s">
        <v>50</v>
      </c>
      <c r="J23" s="20"/>
    </row>
    <row r="24" spans="1:10" ht="21.75" customHeight="1" x14ac:dyDescent="0.25">
      <c r="A24" s="36">
        <f t="shared" si="0"/>
        <v>17</v>
      </c>
      <c r="B24" s="30"/>
      <c r="C24" s="33"/>
      <c r="D24" s="33"/>
      <c r="E24" s="33"/>
      <c r="F24" s="36"/>
      <c r="J24" s="20"/>
    </row>
    <row r="25" spans="1:10" ht="21.75" customHeight="1" x14ac:dyDescent="0.25">
      <c r="A25" s="36">
        <f t="shared" si="0"/>
        <v>18</v>
      </c>
      <c r="B25" s="30" t="s">
        <v>42</v>
      </c>
      <c r="C25" s="33" t="e">
        <f>#REF!</f>
        <v>#REF!</v>
      </c>
      <c r="D25" s="33" t="e">
        <f>+#REF!</f>
        <v>#REF!</v>
      </c>
      <c r="E25" s="33" t="e">
        <f>C25+D25</f>
        <v>#REF!</v>
      </c>
      <c r="F25" s="36">
        <v>10</v>
      </c>
      <c r="G25" s="5"/>
      <c r="H25" s="13"/>
      <c r="I25" s="1"/>
      <c r="J25" s="20"/>
    </row>
    <row r="26" spans="1:10" ht="21.75" customHeight="1" x14ac:dyDescent="0.25">
      <c r="A26" s="36">
        <f t="shared" si="0"/>
        <v>19</v>
      </c>
      <c r="B26" s="30" t="s">
        <v>11</v>
      </c>
      <c r="C26" s="33" t="e">
        <f>#REF!+#REF!</f>
        <v>#REF!</v>
      </c>
      <c r="D26" s="33" t="e">
        <f>+#REF!</f>
        <v>#REF!</v>
      </c>
      <c r="E26" s="33" t="e">
        <f>C26+D26</f>
        <v>#REF!</v>
      </c>
      <c r="F26" s="36">
        <v>11</v>
      </c>
      <c r="J26" s="20"/>
    </row>
    <row r="27" spans="1:10" ht="21.75" customHeight="1" x14ac:dyDescent="0.25">
      <c r="A27" s="36">
        <f t="shared" si="0"/>
        <v>20</v>
      </c>
      <c r="B27" s="30" t="s">
        <v>18</v>
      </c>
      <c r="C27" s="33"/>
      <c r="D27" s="33"/>
      <c r="E27" s="33"/>
      <c r="F27" s="36"/>
      <c r="J27" s="20"/>
    </row>
    <row r="28" spans="1:10" ht="21.75" customHeight="1" x14ac:dyDescent="0.25">
      <c r="A28" s="36">
        <f t="shared" si="0"/>
        <v>21</v>
      </c>
      <c r="B28" s="30" t="s">
        <v>12</v>
      </c>
      <c r="C28" s="33" t="e">
        <f>#REF!</f>
        <v>#REF!</v>
      </c>
      <c r="D28" s="33" t="e">
        <f>+#REF!</f>
        <v>#REF!</v>
      </c>
      <c r="E28" s="33" t="e">
        <f>C28+D28</f>
        <v>#REF!</v>
      </c>
      <c r="F28" s="36">
        <v>11</v>
      </c>
      <c r="J28" s="20"/>
    </row>
    <row r="29" spans="1:10" ht="21.75" customHeight="1" x14ac:dyDescent="0.25">
      <c r="A29" s="36">
        <f t="shared" si="0"/>
        <v>22</v>
      </c>
      <c r="B29" s="31"/>
      <c r="C29" s="32"/>
      <c r="D29" s="32"/>
      <c r="E29" s="32"/>
      <c r="F29" s="30"/>
      <c r="J29" s="20"/>
    </row>
    <row r="30" spans="1:10" ht="21.75" customHeight="1" x14ac:dyDescent="0.25">
      <c r="A30" s="36">
        <f t="shared" si="0"/>
        <v>23</v>
      </c>
      <c r="B30" s="30" t="s">
        <v>13</v>
      </c>
      <c r="C30" s="33" t="e">
        <f>SUM(C16:C28)</f>
        <v>#REF!</v>
      </c>
      <c r="D30" s="33" t="e">
        <f>SUM(D16:D28)</f>
        <v>#REF!</v>
      </c>
      <c r="E30" s="33" t="e">
        <f>SUM(E16:E28)</f>
        <v>#REF!</v>
      </c>
      <c r="F30" s="36"/>
      <c r="J30" s="20"/>
    </row>
    <row r="31" spans="1:10" ht="21.75" customHeight="1" x14ac:dyDescent="0.25">
      <c r="A31" s="36">
        <f t="shared" si="0"/>
        <v>24</v>
      </c>
      <c r="B31" s="30"/>
      <c r="C31" s="33"/>
      <c r="D31" s="33"/>
      <c r="E31" s="33"/>
      <c r="F31" s="36"/>
      <c r="J31" s="20"/>
    </row>
    <row r="32" spans="1:10" ht="21.75" customHeight="1" x14ac:dyDescent="0.25">
      <c r="A32" s="36">
        <f t="shared" si="0"/>
        <v>25</v>
      </c>
      <c r="B32" s="30" t="s">
        <v>44</v>
      </c>
      <c r="C32" s="33" t="e">
        <f>#REF!</f>
        <v>#REF!</v>
      </c>
      <c r="D32" s="33" t="e">
        <f>-#REF!</f>
        <v>#REF!</v>
      </c>
      <c r="E32" s="33" t="e">
        <f>C32+D32</f>
        <v>#REF!</v>
      </c>
      <c r="F32" s="36">
        <v>12</v>
      </c>
      <c r="J32" s="20"/>
    </row>
    <row r="33" spans="1:10" ht="21.75" customHeight="1" x14ac:dyDescent="0.25">
      <c r="A33" s="36">
        <f t="shared" si="0"/>
        <v>26</v>
      </c>
      <c r="B33" s="30" t="s">
        <v>32</v>
      </c>
      <c r="C33" s="57" t="e">
        <f>#REF!+SUM(#REF!)</f>
        <v>#REF!</v>
      </c>
      <c r="D33" s="33" t="e">
        <f>+#REF!</f>
        <v>#REF!</v>
      </c>
      <c r="E33" s="33" t="e">
        <f>C33+D33</f>
        <v>#REF!</v>
      </c>
      <c r="F33" s="36">
        <v>13</v>
      </c>
      <c r="J33" s="20"/>
    </row>
    <row r="34" spans="1:10" ht="21.75" customHeight="1" x14ac:dyDescent="0.25">
      <c r="A34" s="36">
        <f t="shared" si="0"/>
        <v>27</v>
      </c>
      <c r="B34" s="30" t="s">
        <v>14</v>
      </c>
      <c r="C34" s="33" t="e">
        <f>#REF!</f>
        <v>#REF!</v>
      </c>
      <c r="D34" s="33" t="e">
        <f>+#REF!</f>
        <v>#REF!</v>
      </c>
      <c r="E34" s="33" t="e">
        <f>C34+D34</f>
        <v>#REF!</v>
      </c>
      <c r="F34" s="36">
        <v>12</v>
      </c>
      <c r="J34" s="20"/>
    </row>
    <row r="35" spans="1:10" ht="21.75" customHeight="1" x14ac:dyDescent="0.25">
      <c r="A35" s="36">
        <f t="shared" si="0"/>
        <v>28</v>
      </c>
      <c r="B35" s="31" t="s">
        <v>33</v>
      </c>
      <c r="C35" s="32" t="e">
        <f>(#REF!+#REF!)</f>
        <v>#REF!</v>
      </c>
      <c r="D35" s="32">
        <v>6058</v>
      </c>
      <c r="E35" s="32">
        <v>0</v>
      </c>
      <c r="F35" s="36">
        <v>12</v>
      </c>
      <c r="J35" s="20"/>
    </row>
    <row r="36" spans="1:10" ht="21.75" customHeight="1" x14ac:dyDescent="0.25">
      <c r="A36" s="36">
        <f t="shared" si="0"/>
        <v>29</v>
      </c>
      <c r="B36" s="30" t="s">
        <v>15</v>
      </c>
      <c r="C36" s="33" t="e">
        <f>SUM(C30:C35)</f>
        <v>#REF!</v>
      </c>
      <c r="D36" s="33" t="e">
        <f>SUM(D30:D35)</f>
        <v>#REF!</v>
      </c>
      <c r="E36" s="33" t="e">
        <f>SUM(E30:E35)-0.15</f>
        <v>#REF!</v>
      </c>
      <c r="F36" s="36"/>
      <c r="G36" s="15"/>
      <c r="J36" s="20"/>
    </row>
    <row r="37" spans="1:10" ht="21.75" customHeight="1" x14ac:dyDescent="0.25">
      <c r="A37" s="36">
        <f t="shared" si="0"/>
        <v>30</v>
      </c>
      <c r="B37" s="31" t="s">
        <v>16</v>
      </c>
      <c r="C37" s="32" t="e">
        <f>-SUM(#REF!)</f>
        <v>#REF!</v>
      </c>
      <c r="D37" s="32" t="e">
        <f>-#REF!+0.25</f>
        <v>#REF!</v>
      </c>
      <c r="E37" s="32" t="e">
        <f>C37+D37</f>
        <v>#REF!</v>
      </c>
      <c r="F37" s="36">
        <v>13</v>
      </c>
      <c r="G37" s="21"/>
      <c r="H37" s="9"/>
      <c r="J37" s="20"/>
    </row>
    <row r="38" spans="1:10" ht="21.75" customHeight="1" thickBot="1" x14ac:dyDescent="0.3">
      <c r="A38" s="36">
        <f t="shared" si="0"/>
        <v>31</v>
      </c>
      <c r="B38" s="30" t="s">
        <v>17</v>
      </c>
      <c r="C38" s="33" t="e">
        <f>C37-C36</f>
        <v>#REF!</v>
      </c>
      <c r="D38" s="33"/>
      <c r="E38" s="60" t="e">
        <f>E37-E36+0.17</f>
        <v>#REF!</v>
      </c>
      <c r="F38" s="36"/>
      <c r="G38" s="15"/>
      <c r="J38" s="20"/>
    </row>
    <row r="39" spans="1:10" ht="21.75" customHeight="1" thickBot="1" x14ac:dyDescent="0.3">
      <c r="A39" s="36"/>
      <c r="B39" s="47" t="s">
        <v>47</v>
      </c>
      <c r="C39" s="40" t="e">
        <f>+C38</f>
        <v>#REF!</v>
      </c>
      <c r="D39" s="40" t="e">
        <f>+E39-C39</f>
        <v>#REF!</v>
      </c>
      <c r="E39" s="58" t="e">
        <f>+E40</f>
        <v>#REF!</v>
      </c>
      <c r="F39" s="36"/>
      <c r="G39" s="15"/>
      <c r="J39" s="20"/>
    </row>
    <row r="40" spans="1:10" ht="21.75" customHeight="1" x14ac:dyDescent="0.25">
      <c r="A40" s="36">
        <f>A38+1</f>
        <v>32</v>
      </c>
      <c r="B40" s="31" t="s">
        <v>36</v>
      </c>
      <c r="C40" s="32" t="e">
        <f>0.5*C25</f>
        <v>#REF!</v>
      </c>
      <c r="D40" s="32"/>
      <c r="E40" s="32" t="e">
        <f>0.5*E25</f>
        <v>#REF!</v>
      </c>
      <c r="F40" s="48"/>
      <c r="G40" s="15"/>
      <c r="J40" s="20"/>
    </row>
    <row r="41" spans="1:10" ht="21.75" customHeight="1" x14ac:dyDescent="0.25">
      <c r="A41" s="36">
        <f t="shared" si="0"/>
        <v>33</v>
      </c>
      <c r="B41" s="30" t="s">
        <v>27</v>
      </c>
      <c r="C41" s="33" t="e">
        <f>+C40-C38</f>
        <v>#REF!</v>
      </c>
      <c r="D41" s="33" t="e">
        <f>+D36+D39</f>
        <v>#REF!</v>
      </c>
      <c r="E41" s="33" t="e">
        <f>+E40-E38-0.23</f>
        <v>#REF!</v>
      </c>
      <c r="F41" s="36"/>
      <c r="G41" s="15"/>
      <c r="H41" s="8"/>
      <c r="J41" s="20"/>
    </row>
    <row r="42" spans="1:10" ht="21.75" customHeight="1" thickBot="1" x14ac:dyDescent="0.3">
      <c r="A42" s="36">
        <f t="shared" si="0"/>
        <v>34</v>
      </c>
      <c r="B42" s="34" t="s">
        <v>10</v>
      </c>
      <c r="C42" s="35"/>
      <c r="D42" s="35"/>
      <c r="E42" s="35" t="e">
        <f>(+E37+E41)/99</f>
        <v>#REF!</v>
      </c>
      <c r="F42" s="36"/>
      <c r="G42" s="15"/>
      <c r="J42" s="20"/>
    </row>
    <row r="43" spans="1:10" ht="21.75" customHeight="1" thickTop="1" x14ac:dyDescent="0.25">
      <c r="A43" s="36">
        <f t="shared" si="0"/>
        <v>35</v>
      </c>
      <c r="B43" s="30" t="s">
        <v>49</v>
      </c>
      <c r="C43" s="33" t="e">
        <f>+C41+C42</f>
        <v>#REF!</v>
      </c>
      <c r="D43" s="33"/>
      <c r="E43" s="33" t="e">
        <f>+E41+E42-0.17</f>
        <v>#REF!</v>
      </c>
      <c r="F43" s="36"/>
      <c r="G43" s="15"/>
      <c r="J43" s="20"/>
    </row>
    <row r="44" spans="1:10" ht="21.75" customHeight="1" x14ac:dyDescent="0.25">
      <c r="A44" s="36">
        <f t="shared" si="0"/>
        <v>36</v>
      </c>
      <c r="B44" s="42" t="s">
        <v>48</v>
      </c>
      <c r="C44" s="41" t="e">
        <f>+C41/C37</f>
        <v>#REF!</v>
      </c>
      <c r="D44" s="55"/>
      <c r="E44" s="56" t="e">
        <f>+E43/E37</f>
        <v>#REF!</v>
      </c>
      <c r="F44" s="49"/>
      <c r="H44" s="15"/>
      <c r="J44" s="20"/>
    </row>
    <row r="45" spans="1:10" x14ac:dyDescent="0.25">
      <c r="A45" s="36">
        <f t="shared" si="0"/>
        <v>37</v>
      </c>
      <c r="B45" s="30" t="s">
        <v>38</v>
      </c>
      <c r="C45" s="30"/>
      <c r="D45" s="39"/>
      <c r="E45" s="33">
        <f>+'S1 VEC Master Summary'!E40</f>
        <v>2999750.9150788262</v>
      </c>
      <c r="F45" s="36"/>
      <c r="J45" s="20"/>
    </row>
    <row r="46" spans="1:10" x14ac:dyDescent="0.25">
      <c r="A46" s="36">
        <f t="shared" si="0"/>
        <v>38</v>
      </c>
      <c r="B46" s="51"/>
      <c r="C46" s="28"/>
      <c r="D46" s="52"/>
      <c r="E46" s="44"/>
      <c r="F46" s="29"/>
    </row>
    <row r="47" spans="1:10" ht="15.6" x14ac:dyDescent="0.3">
      <c r="A47" s="36">
        <f t="shared" si="0"/>
        <v>39</v>
      </c>
      <c r="B47" s="61" t="s">
        <v>39</v>
      </c>
      <c r="C47" s="28"/>
      <c r="D47" s="53"/>
      <c r="E47" s="33" t="e">
        <f>+E45-E43</f>
        <v>#REF!</v>
      </c>
      <c r="F47" s="29"/>
      <c r="H47" s="16"/>
    </row>
    <row r="48" spans="1:10" x14ac:dyDescent="0.25">
      <c r="A48" s="22"/>
      <c r="B48" s="24"/>
      <c r="C48" s="4"/>
      <c r="D48" s="24"/>
      <c r="E48" s="4"/>
      <c r="F48" s="11"/>
    </row>
    <row r="49" spans="1:9" x14ac:dyDescent="0.25">
      <c r="A49" s="22"/>
      <c r="B49" s="23"/>
      <c r="D49" s="23"/>
      <c r="F49" s="11"/>
    </row>
    <row r="50" spans="1:9" x14ac:dyDescent="0.25">
      <c r="A50" s="22"/>
      <c r="B50" s="24"/>
      <c r="C50" s="24"/>
      <c r="D50" s="24"/>
      <c r="E50" s="4"/>
      <c r="F50" s="25"/>
      <c r="G50" s="1"/>
      <c r="H50" s="16"/>
      <c r="I50" s="1"/>
    </row>
    <row r="51" spans="1:9" x14ac:dyDescent="0.25">
      <c r="A51" s="3"/>
      <c r="F51" s="7"/>
      <c r="G51" s="1"/>
      <c r="H51" s="1"/>
      <c r="I51" s="1"/>
    </row>
    <row r="52" spans="1:9" x14ac:dyDescent="0.25">
      <c r="A52" s="10"/>
      <c r="D52" s="5"/>
    </row>
    <row r="53" spans="1:9" x14ac:dyDescent="0.25">
      <c r="E53" s="7"/>
    </row>
    <row r="56" spans="1:9" x14ac:dyDescent="0.25">
      <c r="A56" s="7"/>
      <c r="B56" s="7"/>
      <c r="C56" s="7"/>
      <c r="D56" s="7"/>
      <c r="E56" s="7"/>
      <c r="F56" s="7"/>
    </row>
    <row r="57" spans="1:9" x14ac:dyDescent="0.25">
      <c r="A57" s="7"/>
      <c r="B57" s="7"/>
      <c r="C57" s="7"/>
      <c r="D57" s="7"/>
      <c r="E57" s="7"/>
      <c r="F57" s="7"/>
    </row>
    <row r="58" spans="1:9" x14ac:dyDescent="0.25">
      <c r="A58" s="7"/>
      <c r="C58" s="5"/>
      <c r="D58" s="5"/>
      <c r="E58" s="5"/>
      <c r="F58" s="11"/>
    </row>
    <row r="59" spans="1:9" x14ac:dyDescent="0.25">
      <c r="A59" s="7"/>
      <c r="C59" s="5"/>
      <c r="D59" s="5"/>
      <c r="E59" s="5"/>
      <c r="F59" s="7"/>
    </row>
    <row r="60" spans="1:9" x14ac:dyDescent="0.25">
      <c r="A60" s="7"/>
      <c r="C60" s="5"/>
      <c r="D60" s="5"/>
      <c r="E60" s="5"/>
      <c r="F60" s="7"/>
    </row>
    <row r="61" spans="1:9" x14ac:dyDescent="0.25">
      <c r="A61" s="11"/>
      <c r="B61" s="4"/>
      <c r="C61" s="18"/>
      <c r="D61" s="18"/>
      <c r="E61" s="18"/>
      <c r="F61" s="11"/>
    </row>
    <row r="62" spans="1:9" x14ac:dyDescent="0.25">
      <c r="A62" s="7"/>
      <c r="C62" s="5"/>
      <c r="D62" s="5"/>
      <c r="E62" s="5"/>
      <c r="F62" s="7"/>
    </row>
    <row r="63" spans="1:9" x14ac:dyDescent="0.25">
      <c r="A63" s="7"/>
      <c r="C63" s="5"/>
      <c r="D63" s="5"/>
      <c r="E63" s="5"/>
      <c r="F63" s="7"/>
    </row>
    <row r="64" spans="1:9" x14ac:dyDescent="0.25">
      <c r="A64" s="7"/>
      <c r="C64" s="5"/>
      <c r="D64" s="5"/>
      <c r="E64" s="5"/>
      <c r="F64" s="7"/>
    </row>
    <row r="65" spans="1:6" x14ac:dyDescent="0.25">
      <c r="A65" s="7"/>
      <c r="C65" s="5"/>
      <c r="D65" s="5"/>
      <c r="E65" s="5"/>
      <c r="F65" s="7"/>
    </row>
    <row r="66" spans="1:6" x14ac:dyDescent="0.25">
      <c r="A66" s="7"/>
      <c r="C66" s="5"/>
      <c r="D66" s="5"/>
      <c r="E66" s="5"/>
      <c r="F66" s="7"/>
    </row>
    <row r="67" spans="1:6" x14ac:dyDescent="0.25">
      <c r="A67" s="7"/>
      <c r="C67" s="5"/>
      <c r="D67" s="5"/>
      <c r="E67" s="5"/>
      <c r="F67" s="7"/>
    </row>
    <row r="68" spans="1:6" x14ac:dyDescent="0.25">
      <c r="A68" s="7"/>
      <c r="C68" s="5"/>
      <c r="D68" s="5"/>
      <c r="E68" s="5"/>
      <c r="F68" s="7"/>
    </row>
    <row r="69" spans="1:6" x14ac:dyDescent="0.25">
      <c r="A69" s="7"/>
      <c r="C69" s="5"/>
      <c r="D69" s="5"/>
      <c r="E69" s="5"/>
      <c r="F69" s="7"/>
    </row>
    <row r="70" spans="1:6" x14ac:dyDescent="0.25">
      <c r="A70" s="7"/>
      <c r="F70" s="7"/>
    </row>
    <row r="71" spans="1:6" x14ac:dyDescent="0.25">
      <c r="A71" s="7"/>
      <c r="C71" s="5"/>
      <c r="D71" s="5"/>
      <c r="E71" s="5"/>
      <c r="F71" s="7"/>
    </row>
    <row r="72" spans="1:6" x14ac:dyDescent="0.25">
      <c r="A72" s="7"/>
      <c r="B72" s="4"/>
      <c r="C72" s="5"/>
      <c r="D72" s="5"/>
      <c r="E72" s="5"/>
      <c r="F72" s="7"/>
    </row>
    <row r="73" spans="1:6" x14ac:dyDescent="0.25">
      <c r="A73" s="7"/>
      <c r="F73" s="7"/>
    </row>
    <row r="74" spans="1:6" x14ac:dyDescent="0.25">
      <c r="A74" s="7"/>
      <c r="C74" s="5"/>
      <c r="D74" s="5"/>
      <c r="E74" s="5"/>
      <c r="F74" s="7"/>
    </row>
    <row r="75" spans="1:6" x14ac:dyDescent="0.25">
      <c r="A75" s="7"/>
      <c r="C75" s="5"/>
      <c r="D75" s="5"/>
      <c r="E75" s="5"/>
      <c r="F75" s="7"/>
    </row>
    <row r="76" spans="1:6" x14ac:dyDescent="0.25">
      <c r="A76" s="7"/>
      <c r="C76" s="5"/>
      <c r="D76" s="5"/>
      <c r="E76" s="5"/>
      <c r="F76" s="7"/>
    </row>
    <row r="77" spans="1:6" x14ac:dyDescent="0.25">
      <c r="A77" s="7"/>
      <c r="C77" s="5"/>
      <c r="D77" s="5"/>
      <c r="F77" s="7"/>
    </row>
    <row r="78" spans="1:6" x14ac:dyDescent="0.25">
      <c r="A78" s="7"/>
      <c r="C78" s="5"/>
      <c r="D78" s="5"/>
      <c r="E78" s="5"/>
      <c r="F78" s="7"/>
    </row>
    <row r="79" spans="1:6" x14ac:dyDescent="0.25">
      <c r="A79" s="7"/>
      <c r="C79" s="5"/>
      <c r="D79" s="5"/>
      <c r="E79" s="5"/>
      <c r="F79" s="7"/>
    </row>
    <row r="80" spans="1:6" x14ac:dyDescent="0.25">
      <c r="A80" s="7"/>
      <c r="B80" s="4"/>
      <c r="C80" s="4"/>
      <c r="D80" s="4"/>
      <c r="E80" s="4"/>
      <c r="F80" s="11"/>
    </row>
    <row r="81" spans="1:6" x14ac:dyDescent="0.25">
      <c r="A81" s="7"/>
      <c r="C81" s="5"/>
      <c r="D81" s="5"/>
      <c r="E81" s="5"/>
      <c r="F81" s="7"/>
    </row>
    <row r="82" spans="1:6" x14ac:dyDescent="0.25">
      <c r="A82" s="7"/>
      <c r="B82" s="4"/>
      <c r="C82" s="12"/>
      <c r="D82" s="12"/>
      <c r="E82" s="12"/>
      <c r="F82" s="11"/>
    </row>
    <row r="83" spans="1:6" x14ac:dyDescent="0.25">
      <c r="A83" s="7"/>
      <c r="C83" s="5"/>
      <c r="D83" s="5"/>
      <c r="E83" s="5"/>
      <c r="F83" s="7"/>
    </row>
    <row r="84" spans="1:6" x14ac:dyDescent="0.25">
      <c r="A84" s="7"/>
      <c r="C84" s="5"/>
      <c r="D84" s="5"/>
      <c r="E84" s="5"/>
      <c r="F84" s="7"/>
    </row>
    <row r="85" spans="1:6" x14ac:dyDescent="0.25">
      <c r="A85" s="11"/>
      <c r="C85" s="5"/>
      <c r="D85" s="5"/>
      <c r="E85" s="5"/>
      <c r="F85" s="11"/>
    </row>
    <row r="86" spans="1:6" x14ac:dyDescent="0.25">
      <c r="A86" s="7"/>
      <c r="C86" s="12"/>
      <c r="D86" s="12"/>
      <c r="E86" s="12"/>
      <c r="F86" s="7"/>
    </row>
    <row r="87" spans="1:6" x14ac:dyDescent="0.25">
      <c r="A87" s="7"/>
      <c r="C87" s="12"/>
      <c r="D87" s="5"/>
      <c r="E87" s="5"/>
      <c r="F87" s="7"/>
    </row>
    <row r="88" spans="1:6" x14ac:dyDescent="0.25">
      <c r="A88" s="7"/>
      <c r="F88" s="7">
        <v>13</v>
      </c>
    </row>
    <row r="89" spans="1:6" x14ac:dyDescent="0.25">
      <c r="A89" s="7"/>
      <c r="C89" s="5"/>
      <c r="E89" s="5"/>
      <c r="F89" s="7"/>
    </row>
    <row r="90" spans="1:6" x14ac:dyDescent="0.25">
      <c r="A90" s="7"/>
      <c r="C90" s="5"/>
      <c r="E90" s="5"/>
      <c r="F90" s="7"/>
    </row>
    <row r="91" spans="1:6" x14ac:dyDescent="0.25">
      <c r="A91" s="7"/>
      <c r="C91" s="5"/>
      <c r="E91" s="5"/>
      <c r="F91" s="7"/>
    </row>
    <row r="92" spans="1:6" x14ac:dyDescent="0.25">
      <c r="D92" s="14"/>
      <c r="F92" s="7"/>
    </row>
  </sheetData>
  <phoneticPr fontId="6" type="noConversion"/>
  <pageMargins left="0.75" right="0.75" top="1" bottom="1" header="0.5" footer="0.5"/>
  <pageSetup scale="66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49"/>
  <sheetViews>
    <sheetView showGridLines="0" topLeftCell="A21" workbookViewId="0">
      <selection activeCell="C49" sqref="C49"/>
    </sheetView>
  </sheetViews>
  <sheetFormatPr defaultRowHeight="13.2" x14ac:dyDescent="0.25"/>
  <cols>
    <col min="1" max="1" width="29.81640625" style="43" customWidth="1"/>
    <col min="2" max="2" width="8.54296875" style="43" bestFit="1" customWidth="1"/>
    <col min="3" max="3" width="10.54296875" style="43" bestFit="1" customWidth="1"/>
    <col min="4" max="8" width="8.90625" style="43"/>
    <col min="9" max="9" width="10.1796875" style="43" bestFit="1" customWidth="1"/>
    <col min="10" max="256" width="8.90625" style="43"/>
    <col min="257" max="257" width="23.453125" style="43" customWidth="1"/>
    <col min="258" max="258" width="7.54296875" style="43" bestFit="1" customWidth="1"/>
    <col min="259" max="259" width="8.36328125" style="43" bestFit="1" customWidth="1"/>
    <col min="260" max="264" width="8.90625" style="43"/>
    <col min="265" max="265" width="9.90625" style="43" bestFit="1" customWidth="1"/>
    <col min="266" max="512" width="8.90625" style="43"/>
    <col min="513" max="513" width="23.453125" style="43" customWidth="1"/>
    <col min="514" max="514" width="7.54296875" style="43" bestFit="1" customWidth="1"/>
    <col min="515" max="515" width="8.36328125" style="43" bestFit="1" customWidth="1"/>
    <col min="516" max="520" width="8.90625" style="43"/>
    <col min="521" max="521" width="9.90625" style="43" bestFit="1" customWidth="1"/>
    <col min="522" max="768" width="8.90625" style="43"/>
    <col min="769" max="769" width="23.453125" style="43" customWidth="1"/>
    <col min="770" max="770" width="7.54296875" style="43" bestFit="1" customWidth="1"/>
    <col min="771" max="771" width="8.36328125" style="43" bestFit="1" customWidth="1"/>
    <col min="772" max="776" width="8.90625" style="43"/>
    <col min="777" max="777" width="9.90625" style="43" bestFit="1" customWidth="1"/>
    <col min="778" max="1024" width="8.90625" style="43"/>
    <col min="1025" max="1025" width="23.453125" style="43" customWidth="1"/>
    <col min="1026" max="1026" width="7.54296875" style="43" bestFit="1" customWidth="1"/>
    <col min="1027" max="1027" width="8.36328125" style="43" bestFit="1" customWidth="1"/>
    <col min="1028" max="1032" width="8.90625" style="43"/>
    <col min="1033" max="1033" width="9.90625" style="43" bestFit="1" customWidth="1"/>
    <col min="1034" max="1280" width="8.90625" style="43"/>
    <col min="1281" max="1281" width="23.453125" style="43" customWidth="1"/>
    <col min="1282" max="1282" width="7.54296875" style="43" bestFit="1" customWidth="1"/>
    <col min="1283" max="1283" width="8.36328125" style="43" bestFit="1" customWidth="1"/>
    <col min="1284" max="1288" width="8.90625" style="43"/>
    <col min="1289" max="1289" width="9.90625" style="43" bestFit="1" customWidth="1"/>
    <col min="1290" max="1536" width="8.90625" style="43"/>
    <col min="1537" max="1537" width="23.453125" style="43" customWidth="1"/>
    <col min="1538" max="1538" width="7.54296875" style="43" bestFit="1" customWidth="1"/>
    <col min="1539" max="1539" width="8.36328125" style="43" bestFit="1" customWidth="1"/>
    <col min="1540" max="1544" width="8.90625" style="43"/>
    <col min="1545" max="1545" width="9.90625" style="43" bestFit="1" customWidth="1"/>
    <col min="1546" max="1792" width="8.90625" style="43"/>
    <col min="1793" max="1793" width="23.453125" style="43" customWidth="1"/>
    <col min="1794" max="1794" width="7.54296875" style="43" bestFit="1" customWidth="1"/>
    <col min="1795" max="1795" width="8.36328125" style="43" bestFit="1" customWidth="1"/>
    <col min="1796" max="1800" width="8.90625" style="43"/>
    <col min="1801" max="1801" width="9.90625" style="43" bestFit="1" customWidth="1"/>
    <col min="1802" max="2048" width="8.90625" style="43"/>
    <col min="2049" max="2049" width="23.453125" style="43" customWidth="1"/>
    <col min="2050" max="2050" width="7.54296875" style="43" bestFit="1" customWidth="1"/>
    <col min="2051" max="2051" width="8.36328125" style="43" bestFit="1" customWidth="1"/>
    <col min="2052" max="2056" width="8.90625" style="43"/>
    <col min="2057" max="2057" width="9.90625" style="43" bestFit="1" customWidth="1"/>
    <col min="2058" max="2304" width="8.90625" style="43"/>
    <col min="2305" max="2305" width="23.453125" style="43" customWidth="1"/>
    <col min="2306" max="2306" width="7.54296875" style="43" bestFit="1" customWidth="1"/>
    <col min="2307" max="2307" width="8.36328125" style="43" bestFit="1" customWidth="1"/>
    <col min="2308" max="2312" width="8.90625" style="43"/>
    <col min="2313" max="2313" width="9.90625" style="43" bestFit="1" customWidth="1"/>
    <col min="2314" max="2560" width="8.90625" style="43"/>
    <col min="2561" max="2561" width="23.453125" style="43" customWidth="1"/>
    <col min="2562" max="2562" width="7.54296875" style="43" bestFit="1" customWidth="1"/>
    <col min="2563" max="2563" width="8.36328125" style="43" bestFit="1" customWidth="1"/>
    <col min="2564" max="2568" width="8.90625" style="43"/>
    <col min="2569" max="2569" width="9.90625" style="43" bestFit="1" customWidth="1"/>
    <col min="2570" max="2816" width="8.90625" style="43"/>
    <col min="2817" max="2817" width="23.453125" style="43" customWidth="1"/>
    <col min="2818" max="2818" width="7.54296875" style="43" bestFit="1" customWidth="1"/>
    <col min="2819" max="2819" width="8.36328125" style="43" bestFit="1" customWidth="1"/>
    <col min="2820" max="2824" width="8.90625" style="43"/>
    <col min="2825" max="2825" width="9.90625" style="43" bestFit="1" customWidth="1"/>
    <col min="2826" max="3072" width="8.90625" style="43"/>
    <col min="3073" max="3073" width="23.453125" style="43" customWidth="1"/>
    <col min="3074" max="3074" width="7.54296875" style="43" bestFit="1" customWidth="1"/>
    <col min="3075" max="3075" width="8.36328125" style="43" bestFit="1" customWidth="1"/>
    <col min="3076" max="3080" width="8.90625" style="43"/>
    <col min="3081" max="3081" width="9.90625" style="43" bestFit="1" customWidth="1"/>
    <col min="3082" max="3328" width="8.90625" style="43"/>
    <col min="3329" max="3329" width="23.453125" style="43" customWidth="1"/>
    <col min="3330" max="3330" width="7.54296875" style="43" bestFit="1" customWidth="1"/>
    <col min="3331" max="3331" width="8.36328125" style="43" bestFit="1" customWidth="1"/>
    <col min="3332" max="3336" width="8.90625" style="43"/>
    <col min="3337" max="3337" width="9.90625" style="43" bestFit="1" customWidth="1"/>
    <col min="3338" max="3584" width="8.90625" style="43"/>
    <col min="3585" max="3585" width="23.453125" style="43" customWidth="1"/>
    <col min="3586" max="3586" width="7.54296875" style="43" bestFit="1" customWidth="1"/>
    <col min="3587" max="3587" width="8.36328125" style="43" bestFit="1" customWidth="1"/>
    <col min="3588" max="3592" width="8.90625" style="43"/>
    <col min="3593" max="3593" width="9.90625" style="43" bestFit="1" customWidth="1"/>
    <col min="3594" max="3840" width="8.90625" style="43"/>
    <col min="3841" max="3841" width="23.453125" style="43" customWidth="1"/>
    <col min="3842" max="3842" width="7.54296875" style="43" bestFit="1" customWidth="1"/>
    <col min="3843" max="3843" width="8.36328125" style="43" bestFit="1" customWidth="1"/>
    <col min="3844" max="3848" width="8.90625" style="43"/>
    <col min="3849" max="3849" width="9.90625" style="43" bestFit="1" customWidth="1"/>
    <col min="3850" max="4096" width="8.90625" style="43"/>
    <col min="4097" max="4097" width="23.453125" style="43" customWidth="1"/>
    <col min="4098" max="4098" width="7.54296875" style="43" bestFit="1" customWidth="1"/>
    <col min="4099" max="4099" width="8.36328125" style="43" bestFit="1" customWidth="1"/>
    <col min="4100" max="4104" width="8.90625" style="43"/>
    <col min="4105" max="4105" width="9.90625" style="43" bestFit="1" customWidth="1"/>
    <col min="4106" max="4352" width="8.90625" style="43"/>
    <col min="4353" max="4353" width="23.453125" style="43" customWidth="1"/>
    <col min="4354" max="4354" width="7.54296875" style="43" bestFit="1" customWidth="1"/>
    <col min="4355" max="4355" width="8.36328125" style="43" bestFit="1" customWidth="1"/>
    <col min="4356" max="4360" width="8.90625" style="43"/>
    <col min="4361" max="4361" width="9.90625" style="43" bestFit="1" customWidth="1"/>
    <col min="4362" max="4608" width="8.90625" style="43"/>
    <col min="4609" max="4609" width="23.453125" style="43" customWidth="1"/>
    <col min="4610" max="4610" width="7.54296875" style="43" bestFit="1" customWidth="1"/>
    <col min="4611" max="4611" width="8.36328125" style="43" bestFit="1" customWidth="1"/>
    <col min="4612" max="4616" width="8.90625" style="43"/>
    <col min="4617" max="4617" width="9.90625" style="43" bestFit="1" customWidth="1"/>
    <col min="4618" max="4864" width="8.90625" style="43"/>
    <col min="4865" max="4865" width="23.453125" style="43" customWidth="1"/>
    <col min="4866" max="4866" width="7.54296875" style="43" bestFit="1" customWidth="1"/>
    <col min="4867" max="4867" width="8.36328125" style="43" bestFit="1" customWidth="1"/>
    <col min="4868" max="4872" width="8.90625" style="43"/>
    <col min="4873" max="4873" width="9.90625" style="43" bestFit="1" customWidth="1"/>
    <col min="4874" max="5120" width="8.90625" style="43"/>
    <col min="5121" max="5121" width="23.453125" style="43" customWidth="1"/>
    <col min="5122" max="5122" width="7.54296875" style="43" bestFit="1" customWidth="1"/>
    <col min="5123" max="5123" width="8.36328125" style="43" bestFit="1" customWidth="1"/>
    <col min="5124" max="5128" width="8.90625" style="43"/>
    <col min="5129" max="5129" width="9.90625" style="43" bestFit="1" customWidth="1"/>
    <col min="5130" max="5376" width="8.90625" style="43"/>
    <col min="5377" max="5377" width="23.453125" style="43" customWidth="1"/>
    <col min="5378" max="5378" width="7.54296875" style="43" bestFit="1" customWidth="1"/>
    <col min="5379" max="5379" width="8.36328125" style="43" bestFit="1" customWidth="1"/>
    <col min="5380" max="5384" width="8.90625" style="43"/>
    <col min="5385" max="5385" width="9.90625" style="43" bestFit="1" customWidth="1"/>
    <col min="5386" max="5632" width="8.90625" style="43"/>
    <col min="5633" max="5633" width="23.453125" style="43" customWidth="1"/>
    <col min="5634" max="5634" width="7.54296875" style="43" bestFit="1" customWidth="1"/>
    <col min="5635" max="5635" width="8.36328125" style="43" bestFit="1" customWidth="1"/>
    <col min="5636" max="5640" width="8.90625" style="43"/>
    <col min="5641" max="5641" width="9.90625" style="43" bestFit="1" customWidth="1"/>
    <col min="5642" max="5888" width="8.90625" style="43"/>
    <col min="5889" max="5889" width="23.453125" style="43" customWidth="1"/>
    <col min="5890" max="5890" width="7.54296875" style="43" bestFit="1" customWidth="1"/>
    <col min="5891" max="5891" width="8.36328125" style="43" bestFit="1" customWidth="1"/>
    <col min="5892" max="5896" width="8.90625" style="43"/>
    <col min="5897" max="5897" width="9.90625" style="43" bestFit="1" customWidth="1"/>
    <col min="5898" max="6144" width="8.90625" style="43"/>
    <col min="6145" max="6145" width="23.453125" style="43" customWidth="1"/>
    <col min="6146" max="6146" width="7.54296875" style="43" bestFit="1" customWidth="1"/>
    <col min="6147" max="6147" width="8.36328125" style="43" bestFit="1" customWidth="1"/>
    <col min="6148" max="6152" width="8.90625" style="43"/>
    <col min="6153" max="6153" width="9.90625" style="43" bestFit="1" customWidth="1"/>
    <col min="6154" max="6400" width="8.90625" style="43"/>
    <col min="6401" max="6401" width="23.453125" style="43" customWidth="1"/>
    <col min="6402" max="6402" width="7.54296875" style="43" bestFit="1" customWidth="1"/>
    <col min="6403" max="6403" width="8.36328125" style="43" bestFit="1" customWidth="1"/>
    <col min="6404" max="6408" width="8.90625" style="43"/>
    <col min="6409" max="6409" width="9.90625" style="43" bestFit="1" customWidth="1"/>
    <col min="6410" max="6656" width="8.90625" style="43"/>
    <col min="6657" max="6657" width="23.453125" style="43" customWidth="1"/>
    <col min="6658" max="6658" width="7.54296875" style="43" bestFit="1" customWidth="1"/>
    <col min="6659" max="6659" width="8.36328125" style="43" bestFit="1" customWidth="1"/>
    <col min="6660" max="6664" width="8.90625" style="43"/>
    <col min="6665" max="6665" width="9.90625" style="43" bestFit="1" customWidth="1"/>
    <col min="6666" max="6912" width="8.90625" style="43"/>
    <col min="6913" max="6913" width="23.453125" style="43" customWidth="1"/>
    <col min="6914" max="6914" width="7.54296875" style="43" bestFit="1" customWidth="1"/>
    <col min="6915" max="6915" width="8.36328125" style="43" bestFit="1" customWidth="1"/>
    <col min="6916" max="6920" width="8.90625" style="43"/>
    <col min="6921" max="6921" width="9.90625" style="43" bestFit="1" customWidth="1"/>
    <col min="6922" max="7168" width="8.90625" style="43"/>
    <col min="7169" max="7169" width="23.453125" style="43" customWidth="1"/>
    <col min="7170" max="7170" width="7.54296875" style="43" bestFit="1" customWidth="1"/>
    <col min="7171" max="7171" width="8.36328125" style="43" bestFit="1" customWidth="1"/>
    <col min="7172" max="7176" width="8.90625" style="43"/>
    <col min="7177" max="7177" width="9.90625" style="43" bestFit="1" customWidth="1"/>
    <col min="7178" max="7424" width="8.90625" style="43"/>
    <col min="7425" max="7425" width="23.453125" style="43" customWidth="1"/>
    <col min="7426" max="7426" width="7.54296875" style="43" bestFit="1" customWidth="1"/>
    <col min="7427" max="7427" width="8.36328125" style="43" bestFit="1" customWidth="1"/>
    <col min="7428" max="7432" width="8.90625" style="43"/>
    <col min="7433" max="7433" width="9.90625" style="43" bestFit="1" customWidth="1"/>
    <col min="7434" max="7680" width="8.90625" style="43"/>
    <col min="7681" max="7681" width="23.453125" style="43" customWidth="1"/>
    <col min="7682" max="7682" width="7.54296875" style="43" bestFit="1" customWidth="1"/>
    <col min="7683" max="7683" width="8.36328125" style="43" bestFit="1" customWidth="1"/>
    <col min="7684" max="7688" width="8.90625" style="43"/>
    <col min="7689" max="7689" width="9.90625" style="43" bestFit="1" customWidth="1"/>
    <col min="7690" max="7936" width="8.90625" style="43"/>
    <col min="7937" max="7937" width="23.453125" style="43" customWidth="1"/>
    <col min="7938" max="7938" width="7.54296875" style="43" bestFit="1" customWidth="1"/>
    <col min="7939" max="7939" width="8.36328125" style="43" bestFit="1" customWidth="1"/>
    <col min="7940" max="7944" width="8.90625" style="43"/>
    <col min="7945" max="7945" width="9.90625" style="43" bestFit="1" customWidth="1"/>
    <col min="7946" max="8192" width="8.90625" style="43"/>
    <col min="8193" max="8193" width="23.453125" style="43" customWidth="1"/>
    <col min="8194" max="8194" width="7.54296875" style="43" bestFit="1" customWidth="1"/>
    <col min="8195" max="8195" width="8.36328125" style="43" bestFit="1" customWidth="1"/>
    <col min="8196" max="8200" width="8.90625" style="43"/>
    <col min="8201" max="8201" width="9.90625" style="43" bestFit="1" customWidth="1"/>
    <col min="8202" max="8448" width="8.90625" style="43"/>
    <col min="8449" max="8449" width="23.453125" style="43" customWidth="1"/>
    <col min="8450" max="8450" width="7.54296875" style="43" bestFit="1" customWidth="1"/>
    <col min="8451" max="8451" width="8.36328125" style="43" bestFit="1" customWidth="1"/>
    <col min="8452" max="8456" width="8.90625" style="43"/>
    <col min="8457" max="8457" width="9.90625" style="43" bestFit="1" customWidth="1"/>
    <col min="8458" max="8704" width="8.90625" style="43"/>
    <col min="8705" max="8705" width="23.453125" style="43" customWidth="1"/>
    <col min="8706" max="8706" width="7.54296875" style="43" bestFit="1" customWidth="1"/>
    <col min="8707" max="8707" width="8.36328125" style="43" bestFit="1" customWidth="1"/>
    <col min="8708" max="8712" width="8.90625" style="43"/>
    <col min="8713" max="8713" width="9.90625" style="43" bestFit="1" customWidth="1"/>
    <col min="8714" max="8960" width="8.90625" style="43"/>
    <col min="8961" max="8961" width="23.453125" style="43" customWidth="1"/>
    <col min="8962" max="8962" width="7.54296875" style="43" bestFit="1" customWidth="1"/>
    <col min="8963" max="8963" width="8.36328125" style="43" bestFit="1" customWidth="1"/>
    <col min="8964" max="8968" width="8.90625" style="43"/>
    <col min="8969" max="8969" width="9.90625" style="43" bestFit="1" customWidth="1"/>
    <col min="8970" max="9216" width="8.90625" style="43"/>
    <col min="9217" max="9217" width="23.453125" style="43" customWidth="1"/>
    <col min="9218" max="9218" width="7.54296875" style="43" bestFit="1" customWidth="1"/>
    <col min="9219" max="9219" width="8.36328125" style="43" bestFit="1" customWidth="1"/>
    <col min="9220" max="9224" width="8.90625" style="43"/>
    <col min="9225" max="9225" width="9.90625" style="43" bestFit="1" customWidth="1"/>
    <col min="9226" max="9472" width="8.90625" style="43"/>
    <col min="9473" max="9473" width="23.453125" style="43" customWidth="1"/>
    <col min="9474" max="9474" width="7.54296875" style="43" bestFit="1" customWidth="1"/>
    <col min="9475" max="9475" width="8.36328125" style="43" bestFit="1" customWidth="1"/>
    <col min="9476" max="9480" width="8.90625" style="43"/>
    <col min="9481" max="9481" width="9.90625" style="43" bestFit="1" customWidth="1"/>
    <col min="9482" max="9728" width="8.90625" style="43"/>
    <col min="9729" max="9729" width="23.453125" style="43" customWidth="1"/>
    <col min="9730" max="9730" width="7.54296875" style="43" bestFit="1" customWidth="1"/>
    <col min="9731" max="9731" width="8.36328125" style="43" bestFit="1" customWidth="1"/>
    <col min="9732" max="9736" width="8.90625" style="43"/>
    <col min="9737" max="9737" width="9.90625" style="43" bestFit="1" customWidth="1"/>
    <col min="9738" max="9984" width="8.90625" style="43"/>
    <col min="9985" max="9985" width="23.453125" style="43" customWidth="1"/>
    <col min="9986" max="9986" width="7.54296875" style="43" bestFit="1" customWidth="1"/>
    <col min="9987" max="9987" width="8.36328125" style="43" bestFit="1" customWidth="1"/>
    <col min="9988" max="9992" width="8.90625" style="43"/>
    <col min="9993" max="9993" width="9.90625" style="43" bestFit="1" customWidth="1"/>
    <col min="9994" max="10240" width="8.90625" style="43"/>
    <col min="10241" max="10241" width="23.453125" style="43" customWidth="1"/>
    <col min="10242" max="10242" width="7.54296875" style="43" bestFit="1" customWidth="1"/>
    <col min="10243" max="10243" width="8.36328125" style="43" bestFit="1" customWidth="1"/>
    <col min="10244" max="10248" width="8.90625" style="43"/>
    <col min="10249" max="10249" width="9.90625" style="43" bestFit="1" customWidth="1"/>
    <col min="10250" max="10496" width="8.90625" style="43"/>
    <col min="10497" max="10497" width="23.453125" style="43" customWidth="1"/>
    <col min="10498" max="10498" width="7.54296875" style="43" bestFit="1" customWidth="1"/>
    <col min="10499" max="10499" width="8.36328125" style="43" bestFit="1" customWidth="1"/>
    <col min="10500" max="10504" width="8.90625" style="43"/>
    <col min="10505" max="10505" width="9.90625" style="43" bestFit="1" customWidth="1"/>
    <col min="10506" max="10752" width="8.90625" style="43"/>
    <col min="10753" max="10753" width="23.453125" style="43" customWidth="1"/>
    <col min="10754" max="10754" width="7.54296875" style="43" bestFit="1" customWidth="1"/>
    <col min="10755" max="10755" width="8.36328125" style="43" bestFit="1" customWidth="1"/>
    <col min="10756" max="10760" width="8.90625" style="43"/>
    <col min="10761" max="10761" width="9.90625" style="43" bestFit="1" customWidth="1"/>
    <col min="10762" max="11008" width="8.90625" style="43"/>
    <col min="11009" max="11009" width="23.453125" style="43" customWidth="1"/>
    <col min="11010" max="11010" width="7.54296875" style="43" bestFit="1" customWidth="1"/>
    <col min="11011" max="11011" width="8.36328125" style="43" bestFit="1" customWidth="1"/>
    <col min="11012" max="11016" width="8.90625" style="43"/>
    <col min="11017" max="11017" width="9.90625" style="43" bestFit="1" customWidth="1"/>
    <col min="11018" max="11264" width="8.90625" style="43"/>
    <col min="11265" max="11265" width="23.453125" style="43" customWidth="1"/>
    <col min="11266" max="11266" width="7.54296875" style="43" bestFit="1" customWidth="1"/>
    <col min="11267" max="11267" width="8.36328125" style="43" bestFit="1" customWidth="1"/>
    <col min="11268" max="11272" width="8.90625" style="43"/>
    <col min="11273" max="11273" width="9.90625" style="43" bestFit="1" customWidth="1"/>
    <col min="11274" max="11520" width="8.90625" style="43"/>
    <col min="11521" max="11521" width="23.453125" style="43" customWidth="1"/>
    <col min="11522" max="11522" width="7.54296875" style="43" bestFit="1" customWidth="1"/>
    <col min="11523" max="11523" width="8.36328125" style="43" bestFit="1" customWidth="1"/>
    <col min="11524" max="11528" width="8.90625" style="43"/>
    <col min="11529" max="11529" width="9.90625" style="43" bestFit="1" customWidth="1"/>
    <col min="11530" max="11776" width="8.90625" style="43"/>
    <col min="11777" max="11777" width="23.453125" style="43" customWidth="1"/>
    <col min="11778" max="11778" width="7.54296875" style="43" bestFit="1" customWidth="1"/>
    <col min="11779" max="11779" width="8.36328125" style="43" bestFit="1" customWidth="1"/>
    <col min="11780" max="11784" width="8.90625" style="43"/>
    <col min="11785" max="11785" width="9.90625" style="43" bestFit="1" customWidth="1"/>
    <col min="11786" max="12032" width="8.90625" style="43"/>
    <col min="12033" max="12033" width="23.453125" style="43" customWidth="1"/>
    <col min="12034" max="12034" width="7.54296875" style="43" bestFit="1" customWidth="1"/>
    <col min="12035" max="12035" width="8.36328125" style="43" bestFit="1" customWidth="1"/>
    <col min="12036" max="12040" width="8.90625" style="43"/>
    <col min="12041" max="12041" width="9.90625" style="43" bestFit="1" customWidth="1"/>
    <col min="12042" max="12288" width="8.90625" style="43"/>
    <col min="12289" max="12289" width="23.453125" style="43" customWidth="1"/>
    <col min="12290" max="12290" width="7.54296875" style="43" bestFit="1" customWidth="1"/>
    <col min="12291" max="12291" width="8.36328125" style="43" bestFit="1" customWidth="1"/>
    <col min="12292" max="12296" width="8.90625" style="43"/>
    <col min="12297" max="12297" width="9.90625" style="43" bestFit="1" customWidth="1"/>
    <col min="12298" max="12544" width="8.90625" style="43"/>
    <col min="12545" max="12545" width="23.453125" style="43" customWidth="1"/>
    <col min="12546" max="12546" width="7.54296875" style="43" bestFit="1" customWidth="1"/>
    <col min="12547" max="12547" width="8.36328125" style="43" bestFit="1" customWidth="1"/>
    <col min="12548" max="12552" width="8.90625" style="43"/>
    <col min="12553" max="12553" width="9.90625" style="43" bestFit="1" customWidth="1"/>
    <col min="12554" max="12800" width="8.90625" style="43"/>
    <col min="12801" max="12801" width="23.453125" style="43" customWidth="1"/>
    <col min="12802" max="12802" width="7.54296875" style="43" bestFit="1" customWidth="1"/>
    <col min="12803" max="12803" width="8.36328125" style="43" bestFit="1" customWidth="1"/>
    <col min="12804" max="12808" width="8.90625" style="43"/>
    <col min="12809" max="12809" width="9.90625" style="43" bestFit="1" customWidth="1"/>
    <col min="12810" max="13056" width="8.90625" style="43"/>
    <col min="13057" max="13057" width="23.453125" style="43" customWidth="1"/>
    <col min="13058" max="13058" width="7.54296875" style="43" bestFit="1" customWidth="1"/>
    <col min="13059" max="13059" width="8.36328125" style="43" bestFit="1" customWidth="1"/>
    <col min="13060" max="13064" width="8.90625" style="43"/>
    <col min="13065" max="13065" width="9.90625" style="43" bestFit="1" customWidth="1"/>
    <col min="13066" max="13312" width="8.90625" style="43"/>
    <col min="13313" max="13313" width="23.453125" style="43" customWidth="1"/>
    <col min="13314" max="13314" width="7.54296875" style="43" bestFit="1" customWidth="1"/>
    <col min="13315" max="13315" width="8.36328125" style="43" bestFit="1" customWidth="1"/>
    <col min="13316" max="13320" width="8.90625" style="43"/>
    <col min="13321" max="13321" width="9.90625" style="43" bestFit="1" customWidth="1"/>
    <col min="13322" max="13568" width="8.90625" style="43"/>
    <col min="13569" max="13569" width="23.453125" style="43" customWidth="1"/>
    <col min="13570" max="13570" width="7.54296875" style="43" bestFit="1" customWidth="1"/>
    <col min="13571" max="13571" width="8.36328125" style="43" bestFit="1" customWidth="1"/>
    <col min="13572" max="13576" width="8.90625" style="43"/>
    <col min="13577" max="13577" width="9.90625" style="43" bestFit="1" customWidth="1"/>
    <col min="13578" max="13824" width="8.90625" style="43"/>
    <col min="13825" max="13825" width="23.453125" style="43" customWidth="1"/>
    <col min="13826" max="13826" width="7.54296875" style="43" bestFit="1" customWidth="1"/>
    <col min="13827" max="13827" width="8.36328125" style="43" bestFit="1" customWidth="1"/>
    <col min="13828" max="13832" width="8.90625" style="43"/>
    <col min="13833" max="13833" width="9.90625" style="43" bestFit="1" customWidth="1"/>
    <col min="13834" max="14080" width="8.90625" style="43"/>
    <col min="14081" max="14081" width="23.453125" style="43" customWidth="1"/>
    <col min="14082" max="14082" width="7.54296875" style="43" bestFit="1" customWidth="1"/>
    <col min="14083" max="14083" width="8.36328125" style="43" bestFit="1" customWidth="1"/>
    <col min="14084" max="14088" width="8.90625" style="43"/>
    <col min="14089" max="14089" width="9.90625" style="43" bestFit="1" customWidth="1"/>
    <col min="14090" max="14336" width="8.90625" style="43"/>
    <col min="14337" max="14337" width="23.453125" style="43" customWidth="1"/>
    <col min="14338" max="14338" width="7.54296875" style="43" bestFit="1" customWidth="1"/>
    <col min="14339" max="14339" width="8.36328125" style="43" bestFit="1" customWidth="1"/>
    <col min="14340" max="14344" width="8.90625" style="43"/>
    <col min="14345" max="14345" width="9.90625" style="43" bestFit="1" customWidth="1"/>
    <col min="14346" max="14592" width="8.90625" style="43"/>
    <col min="14593" max="14593" width="23.453125" style="43" customWidth="1"/>
    <col min="14594" max="14594" width="7.54296875" style="43" bestFit="1" customWidth="1"/>
    <col min="14595" max="14595" width="8.36328125" style="43" bestFit="1" customWidth="1"/>
    <col min="14596" max="14600" width="8.90625" style="43"/>
    <col min="14601" max="14601" width="9.90625" style="43" bestFit="1" customWidth="1"/>
    <col min="14602" max="14848" width="8.90625" style="43"/>
    <col min="14849" max="14849" width="23.453125" style="43" customWidth="1"/>
    <col min="14850" max="14850" width="7.54296875" style="43" bestFit="1" customWidth="1"/>
    <col min="14851" max="14851" width="8.36328125" style="43" bestFit="1" customWidth="1"/>
    <col min="14852" max="14856" width="8.90625" style="43"/>
    <col min="14857" max="14857" width="9.90625" style="43" bestFit="1" customWidth="1"/>
    <col min="14858" max="15104" width="8.90625" style="43"/>
    <col min="15105" max="15105" width="23.453125" style="43" customWidth="1"/>
    <col min="15106" max="15106" width="7.54296875" style="43" bestFit="1" customWidth="1"/>
    <col min="15107" max="15107" width="8.36328125" style="43" bestFit="1" customWidth="1"/>
    <col min="15108" max="15112" width="8.90625" style="43"/>
    <col min="15113" max="15113" width="9.90625" style="43" bestFit="1" customWidth="1"/>
    <col min="15114" max="15360" width="8.90625" style="43"/>
    <col min="15361" max="15361" width="23.453125" style="43" customWidth="1"/>
    <col min="15362" max="15362" width="7.54296875" style="43" bestFit="1" customWidth="1"/>
    <col min="15363" max="15363" width="8.36328125" style="43" bestFit="1" customWidth="1"/>
    <col min="15364" max="15368" width="8.90625" style="43"/>
    <col min="15369" max="15369" width="9.90625" style="43" bestFit="1" customWidth="1"/>
    <col min="15370" max="15616" width="8.90625" style="43"/>
    <col min="15617" max="15617" width="23.453125" style="43" customWidth="1"/>
    <col min="15618" max="15618" width="7.54296875" style="43" bestFit="1" customWidth="1"/>
    <col min="15619" max="15619" width="8.36328125" style="43" bestFit="1" customWidth="1"/>
    <col min="15620" max="15624" width="8.90625" style="43"/>
    <col min="15625" max="15625" width="9.90625" style="43" bestFit="1" customWidth="1"/>
    <col min="15626" max="15872" width="8.90625" style="43"/>
    <col min="15873" max="15873" width="23.453125" style="43" customWidth="1"/>
    <col min="15874" max="15874" width="7.54296875" style="43" bestFit="1" customWidth="1"/>
    <col min="15875" max="15875" width="8.36328125" style="43" bestFit="1" customWidth="1"/>
    <col min="15876" max="15880" width="8.90625" style="43"/>
    <col min="15881" max="15881" width="9.90625" style="43" bestFit="1" customWidth="1"/>
    <col min="15882" max="16128" width="8.90625" style="43"/>
    <col min="16129" max="16129" width="23.453125" style="43" customWidth="1"/>
    <col min="16130" max="16130" width="7.54296875" style="43" bestFit="1" customWidth="1"/>
    <col min="16131" max="16131" width="8.36328125" style="43" bestFit="1" customWidth="1"/>
    <col min="16132" max="16136" width="8.90625" style="43"/>
    <col min="16137" max="16137" width="9.90625" style="43" bestFit="1" customWidth="1"/>
    <col min="16138" max="16384" width="8.90625" style="43"/>
  </cols>
  <sheetData>
    <row r="1" spans="1:14" x14ac:dyDescent="0.25">
      <c r="A1" s="95" t="s">
        <v>82</v>
      </c>
    </row>
    <row r="2" spans="1:14" x14ac:dyDescent="0.25">
      <c r="A2" s="95" t="s">
        <v>96</v>
      </c>
    </row>
    <row r="3" spans="1:14" ht="15" customHeight="1" x14ac:dyDescent="0.25"/>
    <row r="4" spans="1:14" ht="15" customHeight="1" x14ac:dyDescent="0.25"/>
    <row r="5" spans="1:14" ht="15" customHeight="1" x14ac:dyDescent="0.25"/>
    <row r="6" spans="1:14" ht="15" customHeight="1" x14ac:dyDescent="0.25"/>
    <row r="7" spans="1:14" ht="15" customHeight="1" x14ac:dyDescent="0.25"/>
    <row r="8" spans="1:14" ht="15" customHeight="1" x14ac:dyDescent="0.25"/>
    <row r="9" spans="1:14" ht="15" customHeight="1" x14ac:dyDescent="0.25"/>
    <row r="10" spans="1:14" ht="15" customHeight="1" x14ac:dyDescent="0.25"/>
    <row r="11" spans="1:14" ht="15" customHeight="1" x14ac:dyDescent="0.25"/>
    <row r="12" spans="1:14" ht="15" customHeight="1" x14ac:dyDescent="0.25"/>
    <row r="13" spans="1:14" ht="15" customHeight="1" x14ac:dyDescent="0.25">
      <c r="N13" s="105"/>
    </row>
    <row r="14" spans="1:14" ht="15" customHeight="1" x14ac:dyDescent="0.25"/>
    <row r="15" spans="1:14" ht="15" customHeight="1" x14ac:dyDescent="0.25"/>
    <row r="16" spans="1:14" ht="15" customHeight="1" x14ac:dyDescent="0.25"/>
    <row r="17" spans="1:3" ht="15" customHeight="1" x14ac:dyDescent="0.25"/>
    <row r="18" spans="1:3" ht="15" customHeight="1" x14ac:dyDescent="0.25"/>
    <row r="19" spans="1:3" ht="15" customHeight="1" x14ac:dyDescent="0.25"/>
    <row r="20" spans="1:3" ht="15" customHeight="1" x14ac:dyDescent="0.25"/>
    <row r="21" spans="1:3" ht="15" customHeight="1" x14ac:dyDescent="0.25"/>
    <row r="22" spans="1:3" ht="15" customHeight="1" x14ac:dyDescent="0.25"/>
    <row r="23" spans="1:3" ht="15" customHeight="1" x14ac:dyDescent="0.25"/>
    <row r="24" spans="1:3" ht="15" customHeight="1" x14ac:dyDescent="0.25"/>
    <row r="25" spans="1:3" ht="15" customHeight="1" x14ac:dyDescent="0.25"/>
    <row r="26" spans="1:3" ht="15" customHeight="1" x14ac:dyDescent="0.25"/>
    <row r="27" spans="1:3" ht="15" customHeight="1" x14ac:dyDescent="0.25"/>
    <row r="28" spans="1:3" ht="15" customHeight="1" x14ac:dyDescent="0.25"/>
    <row r="29" spans="1:3" ht="15" customHeight="1" x14ac:dyDescent="0.25"/>
    <row r="31" spans="1:3" x14ac:dyDescent="0.25">
      <c r="A31" s="67" t="s">
        <v>23</v>
      </c>
      <c r="B31" s="62" t="s">
        <v>66</v>
      </c>
      <c r="C31" s="62" t="s">
        <v>67</v>
      </c>
    </row>
    <row r="32" spans="1:3" x14ac:dyDescent="0.25">
      <c r="A32" s="43" t="s">
        <v>139</v>
      </c>
      <c r="B32" s="92">
        <f t="shared" ref="B32:B47" si="0">+C32/$C$48</f>
        <v>-1.0233661016882685</v>
      </c>
      <c r="C32" s="74">
        <f>-'S1B Major Items of Change'!D11</f>
        <v>-3069843.400000005</v>
      </c>
    </row>
    <row r="33" spans="1:9" x14ac:dyDescent="0.25">
      <c r="A33" s="43" t="s">
        <v>86</v>
      </c>
      <c r="B33" s="92">
        <f t="shared" si="0"/>
        <v>-0.48426193744884383</v>
      </c>
      <c r="C33" s="74">
        <f>-'S1B Major Items of Change'!D12</f>
        <v>-1452665.1900000006</v>
      </c>
      <c r="F33" s="43" t="s">
        <v>68</v>
      </c>
      <c r="I33" s="100">
        <f>+'S1 VEC Master Summary'!E32</f>
        <v>100377592</v>
      </c>
    </row>
    <row r="34" spans="1:9" x14ac:dyDescent="0.25">
      <c r="A34" s="43" t="s">
        <v>87</v>
      </c>
      <c r="B34" s="92">
        <f t="shared" si="0"/>
        <v>-0.17182954338275791</v>
      </c>
      <c r="C34" s="74">
        <f>-'S1B Major Items of Change'!D13</f>
        <v>-515445.82999999996</v>
      </c>
      <c r="I34" s="100"/>
    </row>
    <row r="35" spans="1:9" x14ac:dyDescent="0.25">
      <c r="A35" s="43" t="s">
        <v>94</v>
      </c>
      <c r="B35" s="92">
        <f t="shared" si="0"/>
        <v>-6.6917336033124303E-2</v>
      </c>
      <c r="C35" s="74">
        <f>-'S1B Major Items of Change'!D14</f>
        <v>-200735.34</v>
      </c>
      <c r="F35" s="43" t="s">
        <v>69</v>
      </c>
      <c r="I35" s="100">
        <f>+'S1 VEC Master Summary'!E40</f>
        <v>2999750.9150788262</v>
      </c>
    </row>
    <row r="36" spans="1:9" x14ac:dyDescent="0.25">
      <c r="A36" s="43" t="s">
        <v>90</v>
      </c>
      <c r="B36" s="92">
        <f t="shared" si="0"/>
        <v>2.1043079171239053E-2</v>
      </c>
      <c r="C36" s="99">
        <f>-'S1B Major Items of Change'!D29</f>
        <v>63123.995999999934</v>
      </c>
    </row>
    <row r="37" spans="1:9" x14ac:dyDescent="0.25">
      <c r="A37" s="43" t="str">
        <f>'S1B Major Items of Change'!B28</f>
        <v xml:space="preserve">Financial Services </v>
      </c>
      <c r="B37" s="92">
        <f t="shared" si="0"/>
        <v>3.7145750815471626E-2</v>
      </c>
      <c r="C37" s="99">
        <f>-'S1B Major Items of Change'!D28</f>
        <v>111428</v>
      </c>
      <c r="F37" s="43" t="s">
        <v>70</v>
      </c>
      <c r="I37" s="101">
        <f>+I35/I33</f>
        <v>2.9884667038823028E-2</v>
      </c>
    </row>
    <row r="38" spans="1:9" x14ac:dyDescent="0.25">
      <c r="A38" s="43" t="s">
        <v>98</v>
      </c>
      <c r="B38" s="92">
        <f t="shared" si="0"/>
        <v>3.7612789592910652E-2</v>
      </c>
      <c r="C38" s="99">
        <f>-'S1B Major Items of Change'!D27</f>
        <v>112829</v>
      </c>
      <c r="I38" s="101"/>
    </row>
    <row r="39" spans="1:9" x14ac:dyDescent="0.25">
      <c r="A39" s="43" t="s">
        <v>91</v>
      </c>
      <c r="B39" s="92">
        <f t="shared" si="0"/>
        <v>5.5823352283073974E-2</v>
      </c>
      <c r="C39" s="99">
        <f>-'S1B Major Items of Change'!D26</f>
        <v>167456.15209391722</v>
      </c>
      <c r="I39" s="101"/>
    </row>
    <row r="40" spans="1:9" x14ac:dyDescent="0.25">
      <c r="A40" s="43" t="s">
        <v>140</v>
      </c>
      <c r="B40" s="92">
        <f t="shared" si="0"/>
        <v>0.10018773341789469</v>
      </c>
      <c r="C40" s="99">
        <f>-'S1B Major Items of Change'!D25</f>
        <v>300538.24500000023</v>
      </c>
      <c r="I40" s="101"/>
    </row>
    <row r="41" spans="1:9" x14ac:dyDescent="0.25">
      <c r="A41" s="43" t="s">
        <v>76</v>
      </c>
      <c r="B41" s="92">
        <f t="shared" si="0"/>
        <v>0.13339905256416537</v>
      </c>
      <c r="C41" s="99">
        <f>-'S1B Major Items of Change'!D24</f>
        <v>400163.9299999997</v>
      </c>
      <c r="I41" s="101"/>
    </row>
    <row r="42" spans="1:9" x14ac:dyDescent="0.25">
      <c r="A42" s="43" t="s">
        <v>84</v>
      </c>
      <c r="B42" s="92">
        <f t="shared" si="0"/>
        <v>0.1456557602178522</v>
      </c>
      <c r="C42" s="99">
        <f>-'S1B Major Items of Change'!D23</f>
        <v>436931</v>
      </c>
      <c r="I42" s="101"/>
    </row>
    <row r="43" spans="1:9" x14ac:dyDescent="0.25">
      <c r="A43" s="43" t="s">
        <v>83</v>
      </c>
      <c r="B43" s="92">
        <f t="shared" si="0"/>
        <v>0.20356154137016405</v>
      </c>
      <c r="C43" s="99">
        <f>-'S1B Major Items of Change'!D22</f>
        <v>610633.92000000004</v>
      </c>
    </row>
    <row r="44" spans="1:9" x14ac:dyDescent="0.25">
      <c r="A44" s="43" t="s">
        <v>99</v>
      </c>
      <c r="B44" s="92">
        <f t="shared" si="0"/>
        <v>0.30109899974020815</v>
      </c>
      <c r="C44" s="99">
        <f>-'S1B Major Items of Change'!D21</f>
        <v>903222</v>
      </c>
    </row>
    <row r="45" spans="1:9" x14ac:dyDescent="0.25">
      <c r="A45" s="43" t="s">
        <v>111</v>
      </c>
      <c r="B45" s="92">
        <f t="shared" si="0"/>
        <v>0.42640902134745606</v>
      </c>
      <c r="C45" s="99">
        <f>-'S1B Major Items of Change'!D20</f>
        <v>1279120.8519848858</v>
      </c>
    </row>
    <row r="46" spans="1:9" x14ac:dyDescent="0.25">
      <c r="A46" s="43" t="s">
        <v>95</v>
      </c>
      <c r="B46" s="92">
        <f t="shared" si="0"/>
        <v>0.43869142380624371</v>
      </c>
      <c r="C46" s="74">
        <f>-'S1B Major Items of Change'!D19</f>
        <v>1315965</v>
      </c>
    </row>
    <row r="47" spans="1:9" x14ac:dyDescent="0.25">
      <c r="A47" s="43" t="s">
        <v>85</v>
      </c>
      <c r="B47" s="102">
        <f t="shared" si="0"/>
        <v>0.8457464142263148</v>
      </c>
      <c r="C47" s="103">
        <f>-'S1B Major Items of Change'!D18</f>
        <v>2537028.5799999996</v>
      </c>
    </row>
    <row r="48" spans="1:9" x14ac:dyDescent="0.25">
      <c r="A48" s="43" t="s">
        <v>71</v>
      </c>
      <c r="B48" s="92">
        <f>SUM(B32:B47)</f>
        <v>0.99999999999999967</v>
      </c>
      <c r="C48" s="99">
        <f>SUM(C32:C47)</f>
        <v>2999750.9150787974</v>
      </c>
    </row>
    <row r="49" spans="3:3" x14ac:dyDescent="0.25">
      <c r="C49" s="74"/>
    </row>
  </sheetData>
  <sortState xmlns:xlrd2="http://schemas.microsoft.com/office/spreadsheetml/2017/richdata2" ref="A32:C47">
    <sortCondition ref="C32:C47"/>
  </sortState>
  <pageMargins left="0.7" right="0.7" top="0.75" bottom="0.75" header="0.3" footer="0.3"/>
  <pageSetup scale="54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>
    <pageSetUpPr fitToPage="1"/>
  </sheetPr>
  <dimension ref="B1:G40"/>
  <sheetViews>
    <sheetView showGridLines="0" topLeftCell="A12" zoomScale="80" zoomScaleNormal="80" workbookViewId="0">
      <selection activeCell="B32" sqref="B32"/>
    </sheetView>
  </sheetViews>
  <sheetFormatPr defaultColWidth="11.08984375" defaultRowHeight="13.2" x14ac:dyDescent="0.25"/>
  <cols>
    <col min="1" max="1" width="7.36328125" style="71" bestFit="1" customWidth="1"/>
    <col min="2" max="2" width="57" style="71" bestFit="1" customWidth="1"/>
    <col min="3" max="3" width="2.453125" style="71" customWidth="1"/>
    <col min="4" max="4" width="16.1796875" style="73" bestFit="1" customWidth="1"/>
    <col min="5" max="5" width="2.453125" style="71" customWidth="1"/>
    <col min="6" max="6" width="62.1796875" style="71" customWidth="1"/>
    <col min="7" max="7" width="12.1796875" style="71" hidden="1" customWidth="1"/>
    <col min="8" max="16384" width="11.08984375" style="71"/>
  </cols>
  <sheetData>
    <row r="1" spans="2:7" ht="15.6" x14ac:dyDescent="0.25">
      <c r="B1" s="75" t="s">
        <v>82</v>
      </c>
      <c r="C1" s="84"/>
      <c r="D1" s="76"/>
    </row>
    <row r="2" spans="2:7" ht="15.6" x14ac:dyDescent="0.25">
      <c r="B2" s="75" t="s">
        <v>97</v>
      </c>
      <c r="C2" s="84"/>
      <c r="D2" s="76"/>
    </row>
    <row r="3" spans="2:7" ht="15.6" x14ac:dyDescent="0.25">
      <c r="B3" s="75" t="s">
        <v>126</v>
      </c>
      <c r="C3" s="84"/>
      <c r="D3" s="76"/>
    </row>
    <row r="4" spans="2:7" ht="15.6" x14ac:dyDescent="0.25">
      <c r="B4" s="75" t="s">
        <v>117</v>
      </c>
      <c r="C4" s="84"/>
      <c r="D4" s="76"/>
    </row>
    <row r="5" spans="2:7" ht="22.2" customHeight="1" x14ac:dyDescent="0.25">
      <c r="B5" s="84"/>
      <c r="C5" s="84"/>
      <c r="D5" s="76"/>
    </row>
    <row r="6" spans="2:7" ht="15" x14ac:dyDescent="0.25">
      <c r="B6" s="84"/>
      <c r="C6" s="84"/>
      <c r="D6" s="76"/>
    </row>
    <row r="7" spans="2:7" ht="15.6" x14ac:dyDescent="0.25">
      <c r="B7" s="131"/>
      <c r="C7" s="84"/>
      <c r="D7" s="132" t="s">
        <v>20</v>
      </c>
      <c r="G7" s="78" t="s">
        <v>88</v>
      </c>
    </row>
    <row r="8" spans="2:7" ht="15.6" x14ac:dyDescent="0.25">
      <c r="B8" s="84"/>
      <c r="C8" s="84"/>
      <c r="D8" s="133" t="s">
        <v>101</v>
      </c>
    </row>
    <row r="9" spans="2:7" s="85" customFormat="1" ht="15.6" x14ac:dyDescent="0.25">
      <c r="B9" s="126" t="s">
        <v>124</v>
      </c>
      <c r="C9" s="119"/>
      <c r="D9" s="125"/>
    </row>
    <row r="10" spans="2:7" s="85" customFormat="1" x14ac:dyDescent="0.25">
      <c r="D10" s="80"/>
    </row>
    <row r="11" spans="2:7" s="85" customFormat="1" ht="25.05" customHeight="1" x14ac:dyDescent="0.25">
      <c r="B11" s="119" t="s">
        <v>62</v>
      </c>
      <c r="C11" s="119"/>
      <c r="D11" s="120">
        <v>3069843.400000005</v>
      </c>
      <c r="F11" s="118" t="s">
        <v>134</v>
      </c>
      <c r="G11" s="97" t="e">
        <f>-#REF!-'S1 VEC Master Summary'!$C$40-'S1 VEC Master Summary'!$D$19-'S1 VEC Master Summary'!$D$20-#REF!-#REF!</f>
        <v>#REF!</v>
      </c>
    </row>
    <row r="12" spans="2:7" s="85" customFormat="1" ht="25.05" customHeight="1" x14ac:dyDescent="0.25">
      <c r="B12" s="119" t="s">
        <v>103</v>
      </c>
      <c r="C12" s="121"/>
      <c r="D12" s="122">
        <v>1452665.1900000006</v>
      </c>
      <c r="F12" s="118" t="s">
        <v>135</v>
      </c>
      <c r="G12" s="98" t="e">
        <f>-#REF!-#REF!-#REF!-#REF!</f>
        <v>#REF!</v>
      </c>
    </row>
    <row r="13" spans="2:7" s="85" customFormat="1" ht="25.05" customHeight="1" x14ac:dyDescent="0.25">
      <c r="B13" s="119" t="s">
        <v>104</v>
      </c>
      <c r="C13" s="119"/>
      <c r="D13" s="122">
        <v>515445.82999999996</v>
      </c>
      <c r="F13" s="118" t="s">
        <v>118</v>
      </c>
      <c r="G13" s="98" t="e">
        <f>+#REF!+#REF!</f>
        <v>#REF!</v>
      </c>
    </row>
    <row r="14" spans="2:7" s="85" customFormat="1" ht="25.05" customHeight="1" x14ac:dyDescent="0.25">
      <c r="B14" s="119" t="s">
        <v>102</v>
      </c>
      <c r="C14" s="119"/>
      <c r="D14" s="122">
        <v>200735.34</v>
      </c>
      <c r="F14" s="118" t="s">
        <v>130</v>
      </c>
      <c r="G14" s="98" t="e">
        <f>-#REF!-#REF!</f>
        <v>#REF!</v>
      </c>
    </row>
    <row r="15" spans="2:7" s="85" customFormat="1" ht="25.05" customHeight="1" x14ac:dyDescent="0.25">
      <c r="B15" s="123" t="s">
        <v>73</v>
      </c>
      <c r="C15" s="119"/>
      <c r="D15" s="124">
        <f>SUM(D11:D14)</f>
        <v>5238689.7600000054</v>
      </c>
      <c r="F15" s="118"/>
      <c r="G15" s="82" t="e">
        <f>SUM(G11:G14)</f>
        <v>#REF!</v>
      </c>
    </row>
    <row r="16" spans="2:7" s="85" customFormat="1" ht="6.6" customHeight="1" x14ac:dyDescent="0.25">
      <c r="B16" s="119"/>
      <c r="C16" s="119"/>
      <c r="D16" s="125"/>
      <c r="F16" s="118"/>
    </row>
    <row r="17" spans="2:7" s="85" customFormat="1" ht="25.05" customHeight="1" x14ac:dyDescent="0.25">
      <c r="B17" s="126" t="s">
        <v>125</v>
      </c>
      <c r="C17" s="119"/>
      <c r="D17" s="125"/>
      <c r="F17" s="118"/>
    </row>
    <row r="18" spans="2:7" s="85" customFormat="1" ht="25.05" customHeight="1" x14ac:dyDescent="0.25">
      <c r="B18" s="119" t="s">
        <v>105</v>
      </c>
      <c r="C18" s="119"/>
      <c r="D18" s="122">
        <v>-2537028.5799999996</v>
      </c>
      <c r="F18" s="118" t="s">
        <v>136</v>
      </c>
      <c r="G18" s="98" t="e">
        <f>-#REF!</f>
        <v>#REF!</v>
      </c>
    </row>
    <row r="19" spans="2:7" s="85" customFormat="1" ht="33.6" customHeight="1" x14ac:dyDescent="0.25">
      <c r="B19" s="119" t="s">
        <v>107</v>
      </c>
      <c r="C19" s="119"/>
      <c r="D19" s="122">
        <v>-1315965</v>
      </c>
      <c r="F19" s="118" t="s">
        <v>137</v>
      </c>
      <c r="G19" s="98" t="e">
        <f>-#REF!</f>
        <v>#REF!</v>
      </c>
    </row>
    <row r="20" spans="2:7" s="85" customFormat="1" ht="25.05" customHeight="1" x14ac:dyDescent="0.25">
      <c r="B20" s="119" t="s">
        <v>138</v>
      </c>
      <c r="C20" s="119"/>
      <c r="D20" s="122">
        <v>-1279120.8519848858</v>
      </c>
      <c r="F20" s="118" t="s">
        <v>92</v>
      </c>
      <c r="G20" s="98" t="e">
        <f>-#REF!-#REF!-#REF!-#REF!-#REF!-#REF!</f>
        <v>#REF!</v>
      </c>
    </row>
    <row r="21" spans="2:7" s="85" customFormat="1" ht="25.05" customHeight="1" x14ac:dyDescent="0.25">
      <c r="B21" s="119" t="s">
        <v>106</v>
      </c>
      <c r="C21" s="119"/>
      <c r="D21" s="122">
        <v>-903222</v>
      </c>
      <c r="F21" s="118" t="s">
        <v>119</v>
      </c>
      <c r="G21" s="81" t="e">
        <f>-#REF!-#REF!</f>
        <v>#REF!</v>
      </c>
    </row>
    <row r="22" spans="2:7" s="85" customFormat="1" ht="25.05" customHeight="1" x14ac:dyDescent="0.25">
      <c r="B22" s="119" t="s">
        <v>108</v>
      </c>
      <c r="C22" s="119"/>
      <c r="D22" s="122">
        <v>-610633.92000000004</v>
      </c>
      <c r="F22" s="118" t="s">
        <v>120</v>
      </c>
      <c r="G22" s="98" t="e">
        <f>-#REF!-#REF!</f>
        <v>#REF!</v>
      </c>
    </row>
    <row r="23" spans="2:7" s="85" customFormat="1" ht="25.05" customHeight="1" x14ac:dyDescent="0.25">
      <c r="B23" s="119" t="s">
        <v>110</v>
      </c>
      <c r="C23" s="119"/>
      <c r="D23" s="122">
        <v>-436931</v>
      </c>
      <c r="F23" s="118" t="s">
        <v>121</v>
      </c>
      <c r="G23" s="98" t="e">
        <f>-#REF!</f>
        <v>#REF!</v>
      </c>
    </row>
    <row r="24" spans="2:7" s="85" customFormat="1" ht="25.05" customHeight="1" x14ac:dyDescent="0.25">
      <c r="B24" s="119" t="s">
        <v>76</v>
      </c>
      <c r="C24" s="119"/>
      <c r="D24" s="122">
        <v>-400163.9299999997</v>
      </c>
      <c r="F24" s="118" t="s">
        <v>131</v>
      </c>
      <c r="G24" s="98" t="e">
        <f>-#REF!-#REF!</f>
        <v>#REF!</v>
      </c>
    </row>
    <row r="25" spans="2:7" s="85" customFormat="1" ht="25.05" customHeight="1" x14ac:dyDescent="0.25">
      <c r="B25" s="119" t="s">
        <v>127</v>
      </c>
      <c r="C25" s="119"/>
      <c r="D25" s="122">
        <v>-300538.24500000023</v>
      </c>
      <c r="F25" s="118" t="s">
        <v>129</v>
      </c>
      <c r="G25" s="98" t="e">
        <f>-#REF!-#REF!-#REF!-#REF!</f>
        <v>#REF!</v>
      </c>
    </row>
    <row r="26" spans="2:7" s="85" customFormat="1" ht="25.05" customHeight="1" x14ac:dyDescent="0.25">
      <c r="B26" s="119" t="s">
        <v>116</v>
      </c>
      <c r="C26" s="119"/>
      <c r="D26" s="122">
        <v>-167456.15209391722</v>
      </c>
      <c r="F26" s="118" t="s">
        <v>123</v>
      </c>
      <c r="G26" s="98" t="e">
        <f>-#REF!-#REF!-#REF!-#REF!-#REF!-#REF!</f>
        <v>#REF!</v>
      </c>
    </row>
    <row r="27" spans="2:7" s="85" customFormat="1" ht="25.05" customHeight="1" x14ac:dyDescent="0.25">
      <c r="B27" s="119" t="s">
        <v>109</v>
      </c>
      <c r="C27" s="119"/>
      <c r="D27" s="122">
        <v>-112829</v>
      </c>
      <c r="F27" s="118" t="s">
        <v>122</v>
      </c>
      <c r="G27" s="98" t="e">
        <f>-#REF!</f>
        <v>#REF!</v>
      </c>
    </row>
    <row r="28" spans="2:7" s="85" customFormat="1" ht="25.05" customHeight="1" x14ac:dyDescent="0.25">
      <c r="B28" s="119" t="s">
        <v>128</v>
      </c>
      <c r="C28" s="119"/>
      <c r="D28" s="122">
        <v>-111428</v>
      </c>
      <c r="F28" s="118" t="s">
        <v>132</v>
      </c>
      <c r="G28" s="98"/>
    </row>
    <row r="29" spans="2:7" s="85" customFormat="1" ht="25.05" customHeight="1" x14ac:dyDescent="0.25">
      <c r="B29" s="119" t="s">
        <v>90</v>
      </c>
      <c r="C29" s="119"/>
      <c r="D29" s="122">
        <v>-63123.995999999934</v>
      </c>
      <c r="F29" s="118" t="s">
        <v>93</v>
      </c>
      <c r="G29" s="98">
        <f>-'S1 VEC Master Summary'!$E$39-'S1 VEC Master Summary'!$D$17-'S1 VEC Master Summary'!$D$18-'S1 VEC Master Summary'!$D$21</f>
        <v>-63123.995999999934</v>
      </c>
    </row>
    <row r="30" spans="2:7" s="85" customFormat="1" ht="25.05" customHeight="1" x14ac:dyDescent="0.25">
      <c r="B30" s="123" t="s">
        <v>74</v>
      </c>
      <c r="C30" s="119"/>
      <c r="D30" s="127">
        <f>SUM(D18:D29)</f>
        <v>-8238440.6750788027</v>
      </c>
      <c r="G30" s="96" t="e">
        <f>SUM(G18:G29)</f>
        <v>#REF!</v>
      </c>
    </row>
    <row r="31" spans="2:7" ht="16.2" customHeight="1" x14ac:dyDescent="0.25">
      <c r="B31" s="84"/>
      <c r="C31" s="84"/>
      <c r="D31" s="76"/>
    </row>
    <row r="32" spans="2:7" s="85" customFormat="1" ht="25.05" customHeight="1" x14ac:dyDescent="0.25">
      <c r="B32" s="128" t="s">
        <v>75</v>
      </c>
      <c r="C32" s="129"/>
      <c r="D32" s="130">
        <f>-D15-D30</f>
        <v>2999750.9150787974</v>
      </c>
      <c r="G32" s="96" t="e">
        <f>-G30-G15</f>
        <v>#REF!</v>
      </c>
    </row>
    <row r="33" spans="4:7" x14ac:dyDescent="0.25">
      <c r="G33" s="79">
        <f>+D32-'S1 VEC Master Summary'!E40</f>
        <v>-2.8870999813079834E-8</v>
      </c>
    </row>
    <row r="34" spans="4:7" x14ac:dyDescent="0.25">
      <c r="D34" s="77"/>
      <c r="G34" s="71" t="s">
        <v>89</v>
      </c>
    </row>
    <row r="35" spans="4:7" x14ac:dyDescent="0.25">
      <c r="D35" s="106"/>
    </row>
    <row r="39" spans="4:7" x14ac:dyDescent="0.25">
      <c r="G39" s="70"/>
    </row>
    <row r="40" spans="4:7" x14ac:dyDescent="0.25">
      <c r="G40" s="70"/>
    </row>
  </sheetData>
  <phoneticPr fontId="6" type="noConversion"/>
  <pageMargins left="0.25" right="0.25" top="0.5" bottom="0.5" header="0.25" footer="0.25"/>
  <pageSetup scale="40" orientation="landscape" r:id="rId1"/>
  <headerFooter alignWithMargins="0">
    <oddHeader>&amp;RS13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S1 VEC Master Summary</vt:lpstr>
      <vt:lpstr>S1-1.5 TIER</vt:lpstr>
      <vt:lpstr>S1A Chart of Major Items</vt:lpstr>
      <vt:lpstr>S1B Major Items of Change</vt:lpstr>
      <vt:lpstr>'S1 VEC Master Summary'!Print_Area</vt:lpstr>
      <vt:lpstr>'S1-1.5 TIER'!Print_Area</vt:lpstr>
      <vt:lpstr>'S1B Major Items of Change'!Print_Area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Bursell, Mike</dc:creator>
  <cp:lastModifiedBy>Anderson, Holly</cp:lastModifiedBy>
  <cp:lastPrinted>2024-11-09T19:02:28Z</cp:lastPrinted>
  <dcterms:created xsi:type="dcterms:W3CDTF">1999-10-13T15:07:20Z</dcterms:created>
  <dcterms:modified xsi:type="dcterms:W3CDTF">2025-11-19T15:24:00Z</dcterms:modified>
</cp:coreProperties>
</file>