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24226"/>
  <mc:AlternateContent xmlns:mc="http://schemas.openxmlformats.org/markup-compatibility/2006">
    <mc:Choice Requires="x15">
      <x15ac:absPath xmlns:x15ac="http://schemas.microsoft.com/office/spreadsheetml/2010/11/ac" url="https://vermontgov-my.sharepoint.com/personal/matthew_bakerpoole_vermont_gov/Documents/Documents/Legal/25-1172-TF BED 4.5% rate increase/"/>
    </mc:Choice>
  </mc:AlternateContent>
  <xr:revisionPtr revIDLastSave="17" documentId="8_{338E7DA8-ACD8-4516-97C5-2D5A377550D0}" xr6:coauthVersionLast="47" xr6:coauthVersionMax="47" xr10:uidLastSave="{07199D99-DA5E-4714-B305-73E3E3C728A7}"/>
  <bookViews>
    <workbookView xWindow="28680" yWindow="0" windowWidth="29040" windowHeight="15720" tabRatio="885" firstSheet="3" activeTab="10" xr2:uid="{87CAEA6F-4C1D-4C67-AD4B-2A89CDE53658}"/>
  </bookViews>
  <sheets>
    <sheet name="COS Summary" sheetId="1" r:id="rId1"/>
    <sheet name="K&amp;M Summary" sheetId="20" r:id="rId2"/>
    <sheet name="Sch 1-Fuel" sheetId="17" r:id="rId3"/>
    <sheet name="Sch 2-Production" sheetId="2" r:id="rId4"/>
    <sheet name="Sch 3-Purchased Power" sheetId="3" r:id="rId5"/>
    <sheet name="Sch 4-Transmission" sheetId="4" r:id="rId6"/>
    <sheet name="Sch 5-A &amp; G" sheetId="7" r:id="rId7"/>
    <sheet name="Sch 6-Customer Acct &amp; Serv" sheetId="6" r:id="rId8"/>
    <sheet name="Sch 7-Distribution" sheetId="5" r:id="rId9"/>
    <sheet name="Sch 8-Sys Load Cnrl &amp; Disp" sheetId="10" r:id="rId10"/>
    <sheet name="Sch 9-Dep &amp; Amt" sheetId="22" r:id="rId11"/>
    <sheet name="Sch 10-Taxes" sheetId="8" r:id="rId12"/>
    <sheet name="Sch 11-Interest Income" sheetId="11" r:id="rId13"/>
    <sheet name="Sch 12-Dividend Income" sheetId="12" r:id="rId14"/>
    <sheet name="Sch13-Other Inc (Exp)" sheetId="13" r:id="rId15"/>
    <sheet name="Sch 13A-Misc Non-Op Inc detail" sheetId="21" r:id="rId16"/>
    <sheet name="Sch 14-Interest Expense" sheetId="26" r:id="rId17"/>
    <sheet name="Sch 15-Revenue" sheetId="18" r:id="rId18"/>
    <sheet name="Sch 16-Cash" sheetId="27" r:id="rId19"/>
    <sheet name="Sch 17-DSR" sheetId="28" r:id="rId20"/>
  </sheets>
  <externalReferences>
    <externalReference r:id="rId21"/>
    <externalReference r:id="rId22"/>
  </externalReferences>
  <definedNames>
    <definedName name="_xlnm.Print_Area" localSheetId="0">'COS Summary'!$A$1:$H$44</definedName>
    <definedName name="_xlnm.Print_Area" localSheetId="1">'K&amp;M Summary'!$A$1:$H$76</definedName>
    <definedName name="_xlnm.Print_Area" localSheetId="11">'Sch 10-Taxes'!$A$1:$H$41</definedName>
    <definedName name="_xlnm.Print_Area" localSheetId="13">'Sch 12-Dividend Income'!$A$1:$G$24</definedName>
    <definedName name="_xlnm.Print_Area" localSheetId="15">'Sch 13A-Misc Non-Op Inc detail'!$A$1:$G$29</definedName>
    <definedName name="_xlnm.Print_Area" localSheetId="3">'Sch 2-Production'!$A$1:$G$82</definedName>
    <definedName name="_xlnm.Print_Area" localSheetId="4">'Sch 3-Purchased Power'!$A$1:$G$56</definedName>
    <definedName name="_xlnm.Print_Area" localSheetId="10">'Sch 9-Dep &amp; Amt'!$A$1:$G$42</definedName>
    <definedName name="_xlnm.Print_Area" localSheetId="14">'Sch13-Other Inc (Exp)'!$A$1:$G$41</definedName>
    <definedName name="_xlnm.Print_Titles" localSheetId="1">'K&amp;M Summary'!$1:$5</definedName>
    <definedName name="_xlnm.Print_Titles" localSheetId="4">'Sch 3-Purchased Power'!$5:$9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9" i="20" l="1" a="1"/>
  <c r="H59" i="20" s="1"/>
  <c r="F59" i="20"/>
  <c r="D59" i="20"/>
  <c r="I35" i="8" l="1"/>
  <c r="I34" i="8"/>
  <c r="I33" i="8"/>
  <c r="D14" i="7"/>
  <c r="H38" i="20" l="1" a="1"/>
  <c r="H38" i="20" s="1"/>
  <c r="A29" i="7"/>
  <c r="D44" i="3" l="1"/>
  <c r="H74" i="20" l="1" a="1"/>
  <c r="H74" i="20" s="1"/>
  <c r="F72" i="20"/>
  <c r="F71" i="20"/>
  <c r="A67" i="20"/>
  <c r="A59" i="20"/>
  <c r="A60" i="20" s="1"/>
  <c r="A61" i="20" s="1"/>
  <c r="A62" i="20" s="1"/>
  <c r="A63" i="20" s="1"/>
  <c r="A64" i="20" s="1"/>
  <c r="A65" i="20" s="1"/>
  <c r="A57" i="20"/>
  <c r="A58" i="20"/>
  <c r="D116" i="22" l="1"/>
  <c r="E36" i="1"/>
  <c r="F67" i="20"/>
  <c r="H60" i="20" a="1"/>
  <c r="H60" i="20" s="1"/>
  <c r="F60" i="20"/>
  <c r="D60" i="20"/>
  <c r="C60" i="20"/>
  <c r="C59" i="20"/>
  <c r="C58" i="20"/>
  <c r="H58" i="20" a="1"/>
  <c r="H58" i="20" s="1"/>
  <c r="F58" i="20"/>
  <c r="D58" i="20"/>
  <c r="H57" i="20"/>
  <c r="C57" i="20"/>
  <c r="C56" i="20"/>
  <c r="H56" i="20"/>
  <c r="E113" i="22"/>
  <c r="C17" i="18"/>
  <c r="D11" i="18" l="1"/>
  <c r="D17" i="18" s="1"/>
  <c r="D19" i="21"/>
  <c r="D23" i="2" l="1"/>
  <c r="B34" i="27" l="1"/>
  <c r="B33" i="27"/>
  <c r="H62" i="20"/>
  <c r="H63" i="20"/>
  <c r="D63" i="20"/>
  <c r="D62" i="20"/>
  <c r="B62" i="20"/>
  <c r="M35" i="17" l="1"/>
  <c r="M43" i="17" l="1"/>
  <c r="M44" i="17" s="1"/>
  <c r="H12" i="20" l="1"/>
  <c r="H11" i="20"/>
  <c r="H10" i="20"/>
  <c r="H9" i="20"/>
  <c r="F9" i="20"/>
  <c r="D9" i="20"/>
  <c r="C9" i="20"/>
  <c r="B9" i="20"/>
  <c r="H47" i="20" a="1"/>
  <c r="H47" i="20" s="1"/>
  <c r="F47" i="20"/>
  <c r="D47" i="20"/>
  <c r="C47" i="20"/>
  <c r="B47" i="20"/>
  <c r="H15" i="20"/>
  <c r="D12" i="7" l="1"/>
  <c r="D14" i="6" l="1"/>
  <c r="D13" i="5"/>
  <c r="D13" i="6" l="1"/>
  <c r="E14" i="12" l="1"/>
  <c r="D15" i="7" l="1"/>
  <c r="D54" i="28" l="1"/>
  <c r="B13" i="27" l="1"/>
  <c r="H72" i="20" l="1"/>
  <c r="C72" i="20"/>
  <c r="D72" i="20"/>
  <c r="B72" i="20"/>
  <c r="H54" i="20"/>
  <c r="H53" i="20"/>
  <c r="H52" i="20"/>
  <c r="F52" i="20"/>
  <c r="D52" i="20"/>
  <c r="B52" i="20"/>
  <c r="H29" i="20"/>
  <c r="H27" i="20"/>
  <c r="H31" i="20"/>
  <c r="D28" i="20"/>
  <c r="F28" i="20"/>
  <c r="C28" i="20"/>
  <c r="D54" i="20"/>
  <c r="F54" i="20"/>
  <c r="B54" i="20"/>
  <c r="D51" i="20"/>
  <c r="F51" i="20"/>
  <c r="F30" i="20"/>
  <c r="D30" i="20"/>
  <c r="C30" i="20"/>
  <c r="D29" i="20"/>
  <c r="D31" i="20"/>
  <c r="H26" i="20"/>
  <c r="F26" i="20"/>
  <c r="D26" i="20"/>
  <c r="C26" i="20"/>
  <c r="F15" i="20"/>
  <c r="D15" i="20"/>
  <c r="C15" i="20"/>
  <c r="B15" i="20"/>
  <c r="D11" i="7"/>
  <c r="D22" i="2"/>
  <c r="D17" i="7" l="1"/>
  <c r="E45" i="3" l="1"/>
  <c r="E46" i="3"/>
  <c r="E47" i="3"/>
  <c r="D31" i="3"/>
  <c r="E30" i="3"/>
  <c r="D15" i="11" l="1"/>
  <c r="D13" i="11"/>
  <c r="D12" i="11" l="1"/>
  <c r="D13" i="12" l="1"/>
  <c r="D12" i="12"/>
  <c r="D11" i="12"/>
  <c r="D21" i="21" l="1"/>
  <c r="D14" i="21"/>
  <c r="D14" i="11"/>
  <c r="C13" i="12"/>
  <c r="E25" i="13" l="1"/>
  <c r="E26" i="13"/>
  <c r="D49" i="26" l="1"/>
  <c r="E48" i="26"/>
  <c r="E49" i="26" s="1"/>
  <c r="C14" i="17" l="1"/>
  <c r="C15" i="17"/>
  <c r="C24" i="13" l="1"/>
  <c r="C33" i="5"/>
  <c r="E36" i="3" l="1"/>
  <c r="D37" i="3"/>
  <c r="C37" i="3"/>
  <c r="C24" i="3"/>
  <c r="C31" i="3" s="1"/>
  <c r="E31" i="13" l="1"/>
  <c r="A3" i="6"/>
  <c r="A3" i="20"/>
  <c r="H25" i="20" l="1"/>
  <c r="H24" i="20"/>
  <c r="H23" i="20"/>
  <c r="H22" i="20"/>
  <c r="H21" i="20"/>
  <c r="H20" i="20"/>
  <c r="H19" i="20"/>
  <c r="H18" i="20"/>
  <c r="H17" i="20"/>
  <c r="H16" i="20"/>
  <c r="H73" i="20" l="1"/>
  <c r="H71" i="20"/>
  <c r="D71" i="20"/>
  <c r="C71" i="20"/>
  <c r="B71" i="20"/>
  <c r="H64" i="20"/>
  <c r="F64" i="20"/>
  <c r="D64" i="20"/>
  <c r="B64" i="20"/>
  <c r="B63" i="20"/>
  <c r="H61" i="20"/>
  <c r="D61" i="20"/>
  <c r="H49" i="20"/>
  <c r="F53" i="20"/>
  <c r="D53" i="20"/>
  <c r="B53" i="20"/>
  <c r="H51" i="20"/>
  <c r="B51" i="20"/>
  <c r="H50" i="20"/>
  <c r="F22" i="20"/>
  <c r="D22" i="20"/>
  <c r="C22" i="20"/>
  <c r="D14" i="20"/>
  <c r="C14" i="20"/>
  <c r="B14" i="20"/>
  <c r="H14" i="20"/>
  <c r="F14" i="20"/>
  <c r="H13" i="20"/>
  <c r="F13" i="20"/>
  <c r="D13" i="20"/>
  <c r="C13" i="20"/>
  <c r="B13" i="20"/>
  <c r="B12" i="20"/>
  <c r="B11" i="20"/>
  <c r="B10" i="20"/>
  <c r="F12" i="20"/>
  <c r="F11" i="20"/>
  <c r="F10" i="20"/>
  <c r="E25" i="3" l="1"/>
  <c r="C49" i="26" l="1"/>
  <c r="E46" i="26"/>
  <c r="E47" i="26"/>
  <c r="D5" i="28" l="1"/>
  <c r="B22" i="27" l="1"/>
  <c r="B6" i="27"/>
  <c r="E12" i="11"/>
  <c r="E13" i="11"/>
  <c r="E14" i="11"/>
  <c r="E15" i="11"/>
  <c r="E16" i="11"/>
  <c r="C91" i="22"/>
  <c r="D91" i="22"/>
  <c r="C57" i="22"/>
  <c r="C73" i="20" l="1"/>
  <c r="D35" i="20" l="1"/>
  <c r="D34" i="20"/>
  <c r="D33" i="20"/>
  <c r="D32" i="20"/>
  <c r="D27" i="20"/>
  <c r="D23" i="20"/>
  <c r="D24" i="20"/>
  <c r="D19" i="20"/>
  <c r="H42" i="20" l="1"/>
  <c r="F42" i="20"/>
  <c r="D42" i="20"/>
  <c r="B42" i="20"/>
  <c r="C42" i="20"/>
  <c r="F50" i="20"/>
  <c r="D50" i="20"/>
  <c r="C50" i="20"/>
  <c r="B50" i="20"/>
  <c r="F49" i="20"/>
  <c r="D49" i="20"/>
  <c r="C49" i="20"/>
  <c r="B49" i="20"/>
  <c r="H40" i="20"/>
  <c r="H39" i="20"/>
  <c r="H46" i="20"/>
  <c r="H45" i="20"/>
  <c r="F45" i="20"/>
  <c r="D45" i="20"/>
  <c r="C45" i="20"/>
  <c r="B45" i="20"/>
  <c r="F46" i="20"/>
  <c r="D40" i="20"/>
  <c r="C40" i="20"/>
  <c r="B40" i="20"/>
  <c r="F27" i="20"/>
  <c r="C27" i="20"/>
  <c r="D17" i="20"/>
  <c r="C17" i="20"/>
  <c r="F17" i="20"/>
  <c r="A58" i="3" l="1"/>
  <c r="A59" i="3" s="1"/>
  <c r="A60" i="3" s="1"/>
  <c r="A61" i="3" s="1"/>
  <c r="A62" i="3" s="1"/>
  <c r="A63" i="3" s="1"/>
  <c r="A64" i="3" s="1"/>
  <c r="A65" i="3" s="1"/>
  <c r="A66" i="3" s="1"/>
  <c r="A67" i="3" s="1"/>
  <c r="E31" i="1" l="1"/>
  <c r="D31" i="1"/>
  <c r="F31" i="20" l="1"/>
  <c r="F29" i="20"/>
  <c r="F25" i="20"/>
  <c r="F24" i="20"/>
  <c r="F23" i="20"/>
  <c r="F21" i="20"/>
  <c r="F20" i="20"/>
  <c r="F19" i="20"/>
  <c r="F18" i="20"/>
  <c r="F16" i="20"/>
  <c r="E38" i="22" l="1"/>
  <c r="E23" i="2" l="1"/>
  <c r="E21" i="21" l="1"/>
  <c r="A20" i="12" l="1"/>
  <c r="E45" i="26" l="1"/>
  <c r="D19" i="22" l="1"/>
  <c r="C19" i="22"/>
  <c r="E19" i="22" l="1"/>
  <c r="A3" i="18"/>
  <c r="A3" i="26"/>
  <c r="A3" i="21"/>
  <c r="A3" i="13"/>
  <c r="A3" i="12"/>
  <c r="A3" i="11"/>
  <c r="A3" i="8"/>
  <c r="A3" i="22"/>
  <c r="A3" i="10"/>
  <c r="A3" i="2"/>
  <c r="A3" i="5"/>
  <c r="A3" i="7"/>
  <c r="A3" i="4"/>
  <c r="A3" i="3"/>
  <c r="A3" i="17"/>
  <c r="H70" i="20"/>
  <c r="C60" i="26" l="1"/>
  <c r="D60" i="26"/>
  <c r="E59" i="26"/>
  <c r="D63" i="28" s="1"/>
  <c r="D44" i="28" s="1"/>
  <c r="E13" i="26" l="1"/>
  <c r="A21" i="12" l="1"/>
  <c r="H34" i="20"/>
  <c r="H35" i="20"/>
  <c r="H32" i="20"/>
  <c r="H33" i="20"/>
  <c r="H8" i="20" l="1"/>
  <c r="E89" i="22" l="1"/>
  <c r="H36" i="20" l="1"/>
  <c r="A26" i="7"/>
  <c r="H37" i="20" l="1"/>
  <c r="H55" i="20" l="1"/>
  <c r="H44" i="20"/>
  <c r="H43" i="20"/>
  <c r="H41" i="20"/>
  <c r="F39" i="20"/>
  <c r="D39" i="20"/>
  <c r="C41" i="20"/>
  <c r="C39" i="20"/>
  <c r="C38" i="20"/>
  <c r="F37" i="20"/>
  <c r="D37" i="20"/>
  <c r="C37" i="20"/>
  <c r="C36" i="20"/>
  <c r="B37" i="20"/>
  <c r="F55" i="20" l="1"/>
  <c r="D55" i="20"/>
  <c r="C55" i="20"/>
  <c r="F7" i="20" l="1"/>
  <c r="B55" i="20"/>
  <c r="H7" i="20"/>
  <c r="D7" i="20"/>
  <c r="C7" i="20"/>
  <c r="B7" i="20"/>
  <c r="A7" i="20"/>
  <c r="A8" i="20" s="1"/>
  <c r="A9" i="20" l="1"/>
  <c r="A10" i="20" s="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D12" i="20"/>
  <c r="C12" i="20"/>
  <c r="D10" i="20"/>
  <c r="C10" i="20"/>
  <c r="H48" i="20"/>
  <c r="F48" i="20"/>
  <c r="D48" i="20"/>
  <c r="C48" i="20"/>
  <c r="B48" i="20"/>
  <c r="A47" i="20" l="1"/>
  <c r="A48" i="20" s="1"/>
  <c r="A49" i="20" s="1"/>
  <c r="A50" i="20" s="1"/>
  <c r="A51" i="20" s="1"/>
  <c r="A52" i="20" s="1"/>
  <c r="A53" i="20" s="1"/>
  <c r="E105" i="22"/>
  <c r="A54" i="20" l="1"/>
  <c r="C53" i="26"/>
  <c r="D53" i="26"/>
  <c r="A55" i="20" l="1"/>
  <c r="D65" i="20"/>
  <c r="F73" i="20"/>
  <c r="E11" i="12"/>
  <c r="A56" i="20" l="1"/>
  <c r="C29" i="20"/>
  <c r="C31" i="20"/>
  <c r="C20" i="20"/>
  <c r="D20" i="20"/>
  <c r="C21" i="20"/>
  <c r="D21" i="20"/>
  <c r="C23" i="20"/>
  <c r="C24" i="20"/>
  <c r="C25" i="20"/>
  <c r="D25" i="20"/>
  <c r="C19" i="20" l="1"/>
  <c r="C74" i="20" l="1"/>
  <c r="D70" i="20"/>
  <c r="C70" i="20"/>
  <c r="C69" i="20"/>
  <c r="C16" i="20" l="1"/>
  <c r="D16" i="20"/>
  <c r="E58" i="26" l="1"/>
  <c r="E52" i="26"/>
  <c r="E51" i="26"/>
  <c r="C55" i="26"/>
  <c r="E44" i="26"/>
  <c r="E43" i="26"/>
  <c r="E42" i="26"/>
  <c r="E41" i="26"/>
  <c r="E40" i="26"/>
  <c r="E39" i="26"/>
  <c r="E37" i="26"/>
  <c r="D34" i="26"/>
  <c r="C34" i="26"/>
  <c r="E33" i="26"/>
  <c r="E34" i="26" s="1"/>
  <c r="D30" i="26"/>
  <c r="C30" i="26"/>
  <c r="E29" i="26"/>
  <c r="E28" i="26"/>
  <c r="E27" i="26"/>
  <c r="C22" i="26"/>
  <c r="E21" i="26"/>
  <c r="E20" i="26"/>
  <c r="E19" i="26"/>
  <c r="E18" i="26"/>
  <c r="D14" i="26"/>
  <c r="C14" i="26"/>
  <c r="E12" i="26"/>
  <c r="D48" i="3"/>
  <c r="E60" i="26" l="1"/>
  <c r="E53" i="26"/>
  <c r="C24" i="26"/>
  <c r="C63" i="26" s="1"/>
  <c r="D36" i="1" s="1"/>
  <c r="E14" i="26"/>
  <c r="D61" i="28" s="1"/>
  <c r="D43" i="28" s="1"/>
  <c r="E30" i="26"/>
  <c r="D55" i="26"/>
  <c r="E38" i="26"/>
  <c r="E55" i="26" l="1"/>
  <c r="D36" i="2" l="1"/>
  <c r="E34" i="2"/>
  <c r="E35" i="2"/>
  <c r="D41" i="2"/>
  <c r="C41" i="2"/>
  <c r="E16" i="5" l="1"/>
  <c r="C48" i="3" l="1"/>
  <c r="C116" i="22" l="1"/>
  <c r="E115" i="22"/>
  <c r="D40" i="1" l="1"/>
  <c r="F74" i="20" l="1"/>
  <c r="F75" i="20" s="1"/>
  <c r="E40" i="1"/>
  <c r="E16" i="18"/>
  <c r="D20" i="13"/>
  <c r="C20" i="13"/>
  <c r="E19" i="13"/>
  <c r="E20" i="13" l="1"/>
  <c r="B33" i="20"/>
  <c r="B34" i="20"/>
  <c r="B35" i="20"/>
  <c r="B32" i="20"/>
  <c r="H69" i="20"/>
  <c r="F35" i="20"/>
  <c r="F34" i="20"/>
  <c r="C33" i="20"/>
  <c r="C34" i="20"/>
  <c r="C35" i="20"/>
  <c r="F33" i="20"/>
  <c r="F32" i="20"/>
  <c r="C32" i="20"/>
  <c r="D18" i="20" l="1"/>
  <c r="C18" i="20"/>
  <c r="H6" i="20"/>
  <c r="G40" i="1" l="1"/>
  <c r="F40" i="1" l="1"/>
  <c r="D8" i="28" l="1"/>
  <c r="B11" i="27"/>
  <c r="B10" i="27"/>
  <c r="C51" i="20"/>
  <c r="F69" i="20" l="1"/>
  <c r="D8" i="20" l="1"/>
  <c r="C8" i="20"/>
  <c r="B8" i="20"/>
  <c r="E9" i="26" l="1"/>
  <c r="C9" i="26"/>
  <c r="B70" i="20"/>
  <c r="D69" i="20"/>
  <c r="B69" i="20"/>
  <c r="D68" i="20"/>
  <c r="C68" i="20"/>
  <c r="B68" i="20"/>
  <c r="C65" i="20"/>
  <c r="D67" i="20"/>
  <c r="C67" i="20"/>
  <c r="B67" i="20"/>
  <c r="B61" i="20"/>
  <c r="B56" i="20"/>
  <c r="B46" i="20"/>
  <c r="D46" i="20"/>
  <c r="C46" i="20"/>
  <c r="F6" i="20"/>
  <c r="C11" i="20"/>
  <c r="F44" i="20"/>
  <c r="D44" i="20"/>
  <c r="C44" i="20"/>
  <c r="B44" i="20"/>
  <c r="D43" i="20"/>
  <c r="C43" i="20"/>
  <c r="B43" i="20"/>
  <c r="D41" i="20"/>
  <c r="D38" i="20"/>
  <c r="D36" i="20"/>
  <c r="D6" i="20"/>
  <c r="C6" i="20"/>
  <c r="F41" i="20"/>
  <c r="B41" i="20"/>
  <c r="B38" i="20"/>
  <c r="B36" i="20"/>
  <c r="B6" i="20"/>
  <c r="E120" i="22"/>
  <c r="D19" i="28" l="1"/>
  <c r="C66" i="2"/>
  <c r="F43" i="20" l="1"/>
  <c r="F38" i="20" l="1"/>
  <c r="F36" i="20" l="1"/>
  <c r="E14" i="21"/>
  <c r="E20" i="21" l="1"/>
  <c r="E19" i="21"/>
  <c r="E18" i="21"/>
  <c r="E17" i="21"/>
  <c r="E16" i="21"/>
  <c r="E15" i="21"/>
  <c r="E13" i="21"/>
  <c r="E12" i="21"/>
  <c r="E11" i="21"/>
  <c r="D27" i="28" s="1"/>
  <c r="E18" i="13"/>
  <c r="E14" i="13"/>
  <c r="E28" i="13"/>
  <c r="E27" i="13"/>
  <c r="E24" i="13"/>
  <c r="E23" i="13"/>
  <c r="E13" i="12"/>
  <c r="E12" i="12"/>
  <c r="E11" i="11"/>
  <c r="D16" i="3" l="1"/>
  <c r="E11" i="8" l="1"/>
  <c r="A68" i="20" l="1"/>
  <c r="A69" i="20" s="1"/>
  <c r="A70" i="20" s="1"/>
  <c r="A71" i="20" s="1"/>
  <c r="C107" i="22"/>
  <c r="D107" i="22"/>
  <c r="D96" i="22"/>
  <c r="C96" i="22"/>
  <c r="D86" i="22"/>
  <c r="C86" i="22"/>
  <c r="E84" i="22"/>
  <c r="D71" i="22"/>
  <c r="C71" i="22"/>
  <c r="D57" i="22"/>
  <c r="E55" i="22"/>
  <c r="E54" i="22"/>
  <c r="E53" i="22"/>
  <c r="E51" i="22"/>
  <c r="D44" i="22"/>
  <c r="C44" i="22"/>
  <c r="D40" i="22"/>
  <c r="C40" i="22"/>
  <c r="E39" i="22"/>
  <c r="E41" i="22"/>
  <c r="E42" i="22"/>
  <c r="E43" i="22"/>
  <c r="E49" i="22"/>
  <c r="E50" i="22"/>
  <c r="E52" i="22"/>
  <c r="E56" i="22"/>
  <c r="E59" i="22"/>
  <c r="E60" i="22"/>
  <c r="E61" i="22"/>
  <c r="E62" i="22"/>
  <c r="E63" i="22"/>
  <c r="E64" i="22"/>
  <c r="E65" i="22"/>
  <c r="E66" i="22"/>
  <c r="E67" i="22"/>
  <c r="E68" i="22"/>
  <c r="E69" i="22"/>
  <c r="E70" i="22"/>
  <c r="E72" i="22"/>
  <c r="E73" i="22"/>
  <c r="E74" i="22"/>
  <c r="E75" i="22"/>
  <c r="E76" i="22"/>
  <c r="E77" i="22"/>
  <c r="E78" i="22"/>
  <c r="E79" i="22"/>
  <c r="E80" i="22"/>
  <c r="E81" i="22"/>
  <c r="E82" i="22"/>
  <c r="E83" i="22"/>
  <c r="E85" i="22"/>
  <c r="E87" i="22"/>
  <c r="E88" i="22"/>
  <c r="E90" i="22"/>
  <c r="E92" i="22"/>
  <c r="E93" i="22"/>
  <c r="E94" i="22"/>
  <c r="E95" i="22"/>
  <c r="E97" i="22"/>
  <c r="E104" i="22"/>
  <c r="E106" i="22"/>
  <c r="E114" i="22"/>
  <c r="E116" i="22" s="1"/>
  <c r="E117" i="22"/>
  <c r="D35" i="22"/>
  <c r="C35" i="22"/>
  <c r="E31" i="22"/>
  <c r="E32" i="22"/>
  <c r="E33" i="22"/>
  <c r="E34" i="22"/>
  <c r="D28" i="22"/>
  <c r="C28" i="22"/>
  <c r="E14" i="22"/>
  <c r="E15" i="22"/>
  <c r="E16" i="22"/>
  <c r="E17" i="22"/>
  <c r="E18" i="22"/>
  <c r="E22" i="22"/>
  <c r="E23" i="22"/>
  <c r="E24" i="22"/>
  <c r="E25" i="22"/>
  <c r="E26" i="22"/>
  <c r="E27" i="22"/>
  <c r="E9" i="22"/>
  <c r="C9" i="22"/>
  <c r="F57" i="20" l="1"/>
  <c r="D118" i="22"/>
  <c r="A73" i="20"/>
  <c r="A74" i="20" s="1"/>
  <c r="A72" i="20"/>
  <c r="E107" i="22"/>
  <c r="E118" i="22" s="1"/>
  <c r="C118" i="22"/>
  <c r="E96" i="22"/>
  <c r="E91" i="22"/>
  <c r="E86" i="22"/>
  <c r="E71" i="22"/>
  <c r="C46" i="22"/>
  <c r="C98" i="22" s="1"/>
  <c r="D46" i="22"/>
  <c r="D98" i="22" s="1"/>
  <c r="F56" i="20" s="1"/>
  <c r="E44" i="22"/>
  <c r="E40" i="22"/>
  <c r="E35" i="22"/>
  <c r="E28" i="22"/>
  <c r="D122" i="22" l="1"/>
  <c r="E21" i="1" s="1"/>
  <c r="C122" i="22"/>
  <c r="D21" i="1" s="1"/>
  <c r="E98" i="22"/>
  <c r="E57" i="22"/>
  <c r="E46" i="22"/>
  <c r="D18" i="28" l="1"/>
  <c r="G21" i="1"/>
  <c r="F21" i="1"/>
  <c r="B23" i="27" s="1"/>
  <c r="E122" i="22"/>
  <c r="E21" i="4"/>
  <c r="E22" i="4"/>
  <c r="E23" i="4"/>
  <c r="E24" i="4"/>
  <c r="D13" i="4"/>
  <c r="C13" i="4"/>
  <c r="E33" i="13" l="1"/>
  <c r="E30" i="13"/>
  <c r="E34" i="3" l="1"/>
  <c r="E29" i="3"/>
  <c r="E28" i="3"/>
  <c r="E27" i="3"/>
  <c r="E12" i="4"/>
  <c r="E13" i="4" s="1"/>
  <c r="E15" i="4"/>
  <c r="C22" i="21" l="1"/>
  <c r="C13" i="13" s="1"/>
  <c r="C15" i="13" l="1"/>
  <c r="C21" i="8"/>
  <c r="E64" i="2" l="1"/>
  <c r="E48" i="2" l="1"/>
  <c r="E49" i="2"/>
  <c r="E50" i="2"/>
  <c r="E51" i="2"/>
  <c r="E53" i="2"/>
  <c r="E54" i="2"/>
  <c r="E55" i="2"/>
  <c r="E56" i="2"/>
  <c r="E57" i="2"/>
  <c r="E58" i="2"/>
  <c r="D59" i="2"/>
  <c r="C59" i="2"/>
  <c r="E47" i="2"/>
  <c r="E59" i="2" l="1"/>
  <c r="C32" i="6"/>
  <c r="E19" i="6"/>
  <c r="E23" i="6"/>
  <c r="E22" i="6"/>
  <c r="E9" i="18" l="1"/>
  <c r="E9" i="21"/>
  <c r="C9" i="18"/>
  <c r="C9" i="21"/>
  <c r="E9" i="13"/>
  <c r="C9" i="13"/>
  <c r="C9" i="12"/>
  <c r="E10" i="10"/>
  <c r="C10" i="10"/>
  <c r="E9" i="5"/>
  <c r="E9" i="2"/>
  <c r="E9" i="8"/>
  <c r="E9" i="11"/>
  <c r="E9" i="12"/>
  <c r="E9" i="6"/>
  <c r="C9" i="5"/>
  <c r="C9" i="2"/>
  <c r="C9" i="8"/>
  <c r="C9" i="11"/>
  <c r="C9" i="6"/>
  <c r="E9" i="7"/>
  <c r="C9" i="7"/>
  <c r="E9" i="4"/>
  <c r="C9" i="4"/>
  <c r="E9" i="3"/>
  <c r="C9" i="3"/>
  <c r="E9" i="17"/>
  <c r="C9" i="17"/>
  <c r="E34" i="13" l="1"/>
  <c r="E14" i="17"/>
  <c r="E29" i="13"/>
  <c r="E12" i="3"/>
  <c r="E20" i="4"/>
  <c r="C16" i="3"/>
  <c r="C52" i="3"/>
  <c r="C35" i="13"/>
  <c r="E11" i="7"/>
  <c r="E12" i="7"/>
  <c r="D21" i="5"/>
  <c r="D14" i="10"/>
  <c r="D52" i="3"/>
  <c r="D35" i="13"/>
  <c r="C16" i="6"/>
  <c r="C35" i="6" s="1"/>
  <c r="D16" i="6"/>
  <c r="E28" i="8"/>
  <c r="E12" i="8"/>
  <c r="D13" i="8"/>
  <c r="D17" i="8" s="1"/>
  <c r="F61" i="20" s="1"/>
  <c r="C13" i="8"/>
  <c r="C26" i="8"/>
  <c r="C22" i="7"/>
  <c r="C21" i="5"/>
  <c r="C17" i="2"/>
  <c r="C25" i="2"/>
  <c r="C36" i="2"/>
  <c r="C14" i="10"/>
  <c r="D18" i="1" s="1"/>
  <c r="C20" i="17"/>
  <c r="C17" i="4"/>
  <c r="C25" i="4"/>
  <c r="C28" i="4"/>
  <c r="C16" i="12"/>
  <c r="D29" i="1" s="1"/>
  <c r="C18" i="11"/>
  <c r="E32" i="13"/>
  <c r="E51" i="3"/>
  <c r="D66" i="2"/>
  <c r="D20" i="17"/>
  <c r="F8" i="20" s="1"/>
  <c r="E44" i="3"/>
  <c r="D17" i="4"/>
  <c r="E15" i="5"/>
  <c r="D26" i="8"/>
  <c r="E65" i="2"/>
  <c r="E63" i="2"/>
  <c r="E40" i="3"/>
  <c r="E15" i="18"/>
  <c r="E14" i="18"/>
  <c r="E13" i="18"/>
  <c r="E12" i="18"/>
  <c r="E11" i="18"/>
  <c r="E13" i="7"/>
  <c r="E14" i="7"/>
  <c r="E15" i="7"/>
  <c r="E17" i="7"/>
  <c r="E18" i="7"/>
  <c r="E19" i="7"/>
  <c r="E20" i="7"/>
  <c r="E21" i="7"/>
  <c r="E34" i="6"/>
  <c r="E24" i="6"/>
  <c r="E25" i="6"/>
  <c r="E26" i="6"/>
  <c r="E27" i="6"/>
  <c r="E28" i="6"/>
  <c r="E29" i="6"/>
  <c r="E30" i="6"/>
  <c r="E31" i="6"/>
  <c r="E20" i="6"/>
  <c r="E15" i="6"/>
  <c r="D55" i="28" s="1"/>
  <c r="E13" i="6"/>
  <c r="E12" i="6"/>
  <c r="E25" i="5"/>
  <c r="E26" i="5"/>
  <c r="E28" i="5"/>
  <c r="E29" i="5"/>
  <c r="E30" i="5"/>
  <c r="E31" i="5"/>
  <c r="E32" i="5"/>
  <c r="E24" i="5"/>
  <c r="E14" i="5"/>
  <c r="E17" i="5"/>
  <c r="E18" i="5"/>
  <c r="E19" i="5"/>
  <c r="E20" i="5"/>
  <c r="E13" i="5"/>
  <c r="E19" i="17"/>
  <c r="E13" i="17"/>
  <c r="E12" i="17"/>
  <c r="E13" i="10"/>
  <c r="E40" i="2"/>
  <c r="E39" i="2"/>
  <c r="E33" i="2"/>
  <c r="E31" i="2"/>
  <c r="E21" i="2"/>
  <c r="E22" i="2"/>
  <c r="E24" i="2"/>
  <c r="E20" i="2"/>
  <c r="E15" i="2"/>
  <c r="E16" i="2"/>
  <c r="E13" i="2"/>
  <c r="E42" i="3"/>
  <c r="E26" i="3"/>
  <c r="E41" i="3"/>
  <c r="E43" i="3"/>
  <c r="E35" i="3"/>
  <c r="E37" i="3" s="1"/>
  <c r="E21" i="3"/>
  <c r="E22" i="3"/>
  <c r="E23" i="3"/>
  <c r="E24" i="3"/>
  <c r="E19" i="3"/>
  <c r="E24" i="8"/>
  <c r="E25" i="8"/>
  <c r="E23" i="8"/>
  <c r="E15" i="8"/>
  <c r="E27" i="4"/>
  <c r="E16" i="4"/>
  <c r="E14" i="6"/>
  <c r="D33" i="5"/>
  <c r="E27" i="5"/>
  <c r="E14" i="3"/>
  <c r="E13" i="3"/>
  <c r="E15" i="3"/>
  <c r="E17" i="18" l="1"/>
  <c r="D11" i="28"/>
  <c r="E18" i="1"/>
  <c r="F18" i="1" s="1"/>
  <c r="C35" i="5"/>
  <c r="D17" i="1" s="1"/>
  <c r="E36" i="2"/>
  <c r="E41" i="2"/>
  <c r="C38" i="13"/>
  <c r="D30" i="1" s="1"/>
  <c r="E21" i="5"/>
  <c r="D15" i="1"/>
  <c r="C31" i="4"/>
  <c r="E66" i="2"/>
  <c r="C43" i="2"/>
  <c r="E33" i="5"/>
  <c r="E16" i="6"/>
  <c r="E26" i="8"/>
  <c r="E17" i="4"/>
  <c r="D43" i="2"/>
  <c r="D16" i="17"/>
  <c r="D22" i="17" s="1"/>
  <c r="D16" i="1"/>
  <c r="E20" i="3"/>
  <c r="E12" i="5"/>
  <c r="E20" i="17"/>
  <c r="C27" i="2"/>
  <c r="E16" i="3"/>
  <c r="E35" i="13"/>
  <c r="D16" i="12"/>
  <c r="F68" i="20" s="1"/>
  <c r="E12" i="13"/>
  <c r="D28" i="1"/>
  <c r="D17" i="2"/>
  <c r="E17" i="2" s="1"/>
  <c r="E14" i="2"/>
  <c r="E14" i="10"/>
  <c r="E12" i="10"/>
  <c r="E48" i="3"/>
  <c r="E52" i="3"/>
  <c r="C17" i="8"/>
  <c r="E13" i="8"/>
  <c r="D25" i="4"/>
  <c r="C16" i="17"/>
  <c r="E15" i="17"/>
  <c r="E16" i="17" s="1"/>
  <c r="D18" i="11"/>
  <c r="D28" i="4"/>
  <c r="D35" i="5"/>
  <c r="D20" i="8" l="1"/>
  <c r="D19" i="8"/>
  <c r="D12" i="28"/>
  <c r="G18" i="1"/>
  <c r="E9" i="1"/>
  <c r="D31" i="4"/>
  <c r="E12" i="1" s="1"/>
  <c r="C22" i="17"/>
  <c r="D9" i="1" s="1"/>
  <c r="D7" i="28"/>
  <c r="D9" i="28" s="1"/>
  <c r="C68" i="2"/>
  <c r="A21" i="1"/>
  <c r="A23" i="1" s="1"/>
  <c r="A25" i="1" s="1"/>
  <c r="A28" i="1" s="1"/>
  <c r="E43" i="2"/>
  <c r="E22" i="17"/>
  <c r="E17" i="1"/>
  <c r="G17" i="1" s="1"/>
  <c r="E35" i="5"/>
  <c r="E25" i="4"/>
  <c r="C29" i="8"/>
  <c r="E17" i="8"/>
  <c r="D20" i="28" s="1"/>
  <c r="D37" i="28" s="1"/>
  <c r="E28" i="4"/>
  <c r="E28" i="1"/>
  <c r="E18" i="11"/>
  <c r="E29" i="1"/>
  <c r="G29" i="1" s="1"/>
  <c r="E16" i="12"/>
  <c r="G28" i="1" l="1"/>
  <c r="F62" i="20"/>
  <c r="D21" i="8"/>
  <c r="E19" i="8"/>
  <c r="F63" i="20"/>
  <c r="E20" i="8"/>
  <c r="D10" i="1"/>
  <c r="D19" i="1" s="1"/>
  <c r="A29" i="1"/>
  <c r="A34" i="1" s="1"/>
  <c r="G9" i="1"/>
  <c r="E31" i="4"/>
  <c r="F28" i="1"/>
  <c r="B14" i="27" s="1"/>
  <c r="F29" i="1"/>
  <c r="B15" i="27" s="1"/>
  <c r="D12" i="1"/>
  <c r="G12" i="1" s="1"/>
  <c r="D23" i="1"/>
  <c r="D32" i="1"/>
  <c r="F17" i="1"/>
  <c r="D29" i="8" l="1"/>
  <c r="E21" i="8"/>
  <c r="F9" i="1"/>
  <c r="F12" i="1"/>
  <c r="E23" i="1" l="1"/>
  <c r="E29" i="8"/>
  <c r="D25" i="2"/>
  <c r="D27" i="2" s="1"/>
  <c r="G23" i="1" l="1"/>
  <c r="F23" i="1"/>
  <c r="E25" i="2"/>
  <c r="D68" i="2"/>
  <c r="E27" i="2"/>
  <c r="E68" i="2" s="1"/>
  <c r="E10" i="1" l="1"/>
  <c r="G10" i="1" s="1"/>
  <c r="D32" i="6"/>
  <c r="D35" i="6"/>
  <c r="E21" i="6"/>
  <c r="E32" i="6" s="1"/>
  <c r="F10" i="1" l="1"/>
  <c r="E35" i="6"/>
  <c r="E16" i="1"/>
  <c r="G16" i="1" l="1"/>
  <c r="F16" i="1"/>
  <c r="D22" i="26" l="1"/>
  <c r="D24" i="26" s="1"/>
  <c r="D63" i="26" s="1"/>
  <c r="E17" i="26"/>
  <c r="E22" i="26" s="1"/>
  <c r="D59" i="28" s="1"/>
  <c r="D68" i="28" l="1"/>
  <c r="D31" i="28"/>
  <c r="D42" i="28"/>
  <c r="D45" i="28" s="1"/>
  <c r="D65" i="28"/>
  <c r="F65" i="20"/>
  <c r="E24" i="26"/>
  <c r="E63" i="26" s="1"/>
  <c r="G36" i="1" l="1"/>
  <c r="F36" i="1"/>
  <c r="B27" i="27" l="1"/>
  <c r="D22" i="21"/>
  <c r="D13" i="13" s="1"/>
  <c r="E22" i="21" l="1"/>
  <c r="D15" i="13" l="1"/>
  <c r="F70" i="20"/>
  <c r="E13" i="13"/>
  <c r="E15" i="13" l="1"/>
  <c r="D26" i="28" s="1"/>
  <c r="D38" i="13"/>
  <c r="E30" i="1" s="1"/>
  <c r="E32" i="1" s="1"/>
  <c r="G30" i="1" l="1"/>
  <c r="F30" i="1"/>
  <c r="E38" i="13"/>
  <c r="G31" i="1" l="1"/>
  <c r="F31" i="1"/>
  <c r="B16" i="27" s="1"/>
  <c r="B17" i="27" s="1"/>
  <c r="G32" i="1" l="1"/>
  <c r="F32" i="1"/>
  <c r="D54" i="3" l="1"/>
  <c r="C54" i="3"/>
  <c r="D11" i="1" l="1"/>
  <c r="D13" i="1" s="1"/>
  <c r="D25" i="1" s="1"/>
  <c r="E11" i="1"/>
  <c r="E31" i="3"/>
  <c r="E54" i="3" s="1"/>
  <c r="D34" i="1" l="1"/>
  <c r="D38" i="1" s="1"/>
  <c r="F11" i="1"/>
  <c r="F13" i="1" s="1"/>
  <c r="E13" i="1"/>
  <c r="G11" i="1"/>
  <c r="G13" i="1" l="1"/>
  <c r="D42" i="1"/>
  <c r="D43" i="1" s="1"/>
  <c r="F40" i="20"/>
  <c r="F66" i="20" s="1"/>
  <c r="F76" i="20" s="1"/>
  <c r="E16" i="7"/>
  <c r="D22" i="7"/>
  <c r="E22" i="7" l="1"/>
  <c r="E15" i="1"/>
  <c r="F15" i="1" s="1"/>
  <c r="F19" i="1" s="1"/>
  <c r="F25" i="1" s="1"/>
  <c r="F34" i="1" l="1"/>
  <c r="G41" i="1" s="1"/>
  <c r="D53" i="28"/>
  <c r="D56" i="28" s="1"/>
  <c r="D16" i="28" s="1"/>
  <c r="D22" i="28" s="1"/>
  <c r="G15" i="1"/>
  <c r="E19" i="1"/>
  <c r="E25" i="1" s="1"/>
  <c r="E34" i="1" s="1"/>
  <c r="B20" i="27"/>
  <c r="B24" i="27" s="1"/>
  <c r="B36" i="27" s="1"/>
  <c r="B42" i="27" s="1"/>
  <c r="F41" i="1" l="1"/>
  <c r="F38" i="1"/>
  <c r="B38" i="27"/>
  <c r="G19" i="1"/>
  <c r="D14" i="28"/>
  <c r="G25" i="1"/>
  <c r="F42" i="1" l="1"/>
  <c r="F43" i="1" s="1"/>
  <c r="B40" i="27"/>
  <c r="D24" i="28"/>
  <c r="D29" i="28" s="1"/>
  <c r="E38" i="1"/>
  <c r="E42" i="1" s="1"/>
  <c r="G34" i="1"/>
  <c r="D36" i="28" l="1"/>
  <c r="D39" i="28" s="1"/>
  <c r="D34" i="28"/>
  <c r="D33" i="28"/>
  <c r="G38" i="1"/>
  <c r="F79" i="20"/>
  <c r="F80" i="20" l="1"/>
  <c r="D48" i="28"/>
  <c r="D47" i="2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tc={49F3BDC5-F9D9-4DD8-8836-E5EA686768A9}</author>
  </authors>
  <commentList>
    <comment ref="B43" authorId="0" shapeId="0" xr:uid="{49F3BDC5-F9D9-4DD8-8836-E5EA686768A9}">
      <text>
        <t>[Threaded comment]
Your version of Excel allows you to read this threaded comment; however, any edits to it will get removed if the file is opened in a newer version of Excel. Learn more: https://go.microsoft.com/fwlink/?linkid=870924
Comment:
    TIER = Earnings Before Interest/Interest Expense</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tc={44390B0D-EBF4-4FB4-8992-74E726569DFD}</author>
  </authors>
  <commentList>
    <comment ref="D11" authorId="0" shapeId="0" xr:uid="{44390B0D-EBF4-4FB4-8992-74E726569DFD}">
      <text>
        <t>[Threaded comment]
Your version of Excel allows you to read this threaded comment; however, any edits to it will get removed if the file is opened in a newer version of Excel. Learn more: https://go.microsoft.com/fwlink/?linkid=870924
Comment:
    Non-COLA K&amp;M’s = $189,751</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<sst xmlns="http://schemas.openxmlformats.org/spreadsheetml/2006/main" count="879" uniqueCount="583">
  <si>
    <t>Line #</t>
  </si>
  <si>
    <t>Description</t>
  </si>
  <si>
    <t>Reference</t>
  </si>
  <si>
    <t>Schedule #</t>
  </si>
  <si>
    <t xml:space="preserve">Known and </t>
  </si>
  <si>
    <t>Operating Expenses</t>
  </si>
  <si>
    <t>Production</t>
  </si>
  <si>
    <t>Fuel</t>
  </si>
  <si>
    <t>Purchased Power</t>
  </si>
  <si>
    <t>Transmission</t>
  </si>
  <si>
    <t>Distribution</t>
  </si>
  <si>
    <t>Administrative and General</t>
  </si>
  <si>
    <t>Interest Income</t>
  </si>
  <si>
    <t>Other</t>
  </si>
  <si>
    <t>Net Utility Expense</t>
  </si>
  <si>
    <t>Total Cost of Service</t>
  </si>
  <si>
    <t>Revenue at Existing Rates</t>
  </si>
  <si>
    <t>FERC</t>
  </si>
  <si>
    <t>Production Expense - McNeil</t>
  </si>
  <si>
    <t>Production Expense - Gas Turbine</t>
  </si>
  <si>
    <t>Supervision &amp; Engineering</t>
  </si>
  <si>
    <t>Miscellaneous Power Generation</t>
  </si>
  <si>
    <t>Structures</t>
  </si>
  <si>
    <t>Generating and Electric Plant</t>
  </si>
  <si>
    <t>Miscellaneous Steam Power</t>
  </si>
  <si>
    <t>Boiler Plant</t>
  </si>
  <si>
    <t>Electric Plant</t>
  </si>
  <si>
    <t>Miscellaneous Plant</t>
  </si>
  <si>
    <t>Purchased Power Expense</t>
  </si>
  <si>
    <t>VEPPI</t>
  </si>
  <si>
    <t>Total Purchased Power Expense</t>
  </si>
  <si>
    <t>Transmission Expense</t>
  </si>
  <si>
    <t>Supervision and Engineering</t>
  </si>
  <si>
    <t>Station</t>
  </si>
  <si>
    <t>Overhead Lines</t>
  </si>
  <si>
    <t>Rents</t>
  </si>
  <si>
    <t xml:space="preserve">      Total Operations</t>
  </si>
  <si>
    <t>Rents - McNeil</t>
  </si>
  <si>
    <t>Distribution Expense</t>
  </si>
  <si>
    <t>Meters</t>
  </si>
  <si>
    <t>Customer Installations</t>
  </si>
  <si>
    <t>Miscellaneous</t>
  </si>
  <si>
    <t>Structures and Improvements</t>
  </si>
  <si>
    <t>Station Equipment</t>
  </si>
  <si>
    <t>Underground Lines</t>
  </si>
  <si>
    <t>Transformers</t>
  </si>
  <si>
    <t>Street Lighting</t>
  </si>
  <si>
    <t>Supervision</t>
  </si>
  <si>
    <t>Meter Reading</t>
  </si>
  <si>
    <t>Customer Records &amp; Collections</t>
  </si>
  <si>
    <t>Uncollectible Accounts</t>
  </si>
  <si>
    <t xml:space="preserve">      Total Customer Accounts</t>
  </si>
  <si>
    <t>Customer Assistance</t>
  </si>
  <si>
    <t>Informational Advertising</t>
  </si>
  <si>
    <t>Administrative and General Expense</t>
  </si>
  <si>
    <t>Office Supplies and Expenses</t>
  </si>
  <si>
    <t>Outside Services Employed</t>
  </si>
  <si>
    <t>Property Insurance</t>
  </si>
  <si>
    <t>Injuries and Damages</t>
  </si>
  <si>
    <t>Employee Pensions and Benefits</t>
  </si>
  <si>
    <t>Duplicate Charges Credit</t>
  </si>
  <si>
    <t>Regulatory Commission</t>
  </si>
  <si>
    <t>Miscellaneous A &amp; G</t>
  </si>
  <si>
    <t>Maintenance of General Plant</t>
  </si>
  <si>
    <t>A &amp; G Expense Transfer</t>
  </si>
  <si>
    <t>Gross Revenue Tax - State of Vermont</t>
  </si>
  <si>
    <t>Gross Receipts Tax - State of Vermont</t>
  </si>
  <si>
    <t>Social Security Taxes - Operating</t>
  </si>
  <si>
    <t>Social Security Taxes - McNeil</t>
  </si>
  <si>
    <t>Allocation of Social Security Taxes</t>
  </si>
  <si>
    <t>Total Taxes</t>
  </si>
  <si>
    <t>System Control and Load Dispatch</t>
  </si>
  <si>
    <t>Checking Accounts</t>
  </si>
  <si>
    <t>Dividend Income</t>
  </si>
  <si>
    <t>Vermont Electric Power Company</t>
  </si>
  <si>
    <t>Vermont Electric Transmission Company</t>
  </si>
  <si>
    <t>Other Income/(Expense)</t>
  </si>
  <si>
    <t>Profit/(Loss) from Merchandising and Jobbing</t>
  </si>
  <si>
    <t>Miscellaneous Non-Operating Income</t>
  </si>
  <si>
    <t>Other Deductions</t>
  </si>
  <si>
    <t>G. O. Bonds - Interest</t>
  </si>
  <si>
    <t>Interest Expense</t>
  </si>
  <si>
    <t>Total Fuel Expense</t>
  </si>
  <si>
    <t>Customer Accounting &amp; Services</t>
  </si>
  <si>
    <t>Note</t>
  </si>
  <si>
    <t>Power Production Expense - Fuel</t>
  </si>
  <si>
    <t>Power Production Expense - Except Fuel</t>
  </si>
  <si>
    <t>Notes:</t>
  </si>
  <si>
    <t>Steam Expenses</t>
  </si>
  <si>
    <t>Electric Expenses</t>
  </si>
  <si>
    <t>Total Transmission</t>
  </si>
  <si>
    <t>Total Distribution</t>
  </si>
  <si>
    <t>Total Administrative and General Expense</t>
  </si>
  <si>
    <t>Total Dividend Income</t>
  </si>
  <si>
    <t>Residential Sales</t>
  </si>
  <si>
    <t>Small General Sales</t>
  </si>
  <si>
    <t>Large General Sales</t>
  </si>
  <si>
    <t>Primary Sales</t>
  </si>
  <si>
    <t>Street Lighting Sales</t>
  </si>
  <si>
    <t>Miscellaneous Service Fees</t>
  </si>
  <si>
    <t>EEU Program Cost Reimbursement</t>
  </si>
  <si>
    <t>Subtotal Miscellaneous Electric Revenues</t>
  </si>
  <si>
    <t>Total Customer Service, Accounting &amp; Informational Expense</t>
  </si>
  <si>
    <t>Customer Accounts / Service Expense</t>
  </si>
  <si>
    <t>Burlington Electric Department</t>
  </si>
  <si>
    <t xml:space="preserve"> Residential Energy Services</t>
  </si>
  <si>
    <t xml:space="preserve"> Commercial Energy Services</t>
  </si>
  <si>
    <t xml:space="preserve"> Commercial Energy Standards</t>
  </si>
  <si>
    <t xml:space="preserve"> Time of Sale</t>
  </si>
  <si>
    <t xml:space="preserve"> Power Misers</t>
  </si>
  <si>
    <t xml:space="preserve"> BED/DSM Programs</t>
  </si>
  <si>
    <t xml:space="preserve"> EEU/DSM Non-Billable</t>
  </si>
  <si>
    <t>Note:</t>
  </si>
  <si>
    <t>Other Income</t>
  </si>
  <si>
    <t>Payment in Lieu of Tax - Operating</t>
  </si>
  <si>
    <t>Payment in Lieu of Tax - McNeil</t>
  </si>
  <si>
    <t>Allocation of PILOT</t>
  </si>
  <si>
    <t>Summary of Adjustments to Cost of Service</t>
  </si>
  <si>
    <t>Subtotal Power Supply</t>
  </si>
  <si>
    <t>Total Operating Expense</t>
  </si>
  <si>
    <t>System Load Control and Dispatch</t>
  </si>
  <si>
    <t>Test Year</t>
  </si>
  <si>
    <t>Rate Year</t>
  </si>
  <si>
    <t>Known &amp;</t>
  </si>
  <si>
    <t>Measurables</t>
  </si>
  <si>
    <t>Cost of Service Summary</t>
  </si>
  <si>
    <t>Schedule 1</t>
  </si>
  <si>
    <t>NYPA (Niagara &amp; St. Lawrence)</t>
  </si>
  <si>
    <t>Ancillary</t>
  </si>
  <si>
    <t>Credits</t>
  </si>
  <si>
    <t>VELCO Exchange</t>
  </si>
  <si>
    <t>Total Ancillary</t>
  </si>
  <si>
    <t>Sub Total McNeil</t>
  </si>
  <si>
    <t>Sub Total Gas Turbine</t>
  </si>
  <si>
    <t>GT</t>
  </si>
  <si>
    <t>McNeil</t>
  </si>
  <si>
    <t>Total Capacity</t>
  </si>
  <si>
    <t>Total Energy</t>
  </si>
  <si>
    <t>Total Miscellaneous</t>
  </si>
  <si>
    <t>VEPPI Power Sale Credit</t>
  </si>
  <si>
    <t>Total Credits</t>
  </si>
  <si>
    <t>Capacity</t>
  </si>
  <si>
    <t>Energy</t>
  </si>
  <si>
    <t>Maintenance</t>
  </si>
  <si>
    <t>Operation</t>
  </si>
  <si>
    <t>Operations</t>
  </si>
  <si>
    <t>Rent from Electric Property</t>
  </si>
  <si>
    <t>Miscellaneous Electric Revenues</t>
  </si>
  <si>
    <t>Other Income and Deductions</t>
  </si>
  <si>
    <t>Schedule 15</t>
  </si>
  <si>
    <t>Schedule 2</t>
  </si>
  <si>
    <t>Schedule 3</t>
  </si>
  <si>
    <t>Schedule 4</t>
  </si>
  <si>
    <t>Schedule 5</t>
  </si>
  <si>
    <t>Schedule 6</t>
  </si>
  <si>
    <t>Schedule 7</t>
  </si>
  <si>
    <t>Schedule 8</t>
  </si>
  <si>
    <t>Schedule 10</t>
  </si>
  <si>
    <t>Schedule 11</t>
  </si>
  <si>
    <t>Schedule 12</t>
  </si>
  <si>
    <t>Schedule 13</t>
  </si>
  <si>
    <t>Schedule 14</t>
  </si>
  <si>
    <t>General Operating</t>
  </si>
  <si>
    <t>VELCO Directorship</t>
  </si>
  <si>
    <t>Gain on Sale of Assets</t>
  </si>
  <si>
    <t>Unrealized Gain(Loss) on Investment</t>
  </si>
  <si>
    <t>General McNeil</t>
  </si>
  <si>
    <t>Schedule 13A</t>
  </si>
  <si>
    <t>Subtotal Rent from Electric Property</t>
  </si>
  <si>
    <t>Subtotal Other Income and Deductions</t>
  </si>
  <si>
    <t>Known and Measurable Changes</t>
  </si>
  <si>
    <t>Item #</t>
  </si>
  <si>
    <t>Type</t>
  </si>
  <si>
    <t>Change</t>
  </si>
  <si>
    <t>Comments</t>
  </si>
  <si>
    <t>Total</t>
  </si>
  <si>
    <t>Income</t>
  </si>
  <si>
    <t>Expense</t>
  </si>
  <si>
    <t>415-416</t>
  </si>
  <si>
    <t>Subtotal Miscellaneous Non-Operating Income</t>
  </si>
  <si>
    <t>Total Maintenance</t>
  </si>
  <si>
    <t>Subtotal - Station</t>
  </si>
  <si>
    <t>Subtotal - Rents</t>
  </si>
  <si>
    <t>Customer Accounts</t>
  </si>
  <si>
    <t>Customer Service</t>
  </si>
  <si>
    <t xml:space="preserve">Total Customer Assistance </t>
  </si>
  <si>
    <t>Total Production Expense - McNeil</t>
  </si>
  <si>
    <t>Total Production Expense - Gas Turbine</t>
  </si>
  <si>
    <t>Subtotal - Operation</t>
  </si>
  <si>
    <t>Subtotal - Maintenance</t>
  </si>
  <si>
    <t>Subtotal - Production Expense Gas Turbine</t>
  </si>
  <si>
    <t>Grand Total Production Expense</t>
  </si>
  <si>
    <t>Total Other Power Supply Expense</t>
  </si>
  <si>
    <t>Sub-Total Payment in Lieu of Tax</t>
  </si>
  <si>
    <t>Total Payment in Lieu of Tax</t>
  </si>
  <si>
    <t>Total Revenue Taxes</t>
  </si>
  <si>
    <t>Total Social Security Taxes</t>
  </si>
  <si>
    <t>Total Interest Income</t>
  </si>
  <si>
    <t>Total Other Income/(Expense)</t>
  </si>
  <si>
    <t>Total Revenue from Electric Sales</t>
  </si>
  <si>
    <t>Total Income</t>
  </si>
  <si>
    <t>Capital Contributions - CAFC</t>
  </si>
  <si>
    <t>Revenue Bonds - Interest</t>
  </si>
  <si>
    <t>Total Interest Expense</t>
  </si>
  <si>
    <t>BEC Ref #</t>
  </si>
  <si>
    <t>ISO-New England</t>
  </si>
  <si>
    <t>Vermont Transco LLC</t>
  </si>
  <si>
    <t>Salaries</t>
  </si>
  <si>
    <t xml:space="preserve">     </t>
  </si>
  <si>
    <t>Pole Attachments</t>
  </si>
  <si>
    <t>Conduit Use Fees</t>
  </si>
  <si>
    <t>Late Payment Fees</t>
  </si>
  <si>
    <t>Station Expense - McNeil</t>
  </si>
  <si>
    <t>EEU/DSM-Billable</t>
  </si>
  <si>
    <t>Fuel - Oil</t>
  </si>
  <si>
    <t>Fuel - Gas</t>
  </si>
  <si>
    <t>Fuel - Wood</t>
  </si>
  <si>
    <t>Fuel - Other</t>
  </si>
  <si>
    <t>Net Zero Roadmap</t>
  </si>
  <si>
    <t>Tier 3</t>
  </si>
  <si>
    <t>EV Match P&amp;P</t>
  </si>
  <si>
    <t>Customer Serv &amp; Info Supervision</t>
  </si>
  <si>
    <t>Production Expense - Hydro</t>
  </si>
  <si>
    <t>Total Production Expense - Hydro</t>
  </si>
  <si>
    <t>Water for Power</t>
  </si>
  <si>
    <t xml:space="preserve">Hydraulic </t>
  </si>
  <si>
    <t>Production Expense - Solar Power</t>
  </si>
  <si>
    <t>Rents-Airport</t>
  </si>
  <si>
    <t>Maintenance - Airport</t>
  </si>
  <si>
    <t>O&amp;M</t>
  </si>
  <si>
    <t>Property Taxes - Hydro Plant</t>
  </si>
  <si>
    <t>KeyBanc Capital Market</t>
  </si>
  <si>
    <t>Miscellaneous Other</t>
  </si>
  <si>
    <t>Street Light LED Rebate</t>
  </si>
  <si>
    <t>Grant Proceeds</t>
  </si>
  <si>
    <t>Reliability, Planning  &amp; Standards Development</t>
  </si>
  <si>
    <t>Vermont Wind/Sheffield</t>
  </si>
  <si>
    <t>Georgia Wind</t>
  </si>
  <si>
    <t>ISO-NE Exchange</t>
  </si>
  <si>
    <t>In City Solar Generators</t>
  </si>
  <si>
    <t>Hydro Quebec</t>
  </si>
  <si>
    <t>Hancock Wind</t>
  </si>
  <si>
    <t>Great River Hydro</t>
  </si>
  <si>
    <t>GMCW</t>
  </si>
  <si>
    <t>ISO NE Exchange</t>
  </si>
  <si>
    <t>ISO NE Resettlement</t>
  </si>
  <si>
    <t xml:space="preserve">     2014A Series A Revenue Bonds</t>
  </si>
  <si>
    <t xml:space="preserve">     2014B Series A Revenue Bonds</t>
  </si>
  <si>
    <t xml:space="preserve">     2017A Series A Revenue Bonds</t>
  </si>
  <si>
    <t xml:space="preserve">     2017B Series A Revenue Bonds</t>
  </si>
  <si>
    <t>VT Wind/Sheffield</t>
  </si>
  <si>
    <t>NYPA  (Niagra &amp; St. Lawrence)</t>
  </si>
  <si>
    <t>Subtotal - Other</t>
  </si>
  <si>
    <t>Transmission by Others</t>
  </si>
  <si>
    <t>ISO-NE (Operating)</t>
  </si>
  <si>
    <t>VELCO (Operating)</t>
  </si>
  <si>
    <t>NYPA (Operating)</t>
  </si>
  <si>
    <t>GMP (Operating)</t>
  </si>
  <si>
    <t>GMP-Georgia Wind</t>
  </si>
  <si>
    <t>REC Sales-Solar</t>
  </si>
  <si>
    <t>REC Sales-Wind</t>
  </si>
  <si>
    <t>REC Sales-McNeil</t>
  </si>
  <si>
    <t>Depreciation &amp; Amortization</t>
  </si>
  <si>
    <t>11-Structure &amp; Improvements</t>
  </si>
  <si>
    <t>12-Boiler Plant Equipment</t>
  </si>
  <si>
    <t>14-Turbogenerator Units</t>
  </si>
  <si>
    <t>15-Accessory Electric Equipment</t>
  </si>
  <si>
    <t>16-Misc Steam Plant Equipment</t>
  </si>
  <si>
    <t>31-Structures &amp; Improvements</t>
  </si>
  <si>
    <t>32-Reservoirs/Dams/Waterways</t>
  </si>
  <si>
    <t>33-Water Wheels/Turb/Gen</t>
  </si>
  <si>
    <t>34-Access Electric Equipment</t>
  </si>
  <si>
    <t>35-Misc Plant Equipment</t>
  </si>
  <si>
    <t>36-Roads/RR/Bridges</t>
  </si>
  <si>
    <t>41-Structures &amp; Improvements</t>
  </si>
  <si>
    <t>43-Prime Movers</t>
  </si>
  <si>
    <t>44-Generators</t>
  </si>
  <si>
    <t>45-Accessory Electric Equipment</t>
  </si>
  <si>
    <t>PRODUCTION PLANT</t>
  </si>
  <si>
    <t>TRANSMISSION PLANT</t>
  </si>
  <si>
    <t>DISTRIBUTION PLANT</t>
  </si>
  <si>
    <t>61-Structures &amp; Improvements</t>
  </si>
  <si>
    <t>62-Station Equipment</t>
  </si>
  <si>
    <t>64-Poles and Fixtures</t>
  </si>
  <si>
    <t>65-Ovhd Conductors &amp; Devices</t>
  </si>
  <si>
    <t>66-Underground Conduits</t>
  </si>
  <si>
    <t>67-Underground Conductors &amp; Devices</t>
  </si>
  <si>
    <t>68-Line Transformers</t>
  </si>
  <si>
    <t>69-Services</t>
  </si>
  <si>
    <t>70-Metering Equipment</t>
  </si>
  <si>
    <t>72-Leased Property on Cust Premisis</t>
  </si>
  <si>
    <t>73-Street Lighting</t>
  </si>
  <si>
    <t>GENERAL PLANT</t>
  </si>
  <si>
    <t>Straight Line Adj - McNeil</t>
  </si>
  <si>
    <t>Sinking Fund Adj - McNeil</t>
  </si>
  <si>
    <t>Amortiz of Software-Operating</t>
  </si>
  <si>
    <t>Amortiz of Software-McNeil</t>
  </si>
  <si>
    <t>Winooski One Hydro</t>
  </si>
  <si>
    <t xml:space="preserve">      Total Exp-McNeil Plant</t>
  </si>
  <si>
    <t xml:space="preserve">      Total Exp-Hydro Production Plant</t>
  </si>
  <si>
    <t xml:space="preserve">      Total Exp-Other Production Plant-GT</t>
  </si>
  <si>
    <t xml:space="preserve">      Total Exp-Wind Turbine</t>
  </si>
  <si>
    <t xml:space="preserve">      Total Exp-Solar</t>
  </si>
  <si>
    <t>Total Expense - Production Plant</t>
  </si>
  <si>
    <t>51-Total Energy Storage/Equipment</t>
  </si>
  <si>
    <t>53-Total Station Equipment-Operating</t>
  </si>
  <si>
    <t>56-Total Overhead Conductors &amp; Dev-Operations</t>
  </si>
  <si>
    <t>59-Total Roads &amp; Trails-Operating</t>
  </si>
  <si>
    <t>Total Expense - Transmission Plant</t>
  </si>
  <si>
    <t>Total Expense - Distribution Plant</t>
  </si>
  <si>
    <t>90-Structures &amp; Improvm-Operating</t>
  </si>
  <si>
    <t>91-Office Furniture &amp; Equip-Operating</t>
  </si>
  <si>
    <t>91-Office Furniture &amp; Equip-McNeil</t>
  </si>
  <si>
    <t>92-Transportation Equip-Operating</t>
  </si>
  <si>
    <t>92-Transportation Equip-McNeil</t>
  </si>
  <si>
    <t>93-Stores Equip-Operating</t>
  </si>
  <si>
    <t>94-Tools/Shop/Garage Equip-Operating</t>
  </si>
  <si>
    <t>95-Laboratory/Test Equip-Operating</t>
  </si>
  <si>
    <t>97-Communication Equipment-Operating</t>
  </si>
  <si>
    <t>98-Misc General Equip-Operating</t>
  </si>
  <si>
    <t>98-Misc General Equip-McNeil</t>
  </si>
  <si>
    <t>Depreciation Expense Allocated</t>
  </si>
  <si>
    <t>Total Straight Line Adjustment</t>
  </si>
  <si>
    <t>ADJUSTMENT TO STRAIGHT LINE DEPRECIATION</t>
  </si>
  <si>
    <t xml:space="preserve">ADJUSTMENT FOR SINKING FUND DEPRECIATION </t>
  </si>
  <si>
    <t>Total Sinking Fund Depreciation Adjustment</t>
  </si>
  <si>
    <t>TOTAL DEPRECIATION EXPENSE</t>
  </si>
  <si>
    <t>STEAM-MCNEIL</t>
  </si>
  <si>
    <t xml:space="preserve">HYDRO </t>
  </si>
  <si>
    <t>OTHER-GAS TURBINE</t>
  </si>
  <si>
    <t>OTHER-WIND TURBINE</t>
  </si>
  <si>
    <t>OTHER-SOLAR</t>
  </si>
  <si>
    <t>Total Expense - General Plant</t>
  </si>
  <si>
    <t>Total Amortization-Software</t>
  </si>
  <si>
    <t>Total Deferred Project Amortization</t>
  </si>
  <si>
    <t>TOTAL AMORTIZATION EXPENSE</t>
  </si>
  <si>
    <t>Taxes</t>
  </si>
  <si>
    <t>Total Interest Expense - Other</t>
  </si>
  <si>
    <t xml:space="preserve">Total Interest Expense - GO Bond </t>
  </si>
  <si>
    <t>Total Interest - Revenue Bond</t>
  </si>
  <si>
    <t>Schedule  9</t>
  </si>
  <si>
    <t>Total Long Term Debt  Interest</t>
  </si>
  <si>
    <t>Amortization of Debt Discount</t>
  </si>
  <si>
    <t xml:space="preserve">     GOB 2016D</t>
  </si>
  <si>
    <t>Total Amortization of Debt Discount</t>
  </si>
  <si>
    <t>Amortization of Debt Premium</t>
  </si>
  <si>
    <t xml:space="preserve">     GOB 2011B</t>
  </si>
  <si>
    <t xml:space="preserve">     GOB 2016A</t>
  </si>
  <si>
    <t xml:space="preserve">     GOB 2016B</t>
  </si>
  <si>
    <t xml:space="preserve">     GOB 2016C</t>
  </si>
  <si>
    <t xml:space="preserve">     GOB 2017C</t>
  </si>
  <si>
    <t xml:space="preserve">     GOB 2018B</t>
  </si>
  <si>
    <t>Subtotal Amort of Debt Premium-GOB</t>
  </si>
  <si>
    <t xml:space="preserve">     Revenue Bond 2014A</t>
  </si>
  <si>
    <t xml:space="preserve">     Revenue Bond 2014B</t>
  </si>
  <si>
    <t>Subtotal Amort of Debt Premium-RB</t>
  </si>
  <si>
    <t>Other Interest Expense</t>
  </si>
  <si>
    <t>Beginning Balance</t>
  </si>
  <si>
    <t>Sources of Funds</t>
  </si>
  <si>
    <t xml:space="preserve">   Revenues at Existing Rates</t>
  </si>
  <si>
    <t>Total Sources of Funds</t>
  </si>
  <si>
    <t>Uses of Funds</t>
  </si>
  <si>
    <t>Total Operating Expenses</t>
  </si>
  <si>
    <t xml:space="preserve">  (less) Depreciation &amp; Amortization</t>
  </si>
  <si>
    <t>Net Operating Expenses</t>
  </si>
  <si>
    <t>Capital Spending</t>
  </si>
  <si>
    <t>Debt Service</t>
  </si>
  <si>
    <t xml:space="preserve">  Principal</t>
  </si>
  <si>
    <t xml:space="preserve">  Interest</t>
  </si>
  <si>
    <t>Total Uses of Funds</t>
  </si>
  <si>
    <t>Total Production Expense - Solar Power</t>
  </si>
  <si>
    <t>Interest (Existing)</t>
  </si>
  <si>
    <t xml:space="preserve">     GOB 2019A</t>
  </si>
  <si>
    <t>Total Depreciation &amp; Amortization</t>
  </si>
  <si>
    <t>Gain/Loss on Plant</t>
  </si>
  <si>
    <t>Subtotal - Transmission by Others</t>
  </si>
  <si>
    <t>McNeil Plant Maintenance</t>
  </si>
  <si>
    <t>Depreciation</t>
  </si>
  <si>
    <t>Tax Expense</t>
  </si>
  <si>
    <t>Amortization</t>
  </si>
  <si>
    <t>427-431</t>
  </si>
  <si>
    <t>REC Sales</t>
  </si>
  <si>
    <t>GT Fuel - Oil</t>
  </si>
  <si>
    <t>Total Operating Revenues</t>
  </si>
  <si>
    <t>Total Operating Expenses - Adjusted</t>
  </si>
  <si>
    <t>Net Operating Income - Adjusted</t>
  </si>
  <si>
    <t>Total Other Income</t>
  </si>
  <si>
    <t>(Less) Grant/Customer Income</t>
  </si>
  <si>
    <t>Net Income Available for Debt Service</t>
  </si>
  <si>
    <t xml:space="preserve">Debt Service on Revenue Bonds </t>
  </si>
  <si>
    <t>Adjusted Net Income Available for Other Debt Service</t>
  </si>
  <si>
    <t>Total Debt Service</t>
  </si>
  <si>
    <t>Inputs:</t>
  </si>
  <si>
    <t xml:space="preserve">    Total Operating Expenses</t>
  </si>
  <si>
    <t xml:space="preserve">    (less) Uncollectible Accounts</t>
  </si>
  <si>
    <t>Total Ops Exp</t>
  </si>
  <si>
    <t xml:space="preserve">    Pension Adjustment</t>
  </si>
  <si>
    <t>Expense Subtotal</t>
  </si>
  <si>
    <t>Total Sales to Customers</t>
  </si>
  <si>
    <t xml:space="preserve">Transmission Revenue </t>
  </si>
  <si>
    <t>Revenues at Existing Rates</t>
  </si>
  <si>
    <t xml:space="preserve">  Capital Leases (Key Govt Financing MDMS)</t>
  </si>
  <si>
    <t>Subtotal Operation &amp; Maintenance</t>
  </si>
  <si>
    <t>Percent of</t>
  </si>
  <si>
    <t>Increase</t>
  </si>
  <si>
    <t>Times Interest Earned Ratio (TIER)</t>
  </si>
  <si>
    <t>General Obligation BAN/Bond</t>
  </si>
  <si>
    <t>Notes</t>
  </si>
  <si>
    <t xml:space="preserve">    Deduct: Payment in Lieu of Taxes</t>
  </si>
  <si>
    <t>Change in Cash Balance</t>
  </si>
  <si>
    <t>Debt Service Coverage Ratios</t>
  </si>
  <si>
    <t>Schedule 16</t>
  </si>
  <si>
    <t>Schedule 17</t>
  </si>
  <si>
    <t>Revenue Requirement for 2.0 TIER</t>
  </si>
  <si>
    <t xml:space="preserve">Less: Depreciation &amp; Amortization </t>
  </si>
  <si>
    <t xml:space="preserve">Less: Payment in Lieu of Taxes </t>
  </si>
  <si>
    <t>See inputs below</t>
  </si>
  <si>
    <t>Revenue bond covenants require a minimum debt ratio of 1.25.</t>
  </si>
  <si>
    <t>Revenue Debt Service Coverage Ratio at Revenue Requirement</t>
  </si>
  <si>
    <t>Adjusted Debt Service Coverage Ratio at Revenue Requirement</t>
  </si>
  <si>
    <t xml:space="preserve">  (less) Pension Adjustment</t>
  </si>
  <si>
    <t>REC Sales-Hydro</t>
  </si>
  <si>
    <t>Intangible Plant-Harris</t>
  </si>
  <si>
    <t>Other Sales-Private Area Lighting</t>
  </si>
  <si>
    <t>Other Reg Asset</t>
  </si>
  <si>
    <t>CO2 Credits</t>
  </si>
  <si>
    <t xml:space="preserve">     GOB 2016</t>
  </si>
  <si>
    <t xml:space="preserve">     2022 Series A Revenue Bonds</t>
  </si>
  <si>
    <t xml:space="preserve">     GOB 2021A</t>
  </si>
  <si>
    <t>440-449</t>
  </si>
  <si>
    <t>Total Revenue</t>
  </si>
  <si>
    <t xml:space="preserve">Revenue Subtotal </t>
  </si>
  <si>
    <t xml:space="preserve">     GOB 2019C</t>
  </si>
  <si>
    <t>Reservoir/ Dams</t>
  </si>
  <si>
    <t>Maintenance - Pine Street</t>
  </si>
  <si>
    <t>Contributions Misc.</t>
  </si>
  <si>
    <t>Misc. Revenues - Power Supply</t>
  </si>
  <si>
    <t>Misc. Revenues - Other</t>
  </si>
  <si>
    <t>From Other Income Tab - Rent From Elec Prop and Misc. Revenues less Power Supply Revenues</t>
  </si>
  <si>
    <t xml:space="preserve">  Moran Frame</t>
  </si>
  <si>
    <t>(Does not include non-Known &amp; Measurable actions)</t>
  </si>
  <si>
    <t>Per City Charter authority</t>
  </si>
  <si>
    <t>REC Revenue</t>
  </si>
  <si>
    <t>Less: Gain/Loss on Plant</t>
  </si>
  <si>
    <t>Includes Interest Income, Dividend Income, and Other Inc &amp; Exp line 15</t>
  </si>
  <si>
    <t>Moran Frame promissory note</t>
  </si>
  <si>
    <t>Revenue Bonds</t>
  </si>
  <si>
    <t>General Obligation Bonds</t>
  </si>
  <si>
    <t>Other - Moran Frame promissory note (Interest)</t>
  </si>
  <si>
    <t>Other - Moran Frame promissory note (Principal)</t>
  </si>
  <si>
    <t>Revenue Bonds (Interest)</t>
  </si>
  <si>
    <t>Revenue Bonds (Principal)</t>
  </si>
  <si>
    <t>General Obligation Bonds (Interest)</t>
  </si>
  <si>
    <t>General Obligation Bonds (Principal)</t>
  </si>
  <si>
    <t>Other Income-REC Revenue</t>
  </si>
  <si>
    <t xml:space="preserve">  (less) Purchased Power amortization (non cash)</t>
  </si>
  <si>
    <t>See note #10, Sch 2-Purchased Power - Expense (non-cash) for accounting treatment to amortize over 8 years the $4,162,233 of lost revenues.</t>
  </si>
  <si>
    <t>Straight Line Adj - BED-only (Operating Fund)</t>
  </si>
  <si>
    <t>Sinking Fund Adj - BED-only (Operating Fund)</t>
  </si>
  <si>
    <t>ISO-NE Ancillary</t>
  </si>
  <si>
    <t>Net Income @ 2.0 TIER Revenue Requirement</t>
  </si>
  <si>
    <t>Per schedule</t>
  </si>
  <si>
    <t>Based on interest schedules for outstanding GO bonds and Revenue bonds. See Sch 14-Interest Expense.</t>
  </si>
  <si>
    <t>See detail on Sch 11-Interest Income</t>
  </si>
  <si>
    <t>See detail on Sch 12-Dividend Income</t>
  </si>
  <si>
    <t>Amortization of Loss on Advance Refunding</t>
  </si>
  <si>
    <t>Profit/(Loss) from jobbing/orders. Lead/lag due to timing of expense vs billings.</t>
  </si>
  <si>
    <t>See subschedule 13A; primarily related to non-recurring grant income, customer contributions to capital projects (used 5-year average), and unrealized gain/loss on investments (used 3-year average).</t>
  </si>
  <si>
    <t xml:space="preserve">Non-utility operations dividends; actual amounts received unknown in a fiscal year. </t>
  </si>
  <si>
    <t>Based on average balance of past securities purchased and average yields.</t>
  </si>
  <si>
    <t>Renewal and Replacement Fund-Zion</t>
  </si>
  <si>
    <t>Debt Service Reserve-Zion</t>
  </si>
  <si>
    <t>DSFH (Principal/Int/2022A Construction Fund) -Zion</t>
  </si>
  <si>
    <t xml:space="preserve">     GOB 2022A</t>
  </si>
  <si>
    <t xml:space="preserve">     GOB 2022 BAN refunding</t>
  </si>
  <si>
    <t xml:space="preserve">     GOB 2023A</t>
  </si>
  <si>
    <t>ISO Exchange Adjustment</t>
  </si>
  <si>
    <t>Change in Cash Balance without Proposed Rate Increase</t>
  </si>
  <si>
    <t>Conduit rental fee, applied to 37,903 feet of rented conduit, increased from $0.6898 to $2.0479, excluding gross revenue tax and franchise fee, effective 7/1/2024.</t>
  </si>
  <si>
    <t>Tier 1 RES Compliance Expense</t>
  </si>
  <si>
    <t>Fuel Oil</t>
  </si>
  <si>
    <t xml:space="preserve">Fuel Gas </t>
  </si>
  <si>
    <t>Fuel Wood *</t>
  </si>
  <si>
    <t>Total McNeil Fuel</t>
  </si>
  <si>
    <t>* Fuel Wood includes "Other"</t>
  </si>
  <si>
    <t>Wood only</t>
  </si>
  <si>
    <t>Other Income, incl REC revenues, CAFC and grants</t>
  </si>
  <si>
    <t>Change in Cash Balance at 2 TIER Revenue Requirement</t>
  </si>
  <si>
    <t>For the Test Year Ended June 30, 2024</t>
  </si>
  <si>
    <t>7/1/23-6/30/24</t>
  </si>
  <si>
    <t>8/1/25-7/31/26</t>
  </si>
  <si>
    <t>FY 2026 Budget amount</t>
  </si>
  <si>
    <t>The amount included in the Test Year (June 2024) and not adjusted for in Rate Year</t>
  </si>
  <si>
    <t>FY 2026 Budget amount (less cafc)</t>
  </si>
  <si>
    <t>Generation Expense</t>
  </si>
  <si>
    <t>ISO-NE Winter Reliability Program</t>
  </si>
  <si>
    <t>Winooski One - Water Sales</t>
  </si>
  <si>
    <t>Winooski One - Fish Passage Plan</t>
  </si>
  <si>
    <t>Proposed $3M 2025 GO Bond</t>
  </si>
  <si>
    <t>Revenue bond 2014B matured July 1, 2024.</t>
  </si>
  <si>
    <t xml:space="preserve">     GOB 2024A</t>
  </si>
  <si>
    <t>Capital Lease (Key Govt Financing MDMS) paid off July 15, 2025.</t>
  </si>
  <si>
    <t xml:space="preserve">Based on 5-year FY20-24 average. </t>
  </si>
  <si>
    <t>Test Year includes an additional entry from FY23 due to timing.</t>
  </si>
  <si>
    <t>Based on 3-year FY22-24 average.</t>
  </si>
  <si>
    <t>Updated per VELCO March 2025 forecast.</t>
  </si>
  <si>
    <t>Rate year includes $222,000 of additional shares planned to be purchased after 6/30/2025: 9,768 class A shares ($97,680) with an average annual dividend of $0.115, and 12,432 of class B shares ($124,320) with an average annual dividend of $0.133.</t>
  </si>
  <si>
    <t>Based on 3-year average of actual expenses, FY22-FY24, with FY22 and FY23 CPI-adjusted.</t>
  </si>
  <si>
    <t>FirstLight</t>
  </si>
  <si>
    <t>Tier 5 RES Compliance Expense</t>
  </si>
  <si>
    <t xml:space="preserve">Prices are based on clearing prices in FCAs 16 and 17. ISO-NE Exchange Capacity Load Obligation is based on the calculated obligation given our Summer 2024 peak. Capacity produced is based on the amounts cleared in FCAs 16 and 17. No reconfiguration auction activity is assumed. </t>
  </si>
  <si>
    <t>Prices and capacity produced are based on clearing prices and amounts in FCAs 16 and 17.</t>
  </si>
  <si>
    <t>No Pay for Performance assumed in Rate Year.</t>
  </si>
  <si>
    <t>No changes assumed.</t>
  </si>
  <si>
    <t>Current Price for entire period. No production change.</t>
  </si>
  <si>
    <t>Contract expired 12/31/24.</t>
  </si>
  <si>
    <t>Current Schedule 1 rates are used through Rate Year. Current Schedule 9 rates are used through December 2025 and Forecast for 2026. The Test Year Network Loads are used.</t>
  </si>
  <si>
    <t>VELCO’s common and BED’s Specific Facilities charges are from the most recent forecast ("Actuals through February 2025") of common charges prepared by VELCO. BED’s share of charges from the Test Year is used for each month of the Rate Year.</t>
  </si>
  <si>
    <t>Current rate is assumed. BED’s share of those rates is based on our share during the Test Year.</t>
  </si>
  <si>
    <t>Current rate is assumed. Reservation is 10MW Firm.</t>
  </si>
  <si>
    <t>Yardworker positions not filled for entirety of Test Year are now filled.</t>
  </si>
  <si>
    <t>Station Operator turnover.</t>
  </si>
  <si>
    <t>Net effect on labor expense associated with filling previously vacant position and eliminating temporary position.  Power Systems Coordinator filled for entirety of Test Year is currently vacant.</t>
  </si>
  <si>
    <t>Net effect on labor expense of resignations and replacement hires of Apprentice Lineworkers.</t>
  </si>
  <si>
    <t>Based on budgeted FY26 property tax rate for Winooski One Hydro Plant.</t>
  </si>
  <si>
    <t>Based on City of Burlington assessed property value as of 4/1/24 and City's actual 24-25 tax rate plus 6% assumed increase, as incorporated into BED's FY 2026 Budget.</t>
  </si>
  <si>
    <t>Amount included in the Test Year (June 2024) and not adjusted for in Rate Year</t>
  </si>
  <si>
    <t>Based on average of interest rates and cash balances for the past 3 months (Mar-May 2025).</t>
  </si>
  <si>
    <t>Known service cost changes (based on actual invoices received in FY25): ($28,599) for difference between annual support/maintenance costs of old SCADA system and new replacement SCADA system; $76,072.47 for MS SCADA SQL Server and MS Windows Server Datacenter for SCADA.</t>
  </si>
  <si>
    <t>Based on 3-year average of actual non-labor expenses, FY22-FY24, with FY22 and FY23 CPI-adjusted.</t>
  </si>
  <si>
    <t>Calculated based on additional revenue from 5.5% rate increase effective on bills rendered 9/1/2024 (approved in Case No. 24-1848-TF), $18,341; additional revenue based on 4.5% proposed rate case, $13,587; additional Rent from Electric Property and Miscellaneous Electric Revenues, $6,949.</t>
  </si>
  <si>
    <t>Calculated based on additional revenue from 5.5% rate increase effective on bills rendered 9/1/2024 (approved in Case No. 24-1848-TF), $17,467; additional revenue based on 4.5% proposed rate case, $12,940.</t>
  </si>
  <si>
    <t>Includes T1 expense of $1,046,147 and T3 expense of $1,148,527</t>
  </si>
  <si>
    <t>T3 Cash Outlay less expense included above</t>
  </si>
  <si>
    <t>T1 Cash Outlay less expense included above</t>
  </si>
  <si>
    <t>Advance Material Purchase - McNeil</t>
  </si>
  <si>
    <t>Revenue Bonds - FY26 transfers</t>
  </si>
  <si>
    <t>Add'l Revenues at Requested Rates</t>
  </si>
  <si>
    <t>Change in Cash Balance @ Requested Rates</t>
  </si>
  <si>
    <t xml:space="preserve">   Additional Revenues at Requested Rates</t>
  </si>
  <si>
    <t>Revenue Debt Service Coverage Ratio at Requested Rates</t>
  </si>
  <si>
    <t>Adjusted Debt Service Coverage Ratio at Requested Rates</t>
  </si>
  <si>
    <t>Regulatory Debits</t>
  </si>
  <si>
    <t xml:space="preserve">Annual amortization of McNeil major turbine overhaul over 7 years, $164,344, as approved in Case No. 21-2186-TF. </t>
  </si>
  <si>
    <t>Per schedule.</t>
  </si>
  <si>
    <t>Depreciation Expense</t>
  </si>
  <si>
    <t>Amortization Expense</t>
  </si>
  <si>
    <t>Amortization of Deferred Costs</t>
  </si>
  <si>
    <t>Reduction in Residential Sales of $76,907 due to a significant increase in the number of customers receiving Energy Assistance after 6/30/24. Revenues increased by 5.5% per rate increase effective with bills rendered September 1, 2024; approved May 1, 2025 in Case No. 24-1848-TF.</t>
  </si>
  <si>
    <t>McNeil (wood only) costs are using the most recent contracted price. Decreased costs in Rate Year. Used 12 months-ending-May 2025 production.</t>
  </si>
  <si>
    <t>GT fuel costs are using most recent fuel purchase price (12/4/24). Production is based on historical averages from 2006 to 3/31/25. Decreased costs in Rate Year.</t>
  </si>
  <si>
    <t>Net effect of new Associate Generation Engineer position now being filled and employee turnover in Director of Generation positions.</t>
  </si>
  <si>
    <t>Auxiliary Operator positions not filled for entirety of Test Year are now filled.</t>
  </si>
  <si>
    <t>Supervisor of Plant Maintenance position not filled for entirety of Test Year. Position was converted to Working Crew Leader General Maintenance and is now filled.</t>
  </si>
  <si>
    <t>Requested regulatory accounting treatment to amortize McNeil Fuel Oil Tank Cleaning &amp; Inspection over 10 years, FY25-FY35. Mechanic 1st Class B position not filled for entirety of Test Year filled, $5,280.</t>
  </si>
  <si>
    <t>Generation Generalist and Electrician position turnover and Generation Technician position vacant during the Test Year is now filled.</t>
  </si>
  <si>
    <t>Hydro Generation Technician II position filled for entirety of Test Year is currently vacant.</t>
  </si>
  <si>
    <t>Cost of Tier 3 RES compliance, $1,003,114, based on Rate Year compliance obligation percentage, Test Year load, and unit cost of Tier 3 credit inventory as of April 2025.</t>
  </si>
  <si>
    <t>Prices are based on the contract rate. Production is based on the historical average production for the period 11/1/11-5/31/25. Test Year production was 25,641 MWh. Rate Year production assumed to be 31,247 MWh based on historical average. Includes congestion true-up.</t>
  </si>
  <si>
    <t>Prices are based on the contract rate. Production is based on the historical average production for the period 1/1/13-5/31/25. Given the seasonality of production and January price increase, the corresponding months in the Test Year and Rate Year are used (i.e., July 2023 corresponds to July 2026, while August 2023 corresponds to August 2025). Test Year production was 26,076 MWh. Rate Year production assumed to be 28,210 MWh based on historical average.</t>
  </si>
  <si>
    <t>Prices are based on six-month weighted average forward energy price settlement. Individual contract resource volume assumptions are as noted under that resource. Load is the Test Year load. Given the seasonality of production and prices, the corresponding months in the Test Year and Rate Year are used (i.e., July 2023 corresponds to July 2026, while August 2023 corresponds to August 2025).</t>
  </si>
  <si>
    <t>No contract rate changes. Test Year production was 29,276 MWh. Rate Year production assumed to be 34,045 MWh based on average production from 1/1/17-5/31/25.</t>
  </si>
  <si>
    <t>Contracted from 7/1/24 (no Test Year production) to 12/31/25. 11,046 MWh based on FirstLight forecast based on 50-year history.</t>
  </si>
  <si>
    <t>FER and EIR impacts from pro-rated experience from 3/1/25-6/2/25.</t>
  </si>
  <si>
    <t>Current Inventory plus contracted RECs plus remainder at market prices.</t>
  </si>
  <si>
    <t>Current rates for schedules 1 and 5.</t>
  </si>
  <si>
    <t>Actual sales for the Rate Year are reflected at their contract price. Any remaining RECs (based on Rate Year resource production less Rate Year contracted sales) are assumed to be sold at market prices based on average bids and offers of REC forwards as of 6/4/25.</t>
  </si>
  <si>
    <t>Cost-of-Living Adjustments for FY25 (4%) and FY26 (3%) company-wide (not just FERC 920) based on total test year salaries/wages of $8,810,698. COLA salary/wage component = $627,322 and labor overhead component = $149,211. (Labor Overhead rate includes new 0.44% Childcare Contribution Tax; does not include medical, dental or life insurance expense.) Change in administrative staff expenses (salary and labor overhead) of $189,751 is the net effect of multiple separations/replacements and promotions.</t>
  </si>
  <si>
    <t>Based on 3-year average of actual expenses less District Energy-related expenses, FY22-FY24, with FY22 and FY23 CPI-adjusted.</t>
  </si>
  <si>
    <t>Known cost increase (based on actual invoice received in FY25): $38,112 for boiler &amp; machinery insurance. Cost savings from eliminating umbrella insurance policy effective 11/1/25, ($68,617).</t>
  </si>
  <si>
    <t>Pension adjustment of $266,663 based FY26 ADEC. Health, dental and life insurance increases of $501,731, $22,039, and $4,021, respectively, based on average cost per enrolled FTE and number of enrolled FTEs.</t>
  </si>
  <si>
    <t>Known cost increases (based on actual invoices received in FY25): $1,929.30 for Central Square maintenance; $1,602 for Mythics Oracle License for OpenWay; $24,207.51 for Itron Certicom maintenance; $19,749.73 for Itron OpenWay and Multispeak; $178.65 for Itron FCS maintenance; $93.11 for Itron Mobile Radio maintenance. Net effect of 50% of Meter to Cash Analyst position retirement and replacement ($34,849); other 50% allocated to FERC 903.</t>
  </si>
  <si>
    <t>Known cost increases (based on actual invoices received in FY25): $4,694.86 for Central Square maintenance; $2,951.32 for Compass Meter Data Mgmt System and Silverblaze customer portal; $118,250 for SpryPoint. Reduced ($312,527.59) for removal of convenience fee coverage with Paymentus. $13,819 for postage rate increase with Doxim. $44,685 is the net effect on labor expenses of retirements/separations and replacement hires for Customer Care Rep and 50% of Meter to Cash Analyst position.</t>
  </si>
  <si>
    <t>Sr. Innovation Spec &amp; Cust Care Rep position filled for 8% of Test Year was not backfilled.</t>
  </si>
  <si>
    <t>Engineer positions vacant for portion of Test Year are now filled.</t>
  </si>
  <si>
    <t>Line Extension Right of Way Coordinator position that was vacant during the Test Year is now filled.  Troubleshooter position was vacated and replaced by a Meter Technician at lower wages.</t>
  </si>
  <si>
    <t>Known service cost changes (based on actual invoices received in FY25): $27,000 for SpryMobile.</t>
  </si>
  <si>
    <t>Working Crew Leader-Engineering Technician retired and position remains vacant.</t>
  </si>
  <si>
    <t>Replacement employee for Underground Cable Locator position at lower starting wages.</t>
  </si>
  <si>
    <t>Based on average balance of past securities purchased and average yields. Balance in 2022A revenue bond construction fund expected to decrease to $0 by end of Rate Year.</t>
  </si>
  <si>
    <t>VELCO directorship fee increased 1/1/2025 from $4,500/quarter to $7,500/quarter.</t>
  </si>
  <si>
    <t>Grant income of $63,782 related to ARPA reimbursements for Energy Assistance Program revenue discounts; grant income of $441,699 related to FEMA assistance for July 2023 flooding damage at Winooski One.</t>
  </si>
  <si>
    <t>Exhibit DPS-SGW-1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</si>
</sst>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0_);[Red]\(&quot;$&quot;#,##0\)"/>
    <numFmt numFmtId="42" formatCode="_(&quot;$&quot;* #,##0_);_(&quot;$&quot;* \(#,##0\);_(&quot;$&quot;* &quot;-&quot;_);_(@_)"/>
    <numFmt numFmtId="44" formatCode="_(&quot;$&quot;* #,##0.00_);_(&quot;$&quot;* \(#,##0.00\);_(&quot;$&quot;* &quot;-&quot;??_);_(@_)"/>
    <numFmt numFmtId="43" formatCode="_(* #,##0.00_);_(* \(#,##0.00\);_(* &quot;-&quot;??_);_(@_)"/>
    <numFmt numFmtId="164" formatCode="_(&quot;$&quot;* #,##0_);_(&quot;$&quot;* \(#,##0\);_(&quot;$&quot;* &quot;-&quot;??_);_(@_)"/>
    <numFmt numFmtId="165" formatCode="0.0%"/>
    <numFmt numFmtId="166" formatCode="m/d/yyyy;@"/>
    <numFmt numFmtId="167" formatCode="0.0"/>
    <numFmt numFmtId="168" formatCode="[$-409]mmm\-yy;@"/>
    <numFmt numFmtId="169" formatCode="_(* #,##0_);_(* \(#,##0\);_(* &quot;-&quot;??_);_(@_)"/>
    <numFmt numFmtId="170" formatCode="#,##0.000_);[Red]\(#,##0.000\)"/>
  </numFmts>
  <fonts count="17" x14ac:knownFonts="1">
    <font>
      <sz val="12"/>
      <name val="Arial"/>
    </font>
    <font>
      <sz val="12"/>
      <name val="Arial"/>
      <family val="2"/>
    </font>
    <font>
      <b/>
      <sz val="12"/>
      <name val="Arial"/>
      <family val="2"/>
    </font>
    <font>
      <b/>
      <sz val="14"/>
      <name val="Arial"/>
      <family val="2"/>
    </font>
    <font>
      <b/>
      <u/>
      <sz val="12"/>
      <name val="Arial"/>
      <family val="2"/>
    </font>
    <font>
      <sz val="12"/>
      <name val="Arial"/>
      <family val="2"/>
    </font>
    <font>
      <sz val="8"/>
      <name val="Arial"/>
      <family val="2"/>
    </font>
    <font>
      <i/>
      <sz val="12"/>
      <name val="Arial"/>
      <family val="2"/>
    </font>
    <font>
      <sz val="12"/>
      <color rgb="FFFF0000"/>
      <name val="Arial"/>
      <family val="2"/>
    </font>
    <font>
      <u/>
      <sz val="12"/>
      <color theme="10"/>
      <name val="Arial"/>
      <family val="2"/>
    </font>
    <font>
      <b/>
      <i/>
      <sz val="12"/>
      <name val="Arial"/>
      <family val="2"/>
    </font>
    <font>
      <b/>
      <sz val="12"/>
      <color rgb="FFFF0000"/>
      <name val="Arial"/>
      <family val="2"/>
    </font>
    <font>
      <b/>
      <sz val="11"/>
      <name val="Arial"/>
      <family val="2"/>
    </font>
    <font>
      <sz val="11"/>
      <name val="Arial"/>
      <family val="2"/>
    </font>
    <font>
      <i/>
      <sz val="12"/>
      <color rgb="FFFF0000"/>
      <name val="Arial"/>
      <family val="2"/>
    </font>
    <font>
      <b/>
      <i/>
      <sz val="12"/>
      <color rgb="FFFF0000"/>
      <name val="Arial"/>
      <family val="2"/>
    </font>
    <font>
      <sz val="12"/>
      <name val="Arial"/>
      <family val="2"/>
    </font>
  </fonts>
  <fills count="6">
    <fill>
      <patternFill patternType="none"/>
    </fill>
    <fill>
      <patternFill patternType="gray125"/>
    </fill>
    <fill>
      <patternFill patternType="solid">
        <fgColor theme="3" tint="0.7999816888943144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bgColor indexed="64"/>
      </patternFill>
    </fill>
  </fills>
  <borders count="13">
    <border>
      <left/>
      <right/>
      <top/>
      <bottom/>
      <diagonal/>
    </border>
    <border>
      <left/>
      <right/>
      <top/>
      <bottom style="medium">
        <color indexed="64"/>
      </bottom>
      <diagonal/>
    </border>
    <border>
      <left/>
      <right/>
      <top style="thin">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bottom style="thin">
        <color indexed="64"/>
      </bottom>
      <diagonal/>
    </border>
    <border>
      <left/>
      <right/>
      <top style="thin">
        <color indexed="64"/>
      </top>
      <bottom/>
      <diagonal/>
    </border>
    <border>
      <left/>
      <right/>
      <top style="thin">
        <color indexed="8"/>
      </top>
      <bottom/>
      <diagonal/>
    </border>
    <border>
      <left/>
      <right/>
      <top style="thin">
        <color indexed="8"/>
      </top>
      <bottom style="thin">
        <color indexed="8"/>
      </bottom>
      <diagonal/>
    </border>
    <border>
      <left/>
      <right/>
      <top style="thin">
        <color auto="1"/>
      </top>
      <bottom style="thin">
        <color auto="1"/>
      </bottom>
      <diagonal/>
    </border>
    <border>
      <left/>
      <right/>
      <top style="mediumDashDotDot">
        <color auto="1"/>
      </top>
      <bottom/>
      <diagonal/>
    </border>
    <border>
      <left/>
      <right/>
      <top/>
      <bottom style="thin">
        <color theme="1"/>
      </bottom>
      <diagonal/>
    </border>
    <border>
      <left/>
      <right/>
      <top/>
      <bottom style="double">
        <color indexed="64"/>
      </bottom>
      <diagonal/>
    </border>
  </borders>
  <cellStyleXfs count="10">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9" fillId="0" borderId="0" applyNumberFormat="0" applyFill="0" applyBorder="0" applyAlignment="0" applyProtection="0"/>
    <xf numFmtId="0" fontId="1" fillId="0" borderId="0"/>
    <xf numFmtId="44" fontId="1" fillId="0" borderId="0" applyFont="0" applyFill="0" applyBorder="0" applyAlignment="0" applyProtection="0"/>
    <xf numFmtId="0" fontId="16" fillId="0" borderId="0"/>
    <xf numFmtId="0" fontId="1" fillId="0" borderId="0"/>
    <xf numFmtId="0" fontId="1" fillId="0" borderId="0"/>
  </cellStyleXfs>
  <cellXfs count="373">
    <xf numFmtId="0" fontId="0" fillId="0" borderId="0" xfId="0"/>
    <xf numFmtId="0" fontId="2" fillId="0" borderId="0" xfId="0" applyFont="1"/>
    <xf numFmtId="0" fontId="5" fillId="0" borderId="0" xfId="0" applyFont="1"/>
    <xf numFmtId="0" fontId="4" fillId="0" borderId="0" xfId="0" quotePrefix="1" applyFont="1"/>
    <xf numFmtId="14" fontId="5" fillId="0" borderId="1" xfId="0" applyNumberFormat="1" applyFont="1" applyBorder="1" applyAlignment="1">
      <alignment horizontal="center"/>
    </xf>
    <xf numFmtId="0" fontId="2" fillId="0" borderId="0" xfId="0" applyFont="1" applyAlignment="1">
      <alignment horizontal="center"/>
    </xf>
    <xf numFmtId="0" fontId="5" fillId="0" borderId="0" xfId="0" applyFont="1" applyAlignment="1">
      <alignment horizontal="center"/>
    </xf>
    <xf numFmtId="0" fontId="2" fillId="0" borderId="0" xfId="0" applyFont="1" applyAlignment="1">
      <alignment horizontal="right"/>
    </xf>
    <xf numFmtId="0" fontId="5" fillId="0" borderId="0" xfId="0" applyFont="1" applyAlignment="1">
      <alignment horizontal="right"/>
    </xf>
    <xf numFmtId="0" fontId="5" fillId="0" borderId="0" xfId="0" applyFont="1" applyAlignment="1">
      <alignment horizontal="left"/>
    </xf>
    <xf numFmtId="0" fontId="2" fillId="0" borderId="0" xfId="0" quotePrefix="1" applyFont="1" applyAlignment="1">
      <alignment horizontal="left"/>
    </xf>
    <xf numFmtId="0" fontId="5" fillId="0" borderId="1" xfId="0" applyFont="1" applyBorder="1" applyAlignment="1">
      <alignment horizontal="center"/>
    </xf>
    <xf numFmtId="0" fontId="3" fillId="0" borderId="0" xfId="0" applyFont="1" applyAlignment="1">
      <alignment horizontal="centerContinuous"/>
    </xf>
    <xf numFmtId="0" fontId="2" fillId="0" borderId="2" xfId="0" applyFont="1" applyBorder="1"/>
    <xf numFmtId="0" fontId="2" fillId="0" borderId="2" xfId="0" applyFont="1" applyBorder="1" applyAlignment="1">
      <alignment horizontal="center"/>
    </xf>
    <xf numFmtId="0" fontId="2" fillId="0" borderId="3" xfId="0" applyFont="1" applyBorder="1"/>
    <xf numFmtId="164" fontId="2" fillId="0" borderId="3" xfId="2" applyNumberFormat="1" applyFont="1" applyBorder="1" applyAlignment="1">
      <alignment horizontal="center"/>
    </xf>
    <xf numFmtId="164" fontId="5" fillId="0" borderId="3" xfId="2" applyNumberFormat="1" applyFont="1" applyBorder="1"/>
    <xf numFmtId="164" fontId="5" fillId="0" borderId="0" xfId="2" applyNumberFormat="1" applyFont="1"/>
    <xf numFmtId="0" fontId="2" fillId="0" borderId="3" xfId="0" applyFont="1" applyBorder="1" applyAlignment="1">
      <alignment horizontal="left"/>
    </xf>
    <xf numFmtId="0" fontId="2" fillId="0" borderId="2" xfId="0" applyFont="1" applyBorder="1" applyAlignment="1">
      <alignment horizontal="left"/>
    </xf>
    <xf numFmtId="0" fontId="2" fillId="0" borderId="3" xfId="0" applyFont="1" applyBorder="1" applyAlignment="1">
      <alignment horizontal="center"/>
    </xf>
    <xf numFmtId="0" fontId="2" fillId="0" borderId="0" xfId="0" quotePrefix="1" applyFont="1" applyAlignment="1">
      <alignment horizontal="right"/>
    </xf>
    <xf numFmtId="0" fontId="2" fillId="0" borderId="1" xfId="0" applyFont="1" applyBorder="1" applyAlignment="1">
      <alignment horizontal="center"/>
    </xf>
    <xf numFmtId="0" fontId="2" fillId="0" borderId="1" xfId="0" applyFont="1" applyBorder="1"/>
    <xf numFmtId="0" fontId="5" fillId="0" borderId="1" xfId="0" applyFont="1" applyBorder="1"/>
    <xf numFmtId="0" fontId="2" fillId="0" borderId="4" xfId="0" applyFont="1" applyBorder="1"/>
    <xf numFmtId="0" fontId="2" fillId="0" borderId="4" xfId="0" applyFont="1" applyBorder="1" applyAlignment="1">
      <alignment horizontal="center"/>
    </xf>
    <xf numFmtId="0" fontId="5" fillId="0" borderId="0" xfId="0" quotePrefix="1" applyFont="1" applyAlignment="1">
      <alignment horizontal="left"/>
    </xf>
    <xf numFmtId="0" fontId="4" fillId="0" borderId="0" xfId="0" quotePrefix="1" applyFont="1" applyAlignment="1">
      <alignment horizontal="left"/>
    </xf>
    <xf numFmtId="0" fontId="4" fillId="0" borderId="0" xfId="0" applyFont="1"/>
    <xf numFmtId="0" fontId="4" fillId="0" borderId="0" xfId="0" applyFont="1" applyAlignment="1">
      <alignment horizontal="left"/>
    </xf>
    <xf numFmtId="0" fontId="2" fillId="0" borderId="0" xfId="0" applyFont="1" applyAlignment="1">
      <alignment horizontal="left"/>
    </xf>
    <xf numFmtId="164" fontId="2" fillId="0" borderId="3" xfId="2" applyNumberFormat="1" applyFont="1" applyBorder="1"/>
    <xf numFmtId="0" fontId="5" fillId="0" borderId="2" xfId="0" applyFont="1" applyBorder="1" applyAlignment="1">
      <alignment horizontal="left"/>
    </xf>
    <xf numFmtId="0" fontId="5" fillId="0" borderId="5" xfId="0" applyFont="1" applyBorder="1" applyAlignment="1">
      <alignment horizontal="right"/>
    </xf>
    <xf numFmtId="0" fontId="2" fillId="0" borderId="0" xfId="0" applyFont="1" applyAlignment="1">
      <alignment horizontal="centerContinuous"/>
    </xf>
    <xf numFmtId="14" fontId="5" fillId="0" borderId="0" xfId="0" applyNumberFormat="1" applyFont="1" applyAlignment="1">
      <alignment horizontal="center"/>
    </xf>
    <xf numFmtId="164" fontId="5" fillId="0" borderId="0" xfId="2" applyNumberFormat="1" applyFont="1" applyFill="1" applyAlignment="1">
      <alignment horizontal="center"/>
    </xf>
    <xf numFmtId="0" fontId="5" fillId="0" borderId="0" xfId="0" quotePrefix="1" applyFont="1" applyAlignment="1">
      <alignment horizontal="right"/>
    </xf>
    <xf numFmtId="0" fontId="5" fillId="0" borderId="5" xfId="0" applyFont="1" applyBorder="1" applyAlignment="1">
      <alignment horizontal="center"/>
    </xf>
    <xf numFmtId="0" fontId="5" fillId="0" borderId="2" xfId="0" applyFont="1" applyBorder="1" applyAlignment="1">
      <alignment horizontal="center"/>
    </xf>
    <xf numFmtId="164" fontId="5" fillId="0" borderId="0" xfId="2" applyNumberFormat="1" applyFont="1" applyAlignment="1">
      <alignment horizontal="center"/>
    </xf>
    <xf numFmtId="0" fontId="5" fillId="0" borderId="4" xfId="0" applyFont="1" applyBorder="1" applyAlignment="1">
      <alignment horizontal="center"/>
    </xf>
    <xf numFmtId="164" fontId="5" fillId="0" borderId="0" xfId="2" applyNumberFormat="1" applyFont="1" applyBorder="1"/>
    <xf numFmtId="0" fontId="5" fillId="0" borderId="2" xfId="0" applyFont="1" applyBorder="1"/>
    <xf numFmtId="0" fontId="5" fillId="0" borderId="0" xfId="0" applyFont="1" applyAlignment="1">
      <alignment horizontal="centerContinuous"/>
    </xf>
    <xf numFmtId="14" fontId="5" fillId="0" borderId="0" xfId="0" applyNumberFormat="1" applyFont="1"/>
    <xf numFmtId="37" fontId="5" fillId="0" borderId="0" xfId="0" applyNumberFormat="1" applyFont="1"/>
    <xf numFmtId="0" fontId="5" fillId="0" borderId="0" xfId="0" quotePrefix="1" applyFont="1" applyAlignment="1">
      <alignment horizontal="center"/>
    </xf>
    <xf numFmtId="164" fontId="5" fillId="0" borderId="2" xfId="2" applyNumberFormat="1" applyFont="1" applyBorder="1"/>
    <xf numFmtId="37" fontId="5" fillId="0" borderId="0" xfId="1" applyNumberFormat="1" applyFont="1"/>
    <xf numFmtId="43" fontId="5" fillId="0" borderId="0" xfId="1" applyFont="1"/>
    <xf numFmtId="0" fontId="5" fillId="0" borderId="0" xfId="0" quotePrefix="1" applyFont="1"/>
    <xf numFmtId="0" fontId="2" fillId="0" borderId="3" xfId="0" applyFont="1" applyBorder="1" applyAlignment="1">
      <alignment wrapText="1"/>
    </xf>
    <xf numFmtId="164" fontId="5" fillId="0" borderId="5" xfId="2" applyNumberFormat="1" applyFont="1" applyBorder="1"/>
    <xf numFmtId="0" fontId="5" fillId="0" borderId="3" xfId="0" applyFont="1" applyBorder="1"/>
    <xf numFmtId="0" fontId="5" fillId="0" borderId="1" xfId="0" quotePrefix="1" applyFont="1" applyBorder="1" applyAlignment="1">
      <alignment horizontal="center"/>
    </xf>
    <xf numFmtId="38" fontId="5" fillId="0" borderId="0" xfId="0" applyNumberFormat="1" applyFont="1"/>
    <xf numFmtId="164" fontId="5" fillId="0" borderId="6" xfId="2" applyNumberFormat="1" applyFont="1" applyBorder="1"/>
    <xf numFmtId="0" fontId="5" fillId="0" borderId="5" xfId="0" applyFont="1" applyBorder="1"/>
    <xf numFmtId="0" fontId="5" fillId="0" borderId="3" xfId="0" applyFont="1" applyBorder="1" applyAlignment="1">
      <alignment horizontal="left"/>
    </xf>
    <xf numFmtId="0" fontId="5" fillId="0" borderId="2" xfId="0" quotePrefix="1" applyFont="1" applyBorder="1" applyAlignment="1">
      <alignment horizontal="left"/>
    </xf>
    <xf numFmtId="164" fontId="5" fillId="0" borderId="0" xfId="0" applyNumberFormat="1" applyFont="1"/>
    <xf numFmtId="164" fontId="5" fillId="0" borderId="0" xfId="2" applyNumberFormat="1" applyFont="1" applyFill="1" applyBorder="1"/>
    <xf numFmtId="164" fontId="5" fillId="0" borderId="0" xfId="2" applyNumberFormat="1" applyFont="1" applyFill="1"/>
    <xf numFmtId="164" fontId="5" fillId="0" borderId="0" xfId="0" applyNumberFormat="1" applyFont="1" applyAlignment="1">
      <alignment horizontal="center"/>
    </xf>
    <xf numFmtId="0" fontId="7" fillId="0" borderId="0" xfId="0" applyFont="1"/>
    <xf numFmtId="43" fontId="5" fillId="0" borderId="0" xfId="1" applyFont="1" applyFill="1"/>
    <xf numFmtId="1" fontId="5" fillId="0" borderId="0" xfId="2" applyNumberFormat="1" applyFont="1" applyFill="1" applyAlignment="1">
      <alignment horizontal="center"/>
    </xf>
    <xf numFmtId="38" fontId="5" fillId="0" borderId="0" xfId="2" applyNumberFormat="1" applyFont="1" applyFill="1" applyAlignment="1">
      <alignment horizontal="right"/>
    </xf>
    <xf numFmtId="38" fontId="5" fillId="0" borderId="5" xfId="2" applyNumberFormat="1" applyFont="1" applyFill="1" applyBorder="1" applyAlignment="1">
      <alignment horizontal="right"/>
    </xf>
    <xf numFmtId="38" fontId="5" fillId="0" borderId="2" xfId="2" applyNumberFormat="1" applyFont="1" applyFill="1" applyBorder="1" applyAlignment="1">
      <alignment horizontal="right"/>
    </xf>
    <xf numFmtId="38" fontId="5" fillId="0" borderId="0" xfId="3" applyNumberFormat="1" applyFont="1" applyFill="1" applyAlignment="1">
      <alignment horizontal="right"/>
    </xf>
    <xf numFmtId="38" fontId="5" fillId="0" borderId="0" xfId="2" applyNumberFormat="1" applyFont="1" applyAlignment="1">
      <alignment horizontal="right"/>
    </xf>
    <xf numFmtId="38" fontId="2" fillId="0" borderId="2" xfId="2" applyNumberFormat="1" applyFont="1" applyBorder="1" applyAlignment="1">
      <alignment horizontal="right"/>
    </xf>
    <xf numFmtId="38" fontId="5" fillId="0" borderId="1" xfId="0" applyNumberFormat="1" applyFont="1" applyBorder="1" applyAlignment="1">
      <alignment horizontal="right"/>
    </xf>
    <xf numFmtId="38" fontId="2" fillId="0" borderId="4" xfId="2" applyNumberFormat="1" applyFont="1" applyBorder="1" applyAlignment="1">
      <alignment horizontal="right"/>
    </xf>
    <xf numFmtId="9" fontId="5" fillId="0" borderId="0" xfId="3" applyFont="1" applyAlignment="1">
      <alignment horizontal="right"/>
    </xf>
    <xf numFmtId="9" fontId="2" fillId="0" borderId="2" xfId="3" applyFont="1" applyBorder="1" applyAlignment="1">
      <alignment horizontal="right"/>
    </xf>
    <xf numFmtId="9" fontId="5" fillId="0" borderId="1" xfId="3" applyFont="1" applyFill="1" applyBorder="1" applyAlignment="1">
      <alignment horizontal="right"/>
    </xf>
    <xf numFmtId="9" fontId="2" fillId="0" borderId="4" xfId="3" applyFont="1" applyBorder="1" applyAlignment="1">
      <alignment horizontal="right"/>
    </xf>
    <xf numFmtId="165" fontId="5" fillId="0" borderId="0" xfId="3" applyNumberFormat="1" applyFont="1" applyAlignment="1">
      <alignment horizontal="right"/>
    </xf>
    <xf numFmtId="9" fontId="2" fillId="0" borderId="3" xfId="3" applyFont="1" applyBorder="1" applyAlignment="1">
      <alignment horizontal="right"/>
    </xf>
    <xf numFmtId="9" fontId="5" fillId="0" borderId="0" xfId="3" applyFont="1" applyBorder="1" applyAlignment="1">
      <alignment horizontal="right"/>
    </xf>
    <xf numFmtId="1" fontId="5" fillId="0" borderId="0" xfId="2" applyNumberFormat="1" applyFont="1" applyFill="1" applyAlignment="1">
      <alignment horizontal="center" vertical="top"/>
    </xf>
    <xf numFmtId="166" fontId="2" fillId="0" borderId="0" xfId="0" quotePrefix="1" applyNumberFormat="1" applyFont="1" applyAlignment="1">
      <alignment horizontal="left"/>
    </xf>
    <xf numFmtId="0" fontId="1" fillId="0" borderId="0" xfId="0" applyFont="1"/>
    <xf numFmtId="0" fontId="1" fillId="0" borderId="0" xfId="0" applyFont="1" applyAlignment="1">
      <alignment horizontal="left"/>
    </xf>
    <xf numFmtId="38" fontId="5" fillId="0" borderId="0" xfId="0" applyNumberFormat="1" applyFont="1" applyAlignment="1">
      <alignment horizontal="right"/>
    </xf>
    <xf numFmtId="44" fontId="5" fillId="0" borderId="0" xfId="0" applyNumberFormat="1" applyFont="1"/>
    <xf numFmtId="0" fontId="1" fillId="0" borderId="0" xfId="0" applyFont="1" applyAlignment="1">
      <alignment horizontal="right"/>
    </xf>
    <xf numFmtId="0" fontId="1" fillId="0" borderId="0" xfId="0" applyFont="1" applyAlignment="1">
      <alignment horizontal="center"/>
    </xf>
    <xf numFmtId="44" fontId="5" fillId="0" borderId="0" xfId="0" applyNumberFormat="1" applyFont="1" applyAlignment="1">
      <alignment horizontal="center"/>
    </xf>
    <xf numFmtId="0" fontId="1" fillId="0" borderId="0" xfId="0" quotePrefix="1" applyFont="1" applyAlignment="1">
      <alignment horizontal="right"/>
    </xf>
    <xf numFmtId="164" fontId="1" fillId="0" borderId="0" xfId="0" applyNumberFormat="1" applyFont="1"/>
    <xf numFmtId="164" fontId="1" fillId="0" borderId="0" xfId="2" applyNumberFormat="1" applyFont="1"/>
    <xf numFmtId="38" fontId="1" fillId="0" borderId="0" xfId="0" applyNumberFormat="1" applyFont="1"/>
    <xf numFmtId="43" fontId="1" fillId="0" borderId="0" xfId="1" applyFont="1" applyAlignment="1">
      <alignment horizontal="left"/>
    </xf>
    <xf numFmtId="43" fontId="5" fillId="0" borderId="0" xfId="0" applyNumberFormat="1" applyFont="1"/>
    <xf numFmtId="164" fontId="5" fillId="0" borderId="3" xfId="2" applyNumberFormat="1" applyFont="1" applyFill="1" applyBorder="1"/>
    <xf numFmtId="164" fontId="0" fillId="0" borderId="0" xfId="0" applyNumberFormat="1"/>
    <xf numFmtId="167" fontId="5" fillId="0" borderId="0" xfId="0" applyNumberFormat="1" applyFont="1" applyAlignment="1">
      <alignment horizontal="center"/>
    </xf>
    <xf numFmtId="0" fontId="1" fillId="0" borderId="2" xfId="0" applyFont="1" applyBorder="1"/>
    <xf numFmtId="0" fontId="0" fillId="0" borderId="0" xfId="0" applyAlignment="1">
      <alignment horizontal="right"/>
    </xf>
    <xf numFmtId="9" fontId="5" fillId="0" borderId="0" xfId="3" applyFont="1"/>
    <xf numFmtId="0" fontId="8" fillId="0" borderId="0" xfId="0" applyFont="1"/>
    <xf numFmtId="0" fontId="0" fillId="0" borderId="0" xfId="0" applyAlignment="1">
      <alignment horizontal="left" vertical="top"/>
    </xf>
    <xf numFmtId="0" fontId="0" fillId="0" borderId="0" xfId="0" applyAlignment="1">
      <alignment vertical="top"/>
    </xf>
    <xf numFmtId="0" fontId="1" fillId="0" borderId="0" xfId="0" applyFont="1" applyAlignment="1">
      <alignment horizontal="left" vertical="top"/>
    </xf>
    <xf numFmtId="0" fontId="1" fillId="0" borderId="2" xfId="0" applyFont="1" applyBorder="1" applyAlignment="1">
      <alignment horizontal="left" vertical="top"/>
    </xf>
    <xf numFmtId="0" fontId="2" fillId="0" borderId="2" xfId="0" applyFont="1" applyBorder="1" applyAlignment="1">
      <alignment horizontal="left" vertical="top"/>
    </xf>
    <xf numFmtId="0" fontId="1" fillId="0" borderId="0" xfId="0" applyFont="1" applyAlignment="1">
      <alignment vertical="top"/>
    </xf>
    <xf numFmtId="0" fontId="1" fillId="0" borderId="2" xfId="0" applyFont="1" applyBorder="1" applyAlignment="1">
      <alignment vertical="top"/>
    </xf>
    <xf numFmtId="42" fontId="0" fillId="0" borderId="0" xfId="0" applyNumberFormat="1" applyAlignment="1">
      <alignment horizontal="right" vertical="top"/>
    </xf>
    <xf numFmtId="42" fontId="5" fillId="0" borderId="0" xfId="0" applyNumberFormat="1" applyFont="1"/>
    <xf numFmtId="42" fontId="5" fillId="0" borderId="0" xfId="2" applyNumberFormat="1" applyFont="1"/>
    <xf numFmtId="42" fontId="5" fillId="0" borderId="2" xfId="2" applyNumberFormat="1" applyFont="1" applyBorder="1"/>
    <xf numFmtId="42" fontId="5" fillId="0" borderId="2" xfId="0" applyNumberFormat="1" applyFont="1" applyBorder="1"/>
    <xf numFmtId="42" fontId="5" fillId="0" borderId="0" xfId="2" applyNumberFormat="1" applyFont="1" applyBorder="1"/>
    <xf numFmtId="42" fontId="5" fillId="0" borderId="0" xfId="1" applyNumberFormat="1" applyFont="1" applyFill="1"/>
    <xf numFmtId="42" fontId="2" fillId="0" borderId="2" xfId="0" applyNumberFormat="1" applyFont="1" applyBorder="1"/>
    <xf numFmtId="42" fontId="2" fillId="0" borderId="2" xfId="2" applyNumberFormat="1" applyFont="1" applyBorder="1"/>
    <xf numFmtId="42" fontId="1" fillId="0" borderId="0" xfId="0" applyNumberFormat="1" applyFont="1"/>
    <xf numFmtId="0" fontId="2" fillId="0" borderId="3" xfId="0" applyFont="1" applyBorder="1" applyAlignment="1">
      <alignment horizontal="left" vertical="top"/>
    </xf>
    <xf numFmtId="42" fontId="2" fillId="0" borderId="3" xfId="0" applyNumberFormat="1" applyFont="1" applyBorder="1"/>
    <xf numFmtId="42" fontId="2" fillId="0" borderId="3" xfId="2" applyNumberFormat="1" applyFont="1" applyBorder="1"/>
    <xf numFmtId="42" fontId="0" fillId="0" borderId="0" xfId="0" applyNumberFormat="1" applyAlignment="1">
      <alignment vertical="top"/>
    </xf>
    <xf numFmtId="38" fontId="5" fillId="0" borderId="0" xfId="2" applyNumberFormat="1" applyFont="1" applyFill="1" applyBorder="1" applyAlignment="1">
      <alignment horizontal="right"/>
    </xf>
    <xf numFmtId="38" fontId="5" fillId="0" borderId="0" xfId="2" applyNumberFormat="1" applyFont="1" applyBorder="1" applyAlignment="1">
      <alignment horizontal="right"/>
    </xf>
    <xf numFmtId="0" fontId="0" fillId="0" borderId="0" xfId="0" applyAlignment="1">
      <alignment wrapText="1"/>
    </xf>
    <xf numFmtId="0" fontId="1" fillId="0" borderId="5" xfId="0" applyFont="1" applyBorder="1" applyAlignment="1">
      <alignment horizontal="left"/>
    </xf>
    <xf numFmtId="0" fontId="7" fillId="0" borderId="0" xfId="0" applyFont="1" applyAlignment="1">
      <alignment horizontal="left"/>
    </xf>
    <xf numFmtId="0" fontId="1" fillId="0" borderId="0" xfId="0" quotePrefix="1" applyFont="1" applyAlignment="1">
      <alignment horizontal="left"/>
    </xf>
    <xf numFmtId="14" fontId="5" fillId="0" borderId="1" xfId="0" applyNumberFormat="1" applyFont="1" applyBorder="1" applyAlignment="1">
      <alignment horizontal="left"/>
    </xf>
    <xf numFmtId="38" fontId="1" fillId="0" borderId="0" xfId="0" applyNumberFormat="1" applyFont="1" applyAlignment="1">
      <alignment horizontal="left"/>
    </xf>
    <xf numFmtId="0" fontId="1" fillId="0" borderId="0" xfId="0" applyFont="1" applyAlignment="1">
      <alignment horizontal="centerContinuous"/>
    </xf>
    <xf numFmtId="0" fontId="1" fillId="0" borderId="1" xfId="0" applyFont="1" applyBorder="1" applyAlignment="1">
      <alignment horizontal="center"/>
    </xf>
    <xf numFmtId="14" fontId="1" fillId="0" borderId="1" xfId="0" applyNumberFormat="1" applyFont="1" applyBorder="1" applyAlignment="1">
      <alignment horizontal="center"/>
    </xf>
    <xf numFmtId="0" fontId="1" fillId="0" borderId="1" xfId="0" quotePrefix="1" applyFont="1" applyBorder="1" applyAlignment="1">
      <alignment horizontal="center"/>
    </xf>
    <xf numFmtId="164" fontId="1" fillId="0" borderId="2" xfId="2" applyNumberFormat="1" applyFont="1" applyBorder="1"/>
    <xf numFmtId="164" fontId="1" fillId="0" borderId="0" xfId="2" applyNumberFormat="1" applyFont="1" applyBorder="1"/>
    <xf numFmtId="164" fontId="1" fillId="0" borderId="0" xfId="2" applyNumberFormat="1" applyFont="1" applyFill="1"/>
    <xf numFmtId="0" fontId="1" fillId="0" borderId="5" xfId="0" applyFont="1" applyBorder="1"/>
    <xf numFmtId="164" fontId="1" fillId="0" borderId="0" xfId="2" applyNumberFormat="1" applyFont="1" applyFill="1" applyBorder="1"/>
    <xf numFmtId="14" fontId="1" fillId="0" borderId="0" xfId="0" applyNumberFormat="1" applyFont="1"/>
    <xf numFmtId="164" fontId="1" fillId="0" borderId="0" xfId="0" applyNumberFormat="1" applyFont="1" applyAlignment="1">
      <alignment horizontal="center"/>
    </xf>
    <xf numFmtId="42" fontId="1" fillId="0" borderId="0" xfId="2" applyNumberFormat="1" applyFont="1"/>
    <xf numFmtId="42" fontId="1" fillId="0" borderId="2" xfId="0" applyNumberFormat="1" applyFont="1" applyBorder="1"/>
    <xf numFmtId="0" fontId="1" fillId="0" borderId="0" xfId="0" quotePrefix="1" applyFont="1" applyAlignment="1">
      <alignment horizontal="center"/>
    </xf>
    <xf numFmtId="164" fontId="1" fillId="0" borderId="0" xfId="2" applyNumberFormat="1" applyFont="1" applyAlignment="1"/>
    <xf numFmtId="164" fontId="1" fillId="0" borderId="0" xfId="2" applyNumberFormat="1" applyFont="1" applyFill="1" applyAlignment="1"/>
    <xf numFmtId="37" fontId="1" fillId="0" borderId="0" xfId="0" applyNumberFormat="1" applyFont="1"/>
    <xf numFmtId="164" fontId="1" fillId="0" borderId="5" xfId="2" applyNumberFormat="1" applyFont="1" applyBorder="1"/>
    <xf numFmtId="164" fontId="1" fillId="0" borderId="5" xfId="2" applyNumberFormat="1" applyFont="1" applyFill="1" applyBorder="1"/>
    <xf numFmtId="0" fontId="9" fillId="0" borderId="0" xfId="4"/>
    <xf numFmtId="0" fontId="1" fillId="0" borderId="0" xfId="0" quotePrefix="1" applyFont="1"/>
    <xf numFmtId="3" fontId="5" fillId="0" borderId="0" xfId="0" applyNumberFormat="1" applyFont="1"/>
    <xf numFmtId="38" fontId="0" fillId="0" borderId="0" xfId="0" applyNumberFormat="1"/>
    <xf numFmtId="38" fontId="2" fillId="0" borderId="2" xfId="0" applyNumberFormat="1" applyFont="1" applyBorder="1"/>
    <xf numFmtId="38" fontId="2" fillId="0" borderId="0" xfId="0" applyNumberFormat="1" applyFont="1"/>
    <xf numFmtId="38" fontId="2" fillId="0" borderId="3" xfId="0" applyNumberFormat="1" applyFont="1" applyBorder="1"/>
    <xf numFmtId="0" fontId="1" fillId="3" borderId="0" xfId="0" applyFont="1" applyFill="1"/>
    <xf numFmtId="0" fontId="1" fillId="3" borderId="1" xfId="0" applyFont="1" applyFill="1" applyBorder="1"/>
    <xf numFmtId="38" fontId="1" fillId="0" borderId="9" xfId="0" applyNumberFormat="1" applyFont="1" applyBorder="1"/>
    <xf numFmtId="38" fontId="1" fillId="0" borderId="3" xfId="0" applyNumberFormat="1" applyFont="1" applyBorder="1"/>
    <xf numFmtId="0" fontId="10" fillId="0" borderId="0" xfId="0" applyFont="1"/>
    <xf numFmtId="3" fontId="1" fillId="0" borderId="0" xfId="0" applyNumberFormat="1" applyFont="1"/>
    <xf numFmtId="3" fontId="1" fillId="0" borderId="2" xfId="0" applyNumberFormat="1" applyFont="1" applyBorder="1"/>
    <xf numFmtId="0" fontId="7" fillId="3" borderId="1" xfId="0" applyFont="1" applyFill="1" applyBorder="1"/>
    <xf numFmtId="0" fontId="1" fillId="0" borderId="0" xfId="0" applyFont="1" applyAlignment="1">
      <alignment horizontal="left" indent="1"/>
    </xf>
    <xf numFmtId="3" fontId="0" fillId="0" borderId="0" xfId="0" applyNumberFormat="1"/>
    <xf numFmtId="0" fontId="0" fillId="0" borderId="0" xfId="0" applyAlignment="1">
      <alignment horizontal="left" indent="1"/>
    </xf>
    <xf numFmtId="10" fontId="1" fillId="0" borderId="0" xfId="0" applyNumberFormat="1" applyFont="1"/>
    <xf numFmtId="169" fontId="1" fillId="0" borderId="0" xfId="1" applyNumberFormat="1" applyFont="1"/>
    <xf numFmtId="169" fontId="1" fillId="0" borderId="2" xfId="1" applyNumberFormat="1" applyFont="1" applyBorder="1"/>
    <xf numFmtId="169" fontId="1" fillId="0" borderId="0" xfId="1" applyNumberFormat="1" applyFont="1" applyFill="1"/>
    <xf numFmtId="169" fontId="1" fillId="0" borderId="7" xfId="1" applyNumberFormat="1" applyFont="1" applyBorder="1"/>
    <xf numFmtId="169" fontId="1" fillId="0" borderId="0" xfId="1" applyNumberFormat="1" applyFont="1" applyAlignment="1"/>
    <xf numFmtId="169" fontId="1" fillId="0" borderId="0" xfId="1" applyNumberFormat="1" applyFont="1" applyFill="1" applyAlignment="1"/>
    <xf numFmtId="169" fontId="1" fillId="0" borderId="7" xfId="1" applyNumberFormat="1" applyFont="1" applyBorder="1" applyAlignment="1"/>
    <xf numFmtId="43" fontId="7" fillId="0" borderId="0" xfId="1" applyFont="1" applyFill="1"/>
    <xf numFmtId="0" fontId="7" fillId="0" borderId="0" xfId="0" applyFont="1" applyAlignment="1">
      <alignment horizontal="center"/>
    </xf>
    <xf numFmtId="169" fontId="1" fillId="0" borderId="0" xfId="0" applyNumberFormat="1" applyFont="1"/>
    <xf numFmtId="43" fontId="1" fillId="0" borderId="0" xfId="0" applyNumberFormat="1" applyFont="1"/>
    <xf numFmtId="38" fontId="8" fillId="0" borderId="0" xfId="0" applyNumberFormat="1" applyFont="1" applyAlignment="1">
      <alignment horizontal="left"/>
    </xf>
    <xf numFmtId="1" fontId="5" fillId="0" borderId="9" xfId="2" applyNumberFormat="1" applyFont="1" applyFill="1" applyBorder="1" applyAlignment="1">
      <alignment horizontal="center"/>
    </xf>
    <xf numFmtId="164" fontId="1" fillId="0" borderId="0" xfId="2" quotePrefix="1" applyNumberFormat="1" applyFont="1"/>
    <xf numFmtId="0" fontId="12" fillId="0" borderId="0" xfId="0" applyFont="1"/>
    <xf numFmtId="0" fontId="12" fillId="0" borderId="0" xfId="0" applyFont="1" applyAlignment="1">
      <alignment horizontal="center"/>
    </xf>
    <xf numFmtId="0" fontId="12" fillId="0" borderId="1" xfId="0" applyFont="1" applyBorder="1" applyAlignment="1">
      <alignment horizontal="center"/>
    </xf>
    <xf numFmtId="14" fontId="12" fillId="0" borderId="1" xfId="0" applyNumberFormat="1" applyFont="1" applyBorder="1" applyAlignment="1">
      <alignment horizontal="center"/>
    </xf>
    <xf numFmtId="0" fontId="1" fillId="0" borderId="2" xfId="0" quotePrefix="1" applyFont="1" applyBorder="1" applyAlignment="1">
      <alignment horizontal="left"/>
    </xf>
    <xf numFmtId="0" fontId="2" fillId="0" borderId="2" xfId="0" applyFont="1" applyBorder="1" applyAlignment="1">
      <alignment horizontal="right"/>
    </xf>
    <xf numFmtId="9" fontId="2" fillId="0" borderId="0" xfId="3" applyFont="1" applyBorder="1" applyAlignment="1">
      <alignment horizontal="right"/>
    </xf>
    <xf numFmtId="10" fontId="1" fillId="0" borderId="0" xfId="3" applyNumberFormat="1" applyFont="1" applyBorder="1" applyAlignment="1">
      <alignment horizontal="right"/>
    </xf>
    <xf numFmtId="2" fontId="1" fillId="0" borderId="0" xfId="0" applyNumberFormat="1" applyFont="1"/>
    <xf numFmtId="0" fontId="1" fillId="0" borderId="0" xfId="0" quotePrefix="1" applyFont="1" applyAlignment="1">
      <alignment horizontal="left" indent="1"/>
    </xf>
    <xf numFmtId="164" fontId="1" fillId="0" borderId="0" xfId="2" applyNumberFormat="1" applyFont="1" applyBorder="1" applyAlignment="1">
      <alignment horizontal="right"/>
    </xf>
    <xf numFmtId="0" fontId="1" fillId="3" borderId="0" xfId="0" applyFont="1" applyFill="1" applyAlignment="1">
      <alignment horizontal="center"/>
    </xf>
    <xf numFmtId="168" fontId="1" fillId="3" borderId="1" xfId="0" applyNumberFormat="1" applyFont="1" applyFill="1" applyBorder="1" applyAlignment="1">
      <alignment horizontal="center"/>
    </xf>
    <xf numFmtId="164" fontId="2" fillId="0" borderId="0" xfId="2" applyNumberFormat="1" applyFont="1" applyFill="1" applyAlignment="1">
      <alignment horizontal="right"/>
    </xf>
    <xf numFmtId="0" fontId="1" fillId="0" borderId="9" xfId="0" applyFont="1" applyBorder="1"/>
    <xf numFmtId="38" fontId="0" fillId="0" borderId="9" xfId="0" applyNumberFormat="1" applyBorder="1"/>
    <xf numFmtId="0" fontId="2" fillId="0" borderId="9" xfId="0" applyFont="1" applyBorder="1"/>
    <xf numFmtId="0" fontId="0" fillId="0" borderId="1" xfId="0" applyBorder="1"/>
    <xf numFmtId="38" fontId="0" fillId="0" borderId="5" xfId="0" applyNumberFormat="1" applyBorder="1"/>
    <xf numFmtId="169" fontId="1" fillId="0" borderId="5" xfId="1" applyNumberFormat="1" applyFont="1" applyFill="1" applyBorder="1"/>
    <xf numFmtId="38" fontId="7" fillId="0" borderId="0" xfId="0" applyNumberFormat="1" applyFont="1"/>
    <xf numFmtId="166" fontId="13" fillId="0" borderId="0" xfId="0" quotePrefix="1" applyNumberFormat="1" applyFont="1" applyAlignment="1">
      <alignment horizontal="left"/>
    </xf>
    <xf numFmtId="0" fontId="2" fillId="2" borderId="8" xfId="0" applyFont="1" applyFill="1" applyBorder="1"/>
    <xf numFmtId="39" fontId="2" fillId="2" borderId="8" xfId="0" applyNumberFormat="1" applyFont="1" applyFill="1" applyBorder="1"/>
    <xf numFmtId="40" fontId="2" fillId="2" borderId="8" xfId="0" applyNumberFormat="1" applyFont="1" applyFill="1" applyBorder="1"/>
    <xf numFmtId="0" fontId="2" fillId="0" borderId="8" xfId="0" applyFont="1" applyBorder="1"/>
    <xf numFmtId="0" fontId="10" fillId="3" borderId="10" xfId="0" applyFont="1" applyFill="1" applyBorder="1"/>
    <xf numFmtId="0" fontId="1" fillId="3" borderId="10" xfId="0" applyFont="1" applyFill="1" applyBorder="1"/>
    <xf numFmtId="39" fontId="2" fillId="0" borderId="0" xfId="0" applyNumberFormat="1" applyFont="1"/>
    <xf numFmtId="40" fontId="5" fillId="0" borderId="0" xfId="0" applyNumberFormat="1" applyFont="1"/>
    <xf numFmtId="43" fontId="1" fillId="0" borderId="0" xfId="1" applyFont="1"/>
    <xf numFmtId="0" fontId="1" fillId="0" borderId="0" xfId="0" applyFont="1" applyAlignment="1">
      <alignment vertical="center"/>
    </xf>
    <xf numFmtId="164" fontId="2" fillId="0" borderId="9" xfId="2" applyNumberFormat="1" applyFont="1" applyFill="1" applyBorder="1" applyAlignment="1">
      <alignment horizontal="center"/>
    </xf>
    <xf numFmtId="9" fontId="5" fillId="0" borderId="2" xfId="3" applyFont="1" applyBorder="1" applyAlignment="1">
      <alignment horizontal="right"/>
    </xf>
    <xf numFmtId="38" fontId="5" fillId="0" borderId="0" xfId="0" applyNumberFormat="1" applyFont="1" applyAlignment="1">
      <alignment horizontal="center"/>
    </xf>
    <xf numFmtId="0" fontId="5" fillId="0" borderId="11" xfId="0" applyFont="1" applyBorder="1" applyAlignment="1">
      <alignment horizontal="right"/>
    </xf>
    <xf numFmtId="164" fontId="5" fillId="0" borderId="11" xfId="2" applyNumberFormat="1" applyFont="1" applyBorder="1"/>
    <xf numFmtId="164" fontId="1" fillId="0" borderId="11" xfId="2" applyNumberFormat="1" applyFont="1" applyBorder="1"/>
    <xf numFmtId="0" fontId="14" fillId="0" borderId="0" xfId="0" applyFont="1" applyAlignment="1">
      <alignment horizontal="left"/>
    </xf>
    <xf numFmtId="38" fontId="14" fillId="0" borderId="0" xfId="0" applyNumberFormat="1" applyFont="1" applyAlignment="1">
      <alignment horizontal="left"/>
    </xf>
    <xf numFmtId="0" fontId="14" fillId="0" borderId="0" xfId="0" applyFont="1"/>
    <xf numFmtId="0" fontId="5" fillId="0" borderId="1" xfId="0" applyFont="1" applyBorder="1" applyAlignment="1">
      <alignment horizontal="left"/>
    </xf>
    <xf numFmtId="2" fontId="1" fillId="0" borderId="0" xfId="0" applyNumberFormat="1" applyFont="1" applyAlignment="1">
      <alignment horizontal="center"/>
    </xf>
    <xf numFmtId="0" fontId="1" fillId="0" borderId="9" xfId="0" applyFont="1" applyBorder="1" applyAlignment="1">
      <alignment horizontal="left"/>
    </xf>
    <xf numFmtId="0" fontId="2" fillId="0" borderId="9" xfId="0" applyFont="1" applyBorder="1" applyAlignment="1">
      <alignment horizontal="left"/>
    </xf>
    <xf numFmtId="164" fontId="2" fillId="0" borderId="9" xfId="2" applyNumberFormat="1" applyFont="1" applyFill="1" applyBorder="1"/>
    <xf numFmtId="0" fontId="8" fillId="0" borderId="0" xfId="0" applyFont="1" applyAlignment="1">
      <alignment horizontal="left"/>
    </xf>
    <xf numFmtId="1" fontId="5" fillId="0" borderId="0" xfId="2" applyNumberFormat="1" applyFont="1" applyFill="1" applyAlignment="1">
      <alignment horizontal="center" vertical="center"/>
    </xf>
    <xf numFmtId="0" fontId="5" fillId="0" borderId="0" xfId="0" applyFont="1" applyAlignment="1">
      <alignment vertical="center"/>
    </xf>
    <xf numFmtId="0" fontId="1" fillId="0" borderId="0" xfId="0" applyFont="1" applyAlignment="1">
      <alignment wrapText="1"/>
    </xf>
    <xf numFmtId="44" fontId="1" fillId="0" borderId="0" xfId="0" applyNumberFormat="1" applyFont="1" applyAlignment="1">
      <alignment horizontal="center"/>
    </xf>
    <xf numFmtId="0" fontId="1" fillId="0" borderId="0" xfId="0" applyFont="1" applyAlignment="1">
      <alignment horizontal="left" wrapText="1"/>
    </xf>
    <xf numFmtId="164" fontId="14" fillId="0" borderId="0" xfId="0" applyNumberFormat="1" applyFont="1"/>
    <xf numFmtId="0" fontId="11" fillId="0" borderId="0" xfId="0" applyFont="1"/>
    <xf numFmtId="0" fontId="2" fillId="0" borderId="0" xfId="0" applyFont="1" applyAlignment="1">
      <alignment vertical="center"/>
    </xf>
    <xf numFmtId="0" fontId="2" fillId="0" borderId="0" xfId="0" quotePrefix="1" applyFont="1" applyAlignment="1">
      <alignment vertical="center"/>
    </xf>
    <xf numFmtId="166" fontId="2" fillId="0" borderId="0" xfId="0" quotePrefix="1" applyNumberFormat="1" applyFont="1" applyAlignment="1">
      <alignment vertical="center"/>
    </xf>
    <xf numFmtId="0" fontId="2" fillId="0" borderId="1" xfId="0" applyFont="1" applyBorder="1" applyAlignment="1">
      <alignment vertical="center"/>
    </xf>
    <xf numFmtId="14" fontId="1" fillId="0" borderId="1" xfId="0" applyNumberFormat="1" applyFont="1" applyBorder="1"/>
    <xf numFmtId="164" fontId="8" fillId="0" borderId="0" xfId="0" applyNumberFormat="1" applyFont="1"/>
    <xf numFmtId="9" fontId="5" fillId="0" borderId="0" xfId="3" applyFont="1" applyFill="1"/>
    <xf numFmtId="0" fontId="2" fillId="0" borderId="0" xfId="0" applyFont="1" applyAlignment="1">
      <alignment horizontal="right" wrapText="1"/>
    </xf>
    <xf numFmtId="0" fontId="5" fillId="0" borderId="0" xfId="0" applyFont="1" applyAlignment="1">
      <alignment wrapText="1"/>
    </xf>
    <xf numFmtId="0" fontId="2" fillId="0" borderId="1" xfId="0" applyFont="1" applyBorder="1" applyAlignment="1">
      <alignment horizontal="center" wrapText="1"/>
    </xf>
    <xf numFmtId="0" fontId="1" fillId="0" borderId="0" xfId="0" applyFont="1" applyAlignment="1">
      <alignment horizontal="center" vertical="center"/>
    </xf>
    <xf numFmtId="0" fontId="5" fillId="0" borderId="0" xfId="0" applyFont="1" applyAlignment="1">
      <alignment horizontal="right" vertical="center"/>
    </xf>
    <xf numFmtId="164" fontId="5" fillId="0" borderId="0" xfId="2" applyNumberFormat="1" applyFont="1" applyFill="1" applyAlignment="1">
      <alignment horizontal="center" vertical="top"/>
    </xf>
    <xf numFmtId="164" fontId="5" fillId="0" borderId="0" xfId="2" applyNumberFormat="1" applyFont="1" applyFill="1" applyAlignment="1">
      <alignment horizontal="left" vertical="top"/>
    </xf>
    <xf numFmtId="1" fontId="5" fillId="0" borderId="0" xfId="2" applyNumberFormat="1" applyFont="1" applyFill="1" applyAlignment="1">
      <alignment horizontal="left" vertical="top"/>
    </xf>
    <xf numFmtId="164" fontId="5" fillId="0" borderId="5" xfId="2" applyNumberFormat="1" applyFont="1" applyFill="1" applyBorder="1" applyAlignment="1">
      <alignment horizontal="center" vertical="top"/>
    </xf>
    <xf numFmtId="1" fontId="5" fillId="0" borderId="5" xfId="2" applyNumberFormat="1" applyFont="1" applyFill="1" applyBorder="1" applyAlignment="1">
      <alignment horizontal="center" vertical="top"/>
    </xf>
    <xf numFmtId="42" fontId="5" fillId="0" borderId="0" xfId="2" applyNumberFormat="1" applyFont="1" applyFill="1"/>
    <xf numFmtId="0" fontId="7" fillId="0" borderId="0" xfId="0" applyFont="1" applyAlignment="1">
      <alignment wrapText="1"/>
    </xf>
    <xf numFmtId="10" fontId="1" fillId="0" borderId="0" xfId="3" applyNumberFormat="1" applyFont="1"/>
    <xf numFmtId="0" fontId="5" fillId="0" borderId="0" xfId="0" applyFont="1" applyAlignment="1">
      <alignment horizontal="center" vertical="center"/>
    </xf>
    <xf numFmtId="0" fontId="1" fillId="0" borderId="0" xfId="0" quotePrefix="1" applyFont="1" applyAlignment="1">
      <alignment wrapText="1"/>
    </xf>
    <xf numFmtId="164" fontId="0" fillId="0" borderId="0" xfId="2" applyNumberFormat="1" applyFont="1" applyFill="1" applyAlignment="1">
      <alignment horizontal="right"/>
    </xf>
    <xf numFmtId="0" fontId="14" fillId="0" borderId="0" xfId="0" applyFont="1" applyAlignment="1">
      <alignment horizontal="right"/>
    </xf>
    <xf numFmtId="43" fontId="14" fillId="0" borderId="0" xfId="1" applyFont="1"/>
    <xf numFmtId="43" fontId="14" fillId="0" borderId="0" xfId="0" applyNumberFormat="1" applyFont="1"/>
    <xf numFmtId="44" fontId="14" fillId="0" borderId="0" xfId="0" applyNumberFormat="1" applyFont="1"/>
    <xf numFmtId="43" fontId="2" fillId="0" borderId="0" xfId="1" applyFont="1"/>
    <xf numFmtId="0" fontId="1" fillId="0" borderId="0" xfId="5" applyAlignment="1">
      <alignment wrapText="1"/>
    </xf>
    <xf numFmtId="0" fontId="1" fillId="0" borderId="0" xfId="5" applyAlignment="1">
      <alignment horizontal="center" vertical="center"/>
    </xf>
    <xf numFmtId="0" fontId="1" fillId="0" borderId="0" xfId="5" applyAlignment="1">
      <alignment horizontal="left" vertical="top" wrapText="1"/>
    </xf>
    <xf numFmtId="0" fontId="1" fillId="0" borderId="0" xfId="5" applyAlignment="1">
      <alignment horizontal="left" vertical="top"/>
    </xf>
    <xf numFmtId="0" fontId="1" fillId="0" borderId="0" xfId="5"/>
    <xf numFmtId="0" fontId="1" fillId="0" borderId="0" xfId="5" applyAlignment="1">
      <alignment horizontal="left"/>
    </xf>
    <xf numFmtId="37" fontId="5" fillId="0" borderId="0" xfId="2" applyNumberFormat="1" applyFont="1" applyFill="1" applyAlignment="1">
      <alignment horizontal="right"/>
    </xf>
    <xf numFmtId="44" fontId="5" fillId="0" borderId="0" xfId="2" applyFont="1"/>
    <xf numFmtId="44" fontId="1" fillId="0" borderId="0" xfId="0" applyNumberFormat="1" applyFont="1"/>
    <xf numFmtId="9" fontId="1" fillId="0" borderId="0" xfId="3" applyFont="1" applyFill="1" applyAlignment="1">
      <alignment horizontal="left"/>
    </xf>
    <xf numFmtId="164" fontId="1" fillId="0" borderId="0" xfId="6" applyNumberFormat="1" applyFont="1"/>
    <xf numFmtId="164" fontId="16" fillId="0" borderId="0" xfId="7" applyNumberFormat="1"/>
    <xf numFmtId="164" fontId="1" fillId="0" borderId="0" xfId="6" applyNumberFormat="1" applyFont="1" applyFill="1"/>
    <xf numFmtId="0" fontId="1" fillId="0" borderId="0" xfId="7" applyFont="1" applyAlignment="1">
      <alignment horizontal="right"/>
    </xf>
    <xf numFmtId="164" fontId="8" fillId="0" borderId="0" xfId="0" applyNumberFormat="1" applyFont="1" applyAlignment="1">
      <alignment horizontal="left"/>
    </xf>
    <xf numFmtId="0" fontId="5" fillId="0" borderId="0" xfId="0" applyFont="1" applyAlignment="1">
      <alignment horizontal="center" vertical="top"/>
    </xf>
    <xf numFmtId="0" fontId="5" fillId="0" borderId="0" xfId="0" applyFont="1" applyAlignment="1">
      <alignment horizontal="left" vertical="top"/>
    </xf>
    <xf numFmtId="0" fontId="1" fillId="0" borderId="0" xfId="0" applyFont="1" applyAlignment="1">
      <alignment vertical="top" wrapText="1"/>
    </xf>
    <xf numFmtId="0" fontId="5" fillId="0" borderId="0" xfId="0" applyFont="1" applyAlignment="1">
      <alignment horizontal="left" vertical="top" wrapText="1"/>
    </xf>
    <xf numFmtId="0" fontId="5" fillId="0" borderId="0" xfId="0" applyFont="1" applyAlignment="1">
      <alignment vertical="top"/>
    </xf>
    <xf numFmtId="0" fontId="5" fillId="0" borderId="0" xfId="0" applyFont="1" applyAlignment="1">
      <alignment horizontal="left" vertical="center" wrapText="1"/>
    </xf>
    <xf numFmtId="9" fontId="1" fillId="0" borderId="0" xfId="0" applyNumberFormat="1" applyFont="1" applyAlignment="1">
      <alignment horizontal="left" vertical="top" wrapText="1"/>
    </xf>
    <xf numFmtId="0" fontId="1" fillId="0" borderId="0" xfId="0" applyFont="1" applyAlignment="1">
      <alignment horizontal="left" vertical="top" wrapText="1"/>
    </xf>
    <xf numFmtId="0" fontId="5" fillId="0" borderId="0" xfId="0" applyFont="1" applyAlignment="1">
      <alignment horizontal="left" vertical="center"/>
    </xf>
    <xf numFmtId="164" fontId="5" fillId="0" borderId="0" xfId="2" applyNumberFormat="1" applyFont="1" applyFill="1" applyAlignment="1">
      <alignment vertical="top"/>
    </xf>
    <xf numFmtId="0" fontId="5" fillId="0" borderId="0" xfId="0" applyFont="1" applyAlignment="1">
      <alignment vertical="top" wrapText="1"/>
    </xf>
    <xf numFmtId="0" fontId="1" fillId="0" borderId="0" xfId="0" applyFont="1" applyAlignment="1">
      <alignment horizontal="center" vertical="top"/>
    </xf>
    <xf numFmtId="0" fontId="1" fillId="0" borderId="5" xfId="0" applyFont="1" applyBorder="1" applyAlignment="1">
      <alignment horizontal="center" vertical="top"/>
    </xf>
    <xf numFmtId="0" fontId="5" fillId="0" borderId="5" xfId="0" applyFont="1" applyBorder="1" applyAlignment="1">
      <alignment horizontal="left" vertical="top"/>
    </xf>
    <xf numFmtId="0" fontId="1" fillId="0" borderId="5" xfId="0" applyFont="1" applyBorder="1" applyAlignment="1">
      <alignment horizontal="left" vertical="top" wrapText="1"/>
    </xf>
    <xf numFmtId="0" fontId="2" fillId="0" borderId="2" xfId="0" applyFont="1" applyBorder="1" applyAlignment="1">
      <alignment horizontal="left" vertical="center"/>
    </xf>
    <xf numFmtId="0" fontId="1" fillId="0" borderId="9" xfId="0" applyFont="1" applyBorder="1" applyAlignment="1">
      <alignment horizontal="center"/>
    </xf>
    <xf numFmtId="0" fontId="5" fillId="0" borderId="9" xfId="0" applyFont="1" applyBorder="1" applyAlignment="1">
      <alignment horizontal="left"/>
    </xf>
    <xf numFmtId="0" fontId="1" fillId="0" borderId="9" xfId="0" applyFont="1" applyBorder="1" applyAlignment="1">
      <alignment horizontal="left" wrapText="1"/>
    </xf>
    <xf numFmtId="0" fontId="1" fillId="0" borderId="0" xfId="0" quotePrefix="1" applyFont="1" applyAlignment="1">
      <alignment horizontal="left" vertical="top" wrapText="1"/>
    </xf>
    <xf numFmtId="0" fontId="5" fillId="0" borderId="0" xfId="0" quotePrefix="1" applyFont="1" applyAlignment="1">
      <alignment horizontal="left" vertical="top"/>
    </xf>
    <xf numFmtId="164" fontId="5" fillId="0" borderId="0" xfId="2" applyNumberFormat="1" applyFont="1" applyFill="1" applyBorder="1" applyAlignment="1">
      <alignment horizontal="center" vertical="top"/>
    </xf>
    <xf numFmtId="0" fontId="5" fillId="0" borderId="5" xfId="0" applyFont="1" applyBorder="1" applyAlignment="1">
      <alignment horizontal="center" vertical="top"/>
    </xf>
    <xf numFmtId="0" fontId="1" fillId="0" borderId="5" xfId="0" applyFont="1" applyBorder="1" applyAlignment="1">
      <alignment vertical="top"/>
    </xf>
    <xf numFmtId="0" fontId="1" fillId="0" borderId="5" xfId="0" applyFont="1" applyBorder="1" applyAlignment="1">
      <alignment horizontal="left" vertical="top"/>
    </xf>
    <xf numFmtId="0" fontId="5" fillId="0" borderId="5" xfId="0" applyFont="1" applyBorder="1" applyAlignment="1">
      <alignment vertical="top"/>
    </xf>
    <xf numFmtId="0" fontId="1" fillId="0" borderId="2" xfId="0" applyFont="1" applyBorder="1" applyAlignment="1">
      <alignment horizontal="center"/>
    </xf>
    <xf numFmtId="0" fontId="1" fillId="0" borderId="2" xfId="0" applyFont="1" applyBorder="1" applyAlignment="1">
      <alignment horizontal="left"/>
    </xf>
    <xf numFmtId="164" fontId="2" fillId="0" borderId="2" xfId="2" applyNumberFormat="1" applyFont="1" applyFill="1" applyBorder="1" applyAlignment="1">
      <alignment horizontal="center"/>
    </xf>
    <xf numFmtId="0" fontId="1" fillId="0" borderId="2" xfId="0" applyFont="1" applyBorder="1" applyAlignment="1">
      <alignment wrapText="1"/>
    </xf>
    <xf numFmtId="0" fontId="2" fillId="0" borderId="3" xfId="0" applyFont="1" applyBorder="1" applyAlignment="1">
      <alignment horizontal="left" vertical="center"/>
    </xf>
    <xf numFmtId="0" fontId="5" fillId="0" borderId="12" xfId="0" applyFont="1" applyBorder="1" applyAlignment="1">
      <alignment horizontal="center"/>
    </xf>
    <xf numFmtId="164" fontId="2" fillId="0" borderId="12" xfId="2" applyNumberFormat="1" applyFont="1" applyFill="1" applyBorder="1" applyAlignment="1">
      <alignment horizontal="center"/>
    </xf>
    <xf numFmtId="164" fontId="5" fillId="0" borderId="12" xfId="2" applyNumberFormat="1" applyFont="1" applyFill="1" applyBorder="1" applyAlignment="1">
      <alignment horizontal="center"/>
    </xf>
    <xf numFmtId="0" fontId="5" fillId="0" borderId="12" xfId="0" applyFont="1" applyBorder="1" applyAlignment="1">
      <alignment horizontal="center" wrapText="1"/>
    </xf>
    <xf numFmtId="0" fontId="5" fillId="0" borderId="0" xfId="0" applyFont="1" applyAlignment="1">
      <alignment horizontal="center" wrapText="1"/>
    </xf>
    <xf numFmtId="0" fontId="5" fillId="0" borderId="0" xfId="0" applyFont="1" applyAlignment="1">
      <alignment horizontal="left" wrapText="1"/>
    </xf>
    <xf numFmtId="164" fontId="2" fillId="0" borderId="0" xfId="2" applyNumberFormat="1" applyFont="1" applyFill="1" applyAlignment="1">
      <alignment horizontal="center"/>
    </xf>
    <xf numFmtId="0" fontId="5" fillId="0" borderId="0" xfId="0" quotePrefix="1" applyFont="1" applyAlignment="1">
      <alignment horizontal="left" wrapText="1"/>
    </xf>
    <xf numFmtId="164" fontId="5" fillId="0" borderId="0" xfId="2" applyNumberFormat="1" applyFont="1" applyFill="1" applyAlignment="1"/>
    <xf numFmtId="2" fontId="5" fillId="0" borderId="0" xfId="2" applyNumberFormat="1" applyFont="1" applyFill="1" applyAlignment="1"/>
    <xf numFmtId="0" fontId="3" fillId="4" borderId="0" xfId="0" applyFont="1" applyFill="1" applyAlignment="1">
      <alignment horizontal="centerContinuous"/>
    </xf>
    <xf numFmtId="0" fontId="5" fillId="4" borderId="0" xfId="0" applyFont="1" applyFill="1" applyAlignment="1">
      <alignment horizontal="centerContinuous"/>
    </xf>
    <xf numFmtId="0" fontId="2" fillId="4" borderId="0" xfId="0" applyFont="1" applyFill="1" applyAlignment="1">
      <alignment horizontal="centerContinuous"/>
    </xf>
    <xf numFmtId="0" fontId="1" fillId="0" borderId="0" xfId="7" applyFont="1" applyAlignment="1">
      <alignment horizontal="left"/>
    </xf>
    <xf numFmtId="0" fontId="1" fillId="0" borderId="0" xfId="7" applyFont="1"/>
    <xf numFmtId="169" fontId="5" fillId="0" borderId="0" xfId="1" applyNumberFormat="1" applyFont="1"/>
    <xf numFmtId="0" fontId="15" fillId="0" borderId="0" xfId="0" applyFont="1" applyAlignment="1">
      <alignment horizontal="left"/>
    </xf>
    <xf numFmtId="9" fontId="8" fillId="0" borderId="0" xfId="3" applyFont="1" applyFill="1" applyAlignment="1">
      <alignment horizontal="left"/>
    </xf>
    <xf numFmtId="164" fontId="1" fillId="0" borderId="9" xfId="2" applyNumberFormat="1" applyFont="1" applyFill="1" applyBorder="1"/>
    <xf numFmtId="37" fontId="1" fillId="0" borderId="0" xfId="1" applyNumberFormat="1" applyFont="1" applyFill="1"/>
    <xf numFmtId="0" fontId="1" fillId="0" borderId="0" xfId="4" applyFont="1" applyFill="1" applyAlignment="1"/>
    <xf numFmtId="0" fontId="9" fillId="0" borderId="0" xfId="4" applyFill="1" applyAlignment="1"/>
    <xf numFmtId="49" fontId="1" fillId="0" borderId="0" xfId="0" applyNumberFormat="1" applyFont="1" applyAlignment="1">
      <alignment vertical="top" wrapText="1"/>
    </xf>
    <xf numFmtId="170" fontId="5" fillId="0" borderId="0" xfId="0" applyNumberFormat="1" applyFont="1"/>
    <xf numFmtId="6" fontId="5" fillId="0" borderId="0" xfId="0" applyNumberFormat="1" applyFont="1"/>
    <xf numFmtId="6" fontId="1" fillId="0" borderId="0" xfId="2" applyNumberFormat="1" applyFont="1" applyFill="1" applyBorder="1"/>
    <xf numFmtId="6" fontId="1" fillId="0" borderId="3" xfId="2" applyNumberFormat="1" applyFont="1" applyFill="1" applyBorder="1"/>
    <xf numFmtId="6" fontId="1" fillId="0" borderId="0" xfId="0" applyNumberFormat="1" applyFont="1"/>
    <xf numFmtId="6" fontId="5" fillId="0" borderId="3" xfId="0" applyNumberFormat="1" applyFont="1" applyBorder="1"/>
    <xf numFmtId="38" fontId="14" fillId="0" borderId="0" xfId="0" applyNumberFormat="1" applyFont="1"/>
    <xf numFmtId="164" fontId="14" fillId="0" borderId="0" xfId="0" applyNumberFormat="1" applyFont="1" applyAlignment="1">
      <alignment horizontal="left"/>
    </xf>
    <xf numFmtId="169" fontId="0" fillId="0" borderId="0" xfId="1" applyNumberFormat="1" applyFont="1"/>
    <xf numFmtId="0" fontId="2" fillId="0" borderId="0" xfId="0" applyFont="1" applyAlignment="1">
      <alignment horizontal="left" vertical="top"/>
    </xf>
    <xf numFmtId="42" fontId="2" fillId="0" borderId="0" xfId="0" applyNumberFormat="1" applyFont="1"/>
    <xf numFmtId="42" fontId="2" fillId="0" borderId="0" xfId="2" applyNumberFormat="1" applyFont="1" applyBorder="1"/>
    <xf numFmtId="0" fontId="2" fillId="0" borderId="0" xfId="0" applyFont="1" applyAlignment="1">
      <alignment vertical="top"/>
    </xf>
    <xf numFmtId="0" fontId="1" fillId="0" borderId="0" xfId="0" applyFont="1" applyAlignment="1">
      <alignment horizontal="center" vertical="top" wrapText="1"/>
    </xf>
    <xf numFmtId="164" fontId="1" fillId="0" borderId="0" xfId="2" applyNumberFormat="1" applyFont="1" applyFill="1" applyAlignment="1">
      <alignment horizontal="center" vertical="top"/>
    </xf>
    <xf numFmtId="1" fontId="1" fillId="0" borderId="0" xfId="2" applyNumberFormat="1" applyFont="1" applyFill="1" applyAlignment="1">
      <alignment horizontal="center" vertical="top"/>
    </xf>
    <xf numFmtId="10" fontId="5" fillId="5" borderId="0" xfId="3" applyNumberFormat="1" applyFont="1" applyFill="1" applyAlignment="1">
      <alignment horizontal="right"/>
    </xf>
    <xf numFmtId="0" fontId="1" fillId="5" borderId="0" xfId="0" quotePrefix="1" applyFont="1" applyFill="1"/>
    <xf numFmtId="0" fontId="5" fillId="5" borderId="0" xfId="0" applyFont="1" applyFill="1"/>
    <xf numFmtId="0" fontId="1" fillId="0" borderId="0" xfId="0" applyFont="1" applyAlignment="1">
      <alignment horizontal="center"/>
    </xf>
    <xf numFmtId="0" fontId="1" fillId="0" borderId="0" xfId="0" applyFont="1" applyAlignment="1">
      <alignment wrapText="1"/>
    </xf>
    <xf numFmtId="0" fontId="0" fillId="0" borderId="0" xfId="0" applyAlignment="1">
      <alignment wrapText="1"/>
    </xf>
    <xf numFmtId="0" fontId="1" fillId="0" borderId="0" xfId="0" applyFont="1" applyAlignment="1">
      <alignment horizontal="left" wrapText="1"/>
    </xf>
    <xf numFmtId="0" fontId="1" fillId="0" borderId="0" xfId="0" quotePrefix="1" applyFont="1"/>
    <xf numFmtId="0" fontId="1" fillId="0" borderId="0" xfId="0" quotePrefix="1" applyFont="1" applyAlignment="1">
      <alignment wrapText="1"/>
    </xf>
    <xf numFmtId="49" fontId="1" fillId="0" borderId="0" xfId="0" quotePrefix="1" applyNumberFormat="1" applyFont="1" applyAlignment="1">
      <alignment horizontal="left" wrapText="1"/>
    </xf>
    <xf numFmtId="0" fontId="1" fillId="0" borderId="0" xfId="5" applyAlignment="1">
      <alignment horizontal="left" vertical="top" wrapText="1"/>
    </xf>
    <xf numFmtId="0" fontId="1" fillId="0" borderId="0" xfId="5" applyAlignment="1">
      <alignment wrapText="1"/>
    </xf>
    <xf numFmtId="0" fontId="1" fillId="0" borderId="0" xfId="5" applyAlignment="1">
      <alignment vertical="center" wrapText="1"/>
    </xf>
    <xf numFmtId="0" fontId="1" fillId="0" borderId="0" xfId="5" applyAlignment="1">
      <alignment horizontal="left" vertical="center" wrapText="1"/>
    </xf>
    <xf numFmtId="0" fontId="1" fillId="0" borderId="0" xfId="0" applyFont="1" applyAlignment="1">
      <alignment vertical="center" wrapText="1"/>
    </xf>
    <xf numFmtId="0" fontId="1" fillId="0" borderId="0" xfId="0" applyFont="1" applyAlignment="1">
      <alignment horizontal="left" vertical="center" wrapText="1"/>
    </xf>
    <xf numFmtId="0" fontId="5" fillId="0" borderId="0" xfId="0" applyFont="1" applyAlignment="1">
      <alignment horizontal="left" wrapText="1"/>
    </xf>
    <xf numFmtId="0" fontId="1" fillId="0" borderId="0" xfId="5" applyAlignment="1">
      <alignment horizontal="left" wrapText="1"/>
    </xf>
  </cellXfs>
  <cellStyles count="10">
    <cellStyle name="Comma" xfId="1" builtinId="3"/>
    <cellStyle name="Currency" xfId="2" builtinId="4"/>
    <cellStyle name="Currency 2" xfId="6" xr:uid="{3FAFCA3E-D1B6-459E-A626-38E48F9BD5D6}"/>
    <cellStyle name="Hyperlink" xfId="4" builtinId="8"/>
    <cellStyle name="Normal" xfId="0" builtinId="0"/>
    <cellStyle name="Normal 2" xfId="5" xr:uid="{5261A074-4921-46AA-9819-9F1A0B0C10E8}"/>
    <cellStyle name="Normal 3" xfId="7" xr:uid="{CBC5440C-79B5-44D0-BFC5-A6DFF9BD501F}"/>
    <cellStyle name="Normal 3 2" xfId="9" xr:uid="{472EC465-E001-44A4-A790-4EBF113ECAB9}"/>
    <cellStyle name="Normal 4" xfId="8" xr:uid="{B7251B61-78F2-4F38-9E8C-C398782FF1FB}"/>
    <cellStyle name="Percent" xfId="3" builtinId="5"/>
  </cellStyles>
  <dxfs count="2">
    <dxf>
      <fill>
        <patternFill>
          <bgColor theme="0" tint="-4.9989318521683403E-2"/>
        </patternFill>
      </fill>
    </dxf>
    <dxf>
      <fill>
        <patternFill>
          <bgColor theme="0" tint="-4.9989318521683403E-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microsoft.com/office/2017/10/relationships/person" Target="persons/person.xml"/><Relationship Id="rId30"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vermontgov-my.sharepoint.com/personal/scott_wheeler_vermont_gov/Documents/BED%20Rate%20Case%20No.%2025-1172-TF%20Modeling%20Spreadsheet.xlsx" TargetMode="External"/><Relationship Id="rId1" Type="http://schemas.openxmlformats.org/officeDocument/2006/relationships/externalLinkPath" Target="/personal/scott_wheeler_vermont_gov/Documents/BED%20Rate%20Case%20No.%2025-1172-TF%20Modeling%20Spreadsheet.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T:\Finance%20Share\Rates\Rate%20Case_2025\K&amp;Ms\Policy%20&amp;%20Planning\Known%20and%20Measurable%20Changes%202025%20v6.xlsx" TargetMode="External"/><Relationship Id="rId1" Type="http://schemas.openxmlformats.org/officeDocument/2006/relationships/externalLinkPath" Target="file:///T:\Finance%20Share\Rates\Rate%20Case_2025\K&amp;Ms\Policy%20&amp;%20Planning\Known%20and%20Measurable%20Changes%202025%20v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S Summary"/>
      <sheetName val="K&amp;M Summary"/>
      <sheetName val="Sch 1-Fuel"/>
      <sheetName val="Sch 2-Production"/>
      <sheetName val="Sch 3-Purchased Power"/>
      <sheetName val="Sch 4-Transmission"/>
      <sheetName val="Sch 5-A &amp; G"/>
      <sheetName val="Sch 6-Customer Acct &amp; Serv"/>
      <sheetName val="Sch 7-Distribution"/>
      <sheetName val="Sch 8-Sys Load Cnrl &amp; Disp"/>
      <sheetName val="Sch 9-Dep &amp; Amt"/>
      <sheetName val="Sch 10-Taxes"/>
      <sheetName val="Sch 11-Interest Income"/>
      <sheetName val="Sch 12-Dividend Income"/>
      <sheetName val="Sch13-Other Inc (Exp)"/>
      <sheetName val="Sch 13A-Misc Non-Op Inc detail"/>
      <sheetName val="Sch 14-Interest Expense"/>
      <sheetName val="Sch 15-Revenue"/>
      <sheetName val="Sch 16-Cash"/>
      <sheetName val="Sch 17-DSR"/>
    </sheetNames>
    <sheetDataSet>
      <sheetData sheetId="0"/>
      <sheetData sheetId="1"/>
      <sheetData sheetId="2"/>
      <sheetData sheetId="3"/>
      <sheetData sheetId="4"/>
      <sheetData sheetId="5"/>
      <sheetData sheetId="6"/>
      <sheetData sheetId="7"/>
      <sheetData sheetId="8"/>
      <sheetData sheetId="9"/>
      <sheetData sheetId="10">
        <row r="114">
          <cell r="B114" t="str">
            <v>Regulatory Credits</v>
          </cell>
          <cell r="D114">
            <v>-20309.076000000001</v>
          </cell>
        </row>
        <row r="127">
          <cell r="B127" t="str">
            <v xml:space="preserve">First year of a proposed 5-year amortization of a new regulatory liability of $101,545.38 to be created in FY25 pending decision in Case No. 24-1848, $20,309. </v>
          </cell>
          <cell r="C127"/>
          <cell r="D127"/>
          <cell r="E127"/>
        </row>
      </sheetData>
      <sheetData sheetId="11"/>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ersion history"/>
      <sheetName val="Changes"/>
      <sheetName val="compare 4"/>
      <sheetName val="rate year v prior rate year"/>
      <sheetName val="rate year v Budget"/>
      <sheetName val="Per MWh"/>
      <sheetName val="F25"/>
      <sheetName val="PP25"/>
      <sheetName val="T25"/>
      <sheetName val="T3-25"/>
      <sheetName val="REC25"/>
      <sheetName val="Sheet2"/>
      <sheetName val="F24"/>
      <sheetName val="PP24"/>
      <sheetName val="T24"/>
      <sheetName val="T3-24"/>
      <sheetName val="REC24"/>
      <sheetName val="F23"/>
      <sheetName val="PP23"/>
      <sheetName val="T23"/>
      <sheetName val="REC23"/>
      <sheetName val="F22"/>
      <sheetName val="PP22"/>
      <sheetName val="T22"/>
      <sheetName val="REC22"/>
      <sheetName val="f m"/>
      <sheetName val="f m o"/>
      <sheetName val="f g"/>
      <sheetName val="pp c nypa"/>
      <sheetName val="pp c iso"/>
      <sheetName val="pp c vt"/>
      <sheetName val="pp e vtw"/>
      <sheetName val="pp e gmcw"/>
      <sheetName val="pp e iso"/>
      <sheetName val="pp e ics"/>
      <sheetName val="pp e hq"/>
      <sheetName val="pp e h"/>
      <sheetName val="pp e fl"/>
      <sheetName val="pp a iso"/>
      <sheetName val="pp m rec"/>
      <sheetName val="pp m rec (2)"/>
      <sheetName val="pp m t5 fy24"/>
      <sheetName val="pp m t5"/>
      <sheetName val="pp m iso"/>
      <sheetName val="t iso"/>
      <sheetName val="t iso - submitted"/>
      <sheetName val="t iso - footnote"/>
      <sheetName val="t iso - current"/>
      <sheetName val="t v"/>
      <sheetName val="t v - submitted"/>
      <sheetName val="t v - footnote"/>
      <sheetName val="t n"/>
      <sheetName val="t v - current"/>
      <sheetName val="t air"/>
      <sheetName val="t gmcw"/>
      <sheetName val="t3"/>
      <sheetName val="rs"/>
      <sheetName val="rs (2)"/>
      <sheetName val="rec pivot"/>
      <sheetName val="rec data"/>
      <sheetName val="mean production"/>
      <sheetName val="Fuel 2008"/>
      <sheetName val="Purchased Power 2008"/>
      <sheetName val="Transmission 2008"/>
      <sheetName val="Fuel 21"/>
      <sheetName val="Purchased Power 21"/>
      <sheetName val="Transmission 21"/>
      <sheetName val="REC Sales 2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ow r="31">
          <cell r="C31">
            <v>650078.20663386339</v>
          </cell>
        </row>
      </sheetData>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persons/person.xml><?xml version="1.0" encoding="utf-8"?>
<personList xmlns="http://schemas.microsoft.com/office/spreadsheetml/2018/threadedcomments" xmlns:x="http://schemas.openxmlformats.org/spreadsheetml/2006/main">
  <person displayName="Cheryl Mitchell" id="{35B2943E-B273-4464-BF0A-3DB87A5718F4}" userId="S::CMitchell@burlingtonelectric.com::f2a540bc-5aa1-4a88-9e95-640a826013a1" providerId="AD"/>
  <person displayName="Emily Stebbins-Wheelock" id="{939CF793-C4E3-446E-8C2C-66A9A6F43A81}" userId="S::EStebbins-Wheelock@burlingtonelectric.com::c23d36f1-90a0-45ca-bd4d-b4a80296a73e"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3" dT="2021-06-15T11:06:13.71" personId="{939CF793-C4E3-446E-8C2C-66A9A6F43A81}" id="{49F3BDC5-F9D9-4DD8-8836-E5EA686768A9}">
    <text>TIER = Earnings Before Interest/Interest Expense</text>
  </threadedComment>
</ThreadedComments>
</file>

<file path=xl/threadedComments/threadedComment2.xml><?xml version="1.0" encoding="utf-8"?>
<ThreadedComments xmlns="http://schemas.microsoft.com/office/spreadsheetml/2018/threadedcomments" xmlns:x="http://schemas.openxmlformats.org/spreadsheetml/2006/main">
  <threadedComment ref="D11" dT="2025-05-20T14:34:56.58" personId="{35B2943E-B273-4464-BF0A-3DB87A5718F4}" id="{44390B0D-EBF4-4FB4-8992-74E726569DFD}">
    <text>Non-COLA K&amp;M’s = $189,751</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 Id="rId4" Type="http://schemas.microsoft.com/office/2017/10/relationships/threadedComment" Target="../threadedComments/threadedComment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53"/>
  <sheetViews>
    <sheetView topLeftCell="A20" zoomScale="115" zoomScaleNormal="115" workbookViewId="0">
      <selection activeCell="G41" sqref="G41"/>
    </sheetView>
  </sheetViews>
  <sheetFormatPr defaultColWidth="8.921875" defaultRowHeight="15.5" x14ac:dyDescent="0.35"/>
  <cols>
    <col min="1" max="1" width="6.921875" style="2" customWidth="1"/>
    <col min="2" max="2" width="30.921875" style="2" customWidth="1"/>
    <col min="3" max="3" width="12.921875" style="2" customWidth="1"/>
    <col min="4" max="4" width="13.921875" style="2" customWidth="1"/>
    <col min="5" max="5" width="12.921875" style="2" customWidth="1"/>
    <col min="6" max="6" width="15.921875" style="2" customWidth="1"/>
    <col min="7" max="7" width="9.921875" style="2" customWidth="1"/>
    <col min="8" max="8" width="13.07421875" style="2" customWidth="1"/>
    <col min="9" max="9" width="9.921875" style="2" bestFit="1" customWidth="1"/>
    <col min="10" max="10" width="19.07421875" style="2" customWidth="1"/>
    <col min="11" max="11" width="14.07421875" style="2" customWidth="1"/>
    <col min="12" max="14" width="8.921875" style="2"/>
    <col min="15" max="15" width="9" style="2" bestFit="1" customWidth="1"/>
    <col min="16" max="16384" width="8.921875" style="2"/>
  </cols>
  <sheetData>
    <row r="1" spans="1:12" x14ac:dyDescent="0.35">
      <c r="A1" s="1" t="s">
        <v>117</v>
      </c>
      <c r="F1" s="87" t="s">
        <v>582</v>
      </c>
    </row>
    <row r="2" spans="1:12" x14ac:dyDescent="0.35">
      <c r="A2" s="10" t="s">
        <v>488</v>
      </c>
    </row>
    <row r="3" spans="1:12" ht="18" x14ac:dyDescent="0.4">
      <c r="A3" s="326" t="s">
        <v>125</v>
      </c>
      <c r="B3" s="327"/>
      <c r="C3" s="328"/>
      <c r="D3" s="328"/>
      <c r="E3" s="328"/>
      <c r="F3" s="327"/>
      <c r="G3" s="327"/>
    </row>
    <row r="4" spans="1:12" x14ac:dyDescent="0.35">
      <c r="C4" s="6"/>
      <c r="D4" s="6"/>
      <c r="E4" s="6"/>
      <c r="F4" s="6"/>
      <c r="G4" s="6"/>
    </row>
    <row r="5" spans="1:12" x14ac:dyDescent="0.35">
      <c r="A5" s="188"/>
      <c r="B5" s="188"/>
      <c r="C5" s="189" t="s">
        <v>2</v>
      </c>
      <c r="D5" s="189" t="s">
        <v>121</v>
      </c>
      <c r="E5" s="189" t="s">
        <v>123</v>
      </c>
      <c r="F5" s="189" t="s">
        <v>122</v>
      </c>
      <c r="G5" s="189" t="s">
        <v>403</v>
      </c>
    </row>
    <row r="6" spans="1:12" ht="16" thickBot="1" x14ac:dyDescent="0.4">
      <c r="A6" s="190" t="s">
        <v>0</v>
      </c>
      <c r="B6" s="190" t="s">
        <v>1</v>
      </c>
      <c r="C6" s="190" t="s">
        <v>3</v>
      </c>
      <c r="D6" s="191" t="s">
        <v>489</v>
      </c>
      <c r="E6" s="190" t="s">
        <v>124</v>
      </c>
      <c r="F6" s="191" t="s">
        <v>490</v>
      </c>
      <c r="G6" s="190" t="s">
        <v>404</v>
      </c>
      <c r="L6" s="87"/>
    </row>
    <row r="7" spans="1:12" x14ac:dyDescent="0.35">
      <c r="B7" s="6"/>
      <c r="C7" s="6"/>
      <c r="D7" s="37"/>
      <c r="E7" s="6"/>
      <c r="F7" s="37"/>
      <c r="G7" s="6"/>
    </row>
    <row r="8" spans="1:12" ht="16" thickBot="1" x14ac:dyDescent="0.4">
      <c r="B8" s="24" t="s">
        <v>5</v>
      </c>
      <c r="C8" s="25"/>
      <c r="D8" s="25"/>
      <c r="E8" s="25"/>
      <c r="F8" s="25"/>
      <c r="G8" s="25"/>
      <c r="K8" s="358"/>
      <c r="L8" s="358"/>
    </row>
    <row r="9" spans="1:12" x14ac:dyDescent="0.35">
      <c r="A9" s="6">
        <v>1</v>
      </c>
      <c r="B9" s="8" t="s">
        <v>7</v>
      </c>
      <c r="C9" s="6">
        <v>1</v>
      </c>
      <c r="D9" s="38">
        <f>'Sch 1-Fuel'!C22</f>
        <v>7107412.0099999998</v>
      </c>
      <c r="E9" s="38">
        <f>'Sch 1-Fuel'!D22</f>
        <v>76708</v>
      </c>
      <c r="F9" s="38">
        <f>D9+E9</f>
        <v>7184120.0099999998</v>
      </c>
      <c r="G9" s="78">
        <f>E9/D9</f>
        <v>1.0792676700333854E-2</v>
      </c>
      <c r="J9" s="63"/>
      <c r="K9" s="52"/>
      <c r="L9" s="87"/>
    </row>
    <row r="10" spans="1:12" x14ac:dyDescent="0.35">
      <c r="A10" s="6">
        <v>2</v>
      </c>
      <c r="B10" s="8" t="s">
        <v>6</v>
      </c>
      <c r="C10" s="6">
        <v>2</v>
      </c>
      <c r="D10" s="70">
        <f>'Sch 2-Production'!C68</f>
        <v>3618572.93</v>
      </c>
      <c r="E10" s="70">
        <f>'Sch 2-Production'!D68</f>
        <v>303957.81349999999</v>
      </c>
      <c r="F10" s="70">
        <f>D10+E10</f>
        <v>3922530.7435000003</v>
      </c>
      <c r="G10" s="78">
        <f>E10/D10</f>
        <v>8.399936090275234E-2</v>
      </c>
      <c r="J10" s="87"/>
      <c r="K10" s="97"/>
      <c r="L10" s="87"/>
    </row>
    <row r="11" spans="1:12" x14ac:dyDescent="0.35">
      <c r="A11" s="6">
        <v>3</v>
      </c>
      <c r="B11" s="39" t="s">
        <v>8</v>
      </c>
      <c r="C11" s="6">
        <v>3</v>
      </c>
      <c r="D11" s="70">
        <f>'Sch 3-Purchased Power'!C54</f>
        <v>16818263.299999997</v>
      </c>
      <c r="E11" s="70">
        <f>'Sch 3-Purchased Power'!D54</f>
        <v>1077211.7405098972</v>
      </c>
      <c r="F11" s="70">
        <f>D11+E11</f>
        <v>17895475.040509894</v>
      </c>
      <c r="G11" s="78">
        <f>E11/D11</f>
        <v>6.405011749993815E-2</v>
      </c>
      <c r="K11" s="52"/>
      <c r="L11" s="87"/>
    </row>
    <row r="12" spans="1:12" x14ac:dyDescent="0.35">
      <c r="A12" s="6">
        <v>4</v>
      </c>
      <c r="B12" s="35" t="s">
        <v>9</v>
      </c>
      <c r="C12" s="40">
        <v>4</v>
      </c>
      <c r="D12" s="71">
        <f>'Sch 4-Transmission'!C31</f>
        <v>9653764.5499999989</v>
      </c>
      <c r="E12" s="71">
        <f>'Sch 4-Transmission'!D31</f>
        <v>2270996.3512917114</v>
      </c>
      <c r="F12" s="71">
        <f>D12+E12</f>
        <v>11924760.901291709</v>
      </c>
      <c r="G12" s="78">
        <f>E12/D12</f>
        <v>0.2352446384547168</v>
      </c>
      <c r="K12" s="52"/>
      <c r="L12" s="87"/>
    </row>
    <row r="13" spans="1:12" x14ac:dyDescent="0.35">
      <c r="A13" s="6">
        <v>5</v>
      </c>
      <c r="B13" s="131" t="s">
        <v>118</v>
      </c>
      <c r="C13" s="40"/>
      <c r="D13" s="71">
        <f>SUM(D9:D12)</f>
        <v>37198012.789999992</v>
      </c>
      <c r="E13" s="71">
        <f>SUM(E9:E12)</f>
        <v>3728873.9053016086</v>
      </c>
      <c r="F13" s="71">
        <f>SUM(F9:F12)</f>
        <v>40926886.695301607</v>
      </c>
      <c r="G13" s="221">
        <f>E13/D13</f>
        <v>0.10024390083289741</v>
      </c>
      <c r="K13" s="52"/>
      <c r="L13" s="87"/>
    </row>
    <row r="14" spans="1:12" x14ac:dyDescent="0.35">
      <c r="A14" s="6"/>
      <c r="C14" s="6"/>
      <c r="D14" s="70"/>
      <c r="E14" s="73"/>
      <c r="F14" s="70"/>
      <c r="G14" s="78"/>
      <c r="K14" s="99"/>
      <c r="L14" s="87"/>
    </row>
    <row r="15" spans="1:12" x14ac:dyDescent="0.35">
      <c r="A15" s="6">
        <v>6</v>
      </c>
      <c r="B15" s="8" t="s">
        <v>11</v>
      </c>
      <c r="C15" s="6">
        <v>5</v>
      </c>
      <c r="D15" s="70">
        <f>'Sch 5-A &amp; G'!C22</f>
        <v>7656360.919999999</v>
      </c>
      <c r="E15" s="70">
        <f>'Sch 5-A &amp; G'!D22</f>
        <v>1877312.75</v>
      </c>
      <c r="F15" s="70">
        <f>D15+E15</f>
        <v>9533673.6699999981</v>
      </c>
      <c r="G15" s="78">
        <f t="shared" ref="G15:G19" si="0">E15/D15</f>
        <v>0.24519648036654995</v>
      </c>
      <c r="J15" s="67"/>
      <c r="K15" s="58"/>
    </row>
    <row r="16" spans="1:12" x14ac:dyDescent="0.35">
      <c r="A16" s="6">
        <v>7</v>
      </c>
      <c r="B16" s="8" t="s">
        <v>83</v>
      </c>
      <c r="C16" s="6">
        <v>6</v>
      </c>
      <c r="D16" s="70">
        <f>'Sch 6-Customer Acct &amp; Serv'!C35</f>
        <v>6724854.7300000004</v>
      </c>
      <c r="E16" s="70">
        <f>'Sch 6-Customer Acct &amp; Serv'!D35</f>
        <v>53085.741245665879</v>
      </c>
      <c r="F16" s="70">
        <f>D16+E16</f>
        <v>6777940.471245666</v>
      </c>
      <c r="G16" s="78">
        <f t="shared" si="0"/>
        <v>7.8939610410983362E-3</v>
      </c>
    </row>
    <row r="17" spans="1:12" x14ac:dyDescent="0.35">
      <c r="A17" s="6">
        <v>8</v>
      </c>
      <c r="B17" s="8" t="s">
        <v>10</v>
      </c>
      <c r="C17" s="6">
        <v>7</v>
      </c>
      <c r="D17" s="70">
        <f>'Sch 7-Distribution'!C35</f>
        <v>3590222.080000001</v>
      </c>
      <c r="E17" s="276">
        <f>'Sch 7-Distribution'!D35</f>
        <v>195624.46999999997</v>
      </c>
      <c r="F17" s="70">
        <f>D17+E17</f>
        <v>3785846.5500000007</v>
      </c>
      <c r="G17" s="78">
        <f t="shared" si="0"/>
        <v>5.4488125146843258E-2</v>
      </c>
      <c r="J17" s="58"/>
    </row>
    <row r="18" spans="1:12" x14ac:dyDescent="0.35">
      <c r="A18" s="6">
        <v>9</v>
      </c>
      <c r="B18" s="8" t="s">
        <v>120</v>
      </c>
      <c r="C18" s="6">
        <v>8</v>
      </c>
      <c r="D18" s="70">
        <f>'Sch 8-Sys Load Cnrl &amp; Disp'!C14</f>
        <v>1546277.4300000002</v>
      </c>
      <c r="E18" s="70">
        <f>'Sch 8-Sys Load Cnrl &amp; Disp'!D14</f>
        <v>-132966</v>
      </c>
      <c r="F18" s="70">
        <f>D18+E18</f>
        <v>1413311.4300000002</v>
      </c>
      <c r="G18" s="78">
        <f t="shared" si="0"/>
        <v>-8.5991037196992512E-2</v>
      </c>
      <c r="K18" s="97"/>
      <c r="L18" s="87"/>
    </row>
    <row r="19" spans="1:12" x14ac:dyDescent="0.35">
      <c r="A19" s="6">
        <v>10</v>
      </c>
      <c r="B19" s="192" t="s">
        <v>402</v>
      </c>
      <c r="C19" s="41"/>
      <c r="D19" s="72">
        <f>SUM(D15:D18)</f>
        <v>19517715.16</v>
      </c>
      <c r="E19" s="72">
        <f>SUM(E15:E18)</f>
        <v>1993056.9612456658</v>
      </c>
      <c r="F19" s="72">
        <f>SUM(F15:F18)</f>
        <v>21510772.121245664</v>
      </c>
      <c r="G19" s="221">
        <f t="shared" si="0"/>
        <v>0.10211528065181917</v>
      </c>
      <c r="K19" s="97"/>
      <c r="L19" s="87"/>
    </row>
    <row r="20" spans="1:12" x14ac:dyDescent="0.35">
      <c r="A20" s="6"/>
      <c r="B20" s="8"/>
      <c r="C20" s="6"/>
      <c r="D20" s="70"/>
      <c r="E20" s="70"/>
      <c r="F20" s="70"/>
      <c r="G20" s="78"/>
      <c r="K20" s="97"/>
      <c r="L20" s="87"/>
    </row>
    <row r="21" spans="1:12" x14ac:dyDescent="0.35">
      <c r="A21" s="6">
        <f>1+A19</f>
        <v>11</v>
      </c>
      <c r="B21" s="88" t="s">
        <v>262</v>
      </c>
      <c r="C21" s="92">
        <v>9</v>
      </c>
      <c r="D21" s="128">
        <f>'Sch 9-Dep &amp; Amt'!C122</f>
        <v>6526866.96</v>
      </c>
      <c r="E21" s="128">
        <f>'Sch 9-Dep &amp; Amt'!D122</f>
        <v>-219097.2500000002</v>
      </c>
      <c r="F21" s="128">
        <f>D21+E21</f>
        <v>6307769.71</v>
      </c>
      <c r="G21" s="78">
        <f>E21/D21</f>
        <v>-3.3568517842134812E-2</v>
      </c>
      <c r="H21" s="87"/>
    </row>
    <row r="22" spans="1:12" x14ac:dyDescent="0.35">
      <c r="A22" s="6"/>
      <c r="C22" s="6"/>
      <c r="D22" s="129"/>
      <c r="E22" s="129"/>
      <c r="F22" s="129"/>
      <c r="G22" s="84"/>
      <c r="J22" s="58"/>
      <c r="K22" s="97"/>
    </row>
    <row r="23" spans="1:12" x14ac:dyDescent="0.35">
      <c r="A23" s="6">
        <f>1+A21</f>
        <v>12</v>
      </c>
      <c r="B23" s="88" t="s">
        <v>336</v>
      </c>
      <c r="C23" s="6">
        <v>10</v>
      </c>
      <c r="D23" s="128">
        <f>'Sch 10-Taxes'!C29</f>
        <v>3395540.12</v>
      </c>
      <c r="E23" s="128">
        <f>'Sch 10-Taxes'!D29</f>
        <v>264461.98755843885</v>
      </c>
      <c r="F23" s="128">
        <f>D23+E23</f>
        <v>3660002.107558439</v>
      </c>
      <c r="G23" s="78">
        <f>E23/D23</f>
        <v>7.7885101695820594E-2</v>
      </c>
      <c r="K23" s="58"/>
    </row>
    <row r="24" spans="1:12" x14ac:dyDescent="0.35">
      <c r="A24" s="6"/>
      <c r="C24" s="6"/>
      <c r="D24" s="74"/>
      <c r="E24" s="74"/>
      <c r="F24" s="74"/>
      <c r="G24" s="78"/>
      <c r="J24" s="58"/>
    </row>
    <row r="25" spans="1:12" x14ac:dyDescent="0.35">
      <c r="A25" s="6">
        <f>1+A23</f>
        <v>13</v>
      </c>
      <c r="B25" s="193" t="s">
        <v>119</v>
      </c>
      <c r="C25" s="14"/>
      <c r="D25" s="75">
        <f>+D13+D19+D21+D23</f>
        <v>66638135.029999986</v>
      </c>
      <c r="E25" s="75">
        <f>+E13+E19+E21+E23</f>
        <v>5767295.6041057128</v>
      </c>
      <c r="F25" s="75">
        <f>+F13+F19+F21+F23</f>
        <v>72405430.634105712</v>
      </c>
      <c r="G25" s="79">
        <f>E25/D25</f>
        <v>8.654647374974285E-2</v>
      </c>
      <c r="H25" s="58"/>
      <c r="I25" s="58"/>
      <c r="J25" s="218"/>
      <c r="K25" s="58"/>
    </row>
    <row r="26" spans="1:12" x14ac:dyDescent="0.35">
      <c r="A26" s="6"/>
      <c r="C26" s="6"/>
      <c r="D26" s="74"/>
      <c r="E26" s="74"/>
      <c r="F26" s="74"/>
      <c r="G26" s="78"/>
      <c r="J26" s="58"/>
    </row>
    <row r="27" spans="1:12" ht="16" thickBot="1" x14ac:dyDescent="0.4">
      <c r="A27" s="6"/>
      <c r="B27" s="24" t="s">
        <v>176</v>
      </c>
      <c r="C27" s="25"/>
      <c r="D27" s="76"/>
      <c r="E27" s="76"/>
      <c r="F27" s="76"/>
      <c r="G27" s="80"/>
    </row>
    <row r="28" spans="1:12" x14ac:dyDescent="0.35">
      <c r="A28" s="6">
        <f>1+A25</f>
        <v>14</v>
      </c>
      <c r="B28" s="8" t="s">
        <v>12</v>
      </c>
      <c r="C28" s="6">
        <v>11</v>
      </c>
      <c r="D28" s="70">
        <f>'Sch 11-Interest Income'!C18</f>
        <v>811784.95000000007</v>
      </c>
      <c r="E28" s="70">
        <f>'Sch 11-Interest Income'!D18</f>
        <v>-332636.28000000003</v>
      </c>
      <c r="F28" s="70">
        <f>D28+E28</f>
        <v>479148.67000000004</v>
      </c>
      <c r="G28" s="78">
        <f>E28/D28</f>
        <v>-0.40975911169577606</v>
      </c>
    </row>
    <row r="29" spans="1:12" x14ac:dyDescent="0.35">
      <c r="A29" s="6">
        <f>A28+1</f>
        <v>15</v>
      </c>
      <c r="B29" s="8" t="s">
        <v>73</v>
      </c>
      <c r="C29" s="6">
        <v>12</v>
      </c>
      <c r="D29" s="70">
        <f>'Sch 12-Dividend Income'!C16</f>
        <v>4532992.25</v>
      </c>
      <c r="E29" s="70">
        <f>'Sch 12-Dividend Income'!D16</f>
        <v>-32322.799999999945</v>
      </c>
      <c r="F29" s="70">
        <f>D29+E29</f>
        <v>4500669.45</v>
      </c>
      <c r="G29" s="78">
        <f>E29/D29</f>
        <v>-7.1305659082033382E-3</v>
      </c>
    </row>
    <row r="30" spans="1:12" x14ac:dyDescent="0.35">
      <c r="A30" s="6">
        <v>16</v>
      </c>
      <c r="B30" s="8" t="s">
        <v>113</v>
      </c>
      <c r="C30" s="6">
        <v>13</v>
      </c>
      <c r="D30" s="70">
        <f>'Sch13-Other Inc (Exp)'!C38-D31</f>
        <v>5094126.0299999993</v>
      </c>
      <c r="E30" s="70">
        <f>'Sch13-Other Inc (Exp)'!D38-E31</f>
        <v>-613077.02399999974</v>
      </c>
      <c r="F30" s="70">
        <f>D30+E30</f>
        <v>4481049.0059999991</v>
      </c>
      <c r="G30" s="78">
        <f>E30/D30</f>
        <v>-0.1203497951149041</v>
      </c>
      <c r="J30" s="87"/>
    </row>
    <row r="31" spans="1:12" x14ac:dyDescent="0.35">
      <c r="A31" s="6">
        <v>17</v>
      </c>
      <c r="B31" s="91" t="s">
        <v>454</v>
      </c>
      <c r="C31" s="6">
        <v>13</v>
      </c>
      <c r="D31" s="70">
        <f>SUM('Sch13-Other Inc (Exp)'!C30:C33)</f>
        <v>6778263.25</v>
      </c>
      <c r="E31" s="70">
        <f>SUM('Sch13-Other Inc (Exp)'!D30:D33)</f>
        <v>1287960.8742336049</v>
      </c>
      <c r="F31" s="70">
        <f>D31+E31</f>
        <v>8066224.1242336053</v>
      </c>
      <c r="G31" s="78">
        <f>E31/D31</f>
        <v>0.19001340413174495</v>
      </c>
      <c r="J31" s="58"/>
    </row>
    <row r="32" spans="1:12" x14ac:dyDescent="0.35">
      <c r="A32" s="6">
        <v>18</v>
      </c>
      <c r="B32" s="193" t="s">
        <v>200</v>
      </c>
      <c r="C32" s="14"/>
      <c r="D32" s="75">
        <f>SUM(D28:D31)</f>
        <v>17217166.48</v>
      </c>
      <c r="E32" s="75">
        <f>SUM(E28:E31)</f>
        <v>309924.77023360517</v>
      </c>
      <c r="F32" s="75">
        <f>SUM(F28:F31)</f>
        <v>17527091.250233606</v>
      </c>
      <c r="G32" s="79">
        <f>E32/D32</f>
        <v>1.800091615502606E-2</v>
      </c>
      <c r="J32" s="331"/>
      <c r="K32" s="58"/>
    </row>
    <row r="33" spans="1:22" x14ac:dyDescent="0.35">
      <c r="A33" s="6"/>
      <c r="C33" s="6"/>
      <c r="D33" s="74"/>
      <c r="E33" s="74"/>
      <c r="F33" s="74"/>
      <c r="G33" s="78"/>
    </row>
    <row r="34" spans="1:22" ht="16" thickBot="1" x14ac:dyDescent="0.4">
      <c r="A34" s="6">
        <f>1+A32</f>
        <v>19</v>
      </c>
      <c r="B34" s="26" t="s">
        <v>14</v>
      </c>
      <c r="C34" s="43"/>
      <c r="D34" s="77">
        <f>+D25-D32</f>
        <v>49420968.549999982</v>
      </c>
      <c r="E34" s="77">
        <f>+E25-E32</f>
        <v>5457370.8338721078</v>
      </c>
      <c r="F34" s="77">
        <f>+F25-F32</f>
        <v>54878339.383872107</v>
      </c>
      <c r="G34" s="81">
        <f>E34/D34</f>
        <v>0.11042622178379201</v>
      </c>
    </row>
    <row r="35" spans="1:22" ht="15" customHeight="1" x14ac:dyDescent="0.35">
      <c r="A35" s="6"/>
      <c r="B35" s="1"/>
      <c r="C35" s="6"/>
      <c r="D35" s="74"/>
      <c r="E35" s="74"/>
      <c r="F35" s="74"/>
      <c r="G35" s="78"/>
    </row>
    <row r="36" spans="1:22" x14ac:dyDescent="0.35">
      <c r="A36" s="6">
        <v>20</v>
      </c>
      <c r="B36" s="87" t="s">
        <v>81</v>
      </c>
      <c r="C36" s="6">
        <v>14</v>
      </c>
      <c r="D36" s="89">
        <f>+'Sch 14-Interest Expense'!C63</f>
        <v>3345010.6839999999</v>
      </c>
      <c r="E36" s="89">
        <f>+'Sch 14-Interest Expense'!D63</f>
        <v>-291448.59000000003</v>
      </c>
      <c r="F36" s="70">
        <f>+D36+E36</f>
        <v>3053562.094</v>
      </c>
      <c r="G36" s="78">
        <f>E36/D36</f>
        <v>-8.7129345025434318E-2</v>
      </c>
      <c r="K36" s="58"/>
    </row>
    <row r="37" spans="1:22" x14ac:dyDescent="0.35">
      <c r="A37" s="6"/>
      <c r="C37" s="6"/>
      <c r="D37" s="70"/>
      <c r="E37" s="70"/>
      <c r="F37" s="70"/>
      <c r="G37" s="82"/>
    </row>
    <row r="38" spans="1:22" ht="16" thickBot="1" x14ac:dyDescent="0.4">
      <c r="A38" s="6">
        <v>21</v>
      </c>
      <c r="B38" s="26" t="s">
        <v>15</v>
      </c>
      <c r="C38" s="27"/>
      <c r="D38" s="77">
        <f>+D34+D36</f>
        <v>52765979.233999982</v>
      </c>
      <c r="E38" s="77">
        <f>+E34+E36</f>
        <v>5165922.2438721079</v>
      </c>
      <c r="F38" s="77">
        <f>+F34+F36</f>
        <v>57931901.477872103</v>
      </c>
      <c r="G38" s="81">
        <f>E38/D38</f>
        <v>9.7902518229841251E-2</v>
      </c>
      <c r="J38" s="331"/>
    </row>
    <row r="39" spans="1:22" x14ac:dyDescent="0.35">
      <c r="A39" s="6"/>
      <c r="B39" s="1"/>
      <c r="C39" s="6"/>
      <c r="D39" s="74"/>
      <c r="E39" s="74"/>
      <c r="F39" s="74"/>
      <c r="G39" s="78"/>
      <c r="J39" s="58"/>
    </row>
    <row r="40" spans="1:22" x14ac:dyDescent="0.35">
      <c r="A40" s="6"/>
      <c r="B40" s="87" t="s">
        <v>16</v>
      </c>
      <c r="C40" s="6">
        <v>15</v>
      </c>
      <c r="D40" s="70">
        <f>'Sch 15-Revenue'!C17</f>
        <v>54016707.130000003</v>
      </c>
      <c r="E40" s="70">
        <f>+'Sch 15-Revenue'!D17</f>
        <v>3492688</v>
      </c>
      <c r="F40" s="70">
        <f>D40+E40</f>
        <v>57509395.130000003</v>
      </c>
      <c r="G40" s="78">
        <f>+E40/D40</f>
        <v>6.4659402351096254E-2</v>
      </c>
      <c r="K40" s="339"/>
    </row>
    <row r="41" spans="1:22" x14ac:dyDescent="0.35">
      <c r="A41" s="6"/>
      <c r="B41" s="87" t="s">
        <v>413</v>
      </c>
      <c r="D41" s="42"/>
      <c r="E41" s="42"/>
      <c r="F41" s="42">
        <f>F40*G41</f>
        <v>3476068.4418721069</v>
      </c>
      <c r="G41" s="355">
        <f>(((F36*2+F34)/F40)-1)</f>
        <v>6.0443488129451772E-2</v>
      </c>
      <c r="H41" s="356"/>
      <c r="I41" s="357"/>
      <c r="J41" s="357"/>
      <c r="K41" s="357"/>
      <c r="L41" s="357"/>
      <c r="M41" s="357"/>
      <c r="N41" s="357"/>
      <c r="O41" s="357"/>
      <c r="P41" s="357"/>
      <c r="Q41" s="357"/>
      <c r="R41" s="357"/>
      <c r="S41" s="357"/>
      <c r="T41" s="357"/>
      <c r="U41" s="357"/>
      <c r="V41" s="357"/>
    </row>
    <row r="42" spans="1:22" ht="16" thickBot="1" x14ac:dyDescent="0.4">
      <c r="A42" s="6"/>
      <c r="B42" s="15" t="s">
        <v>460</v>
      </c>
      <c r="C42" s="15"/>
      <c r="D42" s="16">
        <f>D40+D41-D38</f>
        <v>1250727.8960000202</v>
      </c>
      <c r="E42" s="16">
        <f>E40+E41-E38</f>
        <v>-1673234.2438721079</v>
      </c>
      <c r="F42" s="16">
        <f>F40+F41-F38</f>
        <v>3053562.0940000042</v>
      </c>
      <c r="G42" s="83"/>
    </row>
    <row r="43" spans="1:22" ht="18.649999999999999" customHeight="1" thickTop="1" x14ac:dyDescent="0.35">
      <c r="A43" s="6"/>
      <c r="B43" s="87" t="s">
        <v>405</v>
      </c>
      <c r="C43" s="87"/>
      <c r="D43" s="196">
        <f>+(D42+D36)/D36</f>
        <v>1.3739084906313024</v>
      </c>
      <c r="E43" s="87"/>
      <c r="F43" s="196">
        <f>(F42+F$36)/F$36</f>
        <v>2.0000000000000013</v>
      </c>
      <c r="H43" s="87"/>
      <c r="J43" s="63"/>
      <c r="K43" s="63"/>
    </row>
    <row r="44" spans="1:22" ht="18.649999999999999" customHeight="1" x14ac:dyDescent="0.35">
      <c r="A44" s="6"/>
      <c r="B44" s="87"/>
      <c r="C44" s="87"/>
      <c r="D44" s="196"/>
      <c r="E44" s="87"/>
      <c r="F44" s="196"/>
      <c r="H44" s="87"/>
    </row>
    <row r="45" spans="1:22" x14ac:dyDescent="0.35">
      <c r="B45" s="170"/>
      <c r="C45" s="87"/>
      <c r="D45" s="196"/>
      <c r="E45" s="87"/>
      <c r="F45" s="196"/>
      <c r="G45" s="87"/>
    </row>
    <row r="46" spans="1:22" x14ac:dyDescent="0.35">
      <c r="B46" s="170"/>
      <c r="C46" s="87"/>
      <c r="D46" s="196"/>
      <c r="E46" s="87"/>
      <c r="F46" s="196"/>
      <c r="G46" s="87"/>
    </row>
    <row r="47" spans="1:22" x14ac:dyDescent="0.35">
      <c r="B47" s="170"/>
      <c r="C47" s="87"/>
      <c r="D47" s="196"/>
      <c r="E47" s="96"/>
      <c r="F47" s="196"/>
      <c r="G47" s="87"/>
    </row>
    <row r="48" spans="1:22" x14ac:dyDescent="0.35">
      <c r="B48" s="170"/>
      <c r="C48" s="87"/>
      <c r="D48" s="196"/>
      <c r="E48" s="96"/>
      <c r="F48" s="196"/>
      <c r="G48" s="261"/>
      <c r="H48" s="87"/>
    </row>
    <row r="49" spans="2:7" x14ac:dyDescent="0.35">
      <c r="E49" s="96"/>
      <c r="F49" s="196"/>
      <c r="G49" s="87"/>
    </row>
    <row r="50" spans="2:7" x14ac:dyDescent="0.35">
      <c r="E50" s="58"/>
    </row>
    <row r="53" spans="2:7" x14ac:dyDescent="0.35">
      <c r="B53" s="87"/>
    </row>
  </sheetData>
  <mergeCells count="1">
    <mergeCell ref="K8:L8"/>
  </mergeCells>
  <phoneticPr fontId="0" type="noConversion"/>
  <printOptions horizontalCentered="1" verticalCentered="1"/>
  <pageMargins left="0.5" right="0.25" top="1" bottom="0.62" header="0.5" footer="0.33"/>
  <pageSetup scale="71" orientation="portrait" r:id="rId1"/>
  <headerFooter alignWithMargins="0">
    <oddFooter>&amp;R&amp;8&amp;Z&amp;F</oddFooter>
  </headerFooter>
  <rowBreaks count="1" manualBreakCount="1">
    <brk id="42" max="16383"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94"/>
  <sheetViews>
    <sheetView topLeftCell="A50" zoomScale="70" zoomScaleNormal="70" workbookViewId="0">
      <selection activeCell="D60" sqref="D60"/>
    </sheetView>
  </sheetViews>
  <sheetFormatPr defaultColWidth="8.921875" defaultRowHeight="15.5" x14ac:dyDescent="0.35"/>
  <cols>
    <col min="1" max="1" width="6.53515625" style="236" customWidth="1"/>
    <col min="2" max="2" width="8.07421875" style="2" customWidth="1"/>
    <col min="3" max="3" width="36.4609375" style="2" bestFit="1" customWidth="1"/>
    <col min="4" max="4" width="40.921875" style="2" bestFit="1" customWidth="1"/>
    <col min="5" max="5" width="8.921875" style="2"/>
    <col min="6" max="6" width="14.07421875" style="2" bestFit="1" customWidth="1"/>
    <col min="7" max="7" width="9.921875" style="2" hidden="1" customWidth="1"/>
    <col min="8" max="8" width="83.07421875" style="250" customWidth="1"/>
    <col min="9" max="16384" width="8.921875" style="2"/>
  </cols>
  <sheetData>
    <row r="1" spans="1:12" x14ac:dyDescent="0.35">
      <c r="A1" s="243" t="s">
        <v>104</v>
      </c>
      <c r="B1" s="10"/>
      <c r="H1" s="249" t="s">
        <v>170</v>
      </c>
    </row>
    <row r="2" spans="1:12" x14ac:dyDescent="0.35">
      <c r="A2" s="242" t="s">
        <v>170</v>
      </c>
      <c r="B2" s="1"/>
      <c r="F2" s="63"/>
    </row>
    <row r="3" spans="1:12" x14ac:dyDescent="0.35">
      <c r="A3" s="244" t="str">
        <f>+'COS Summary'!A2</f>
        <v>For the Test Year Ended June 30, 2024</v>
      </c>
      <c r="B3" s="86"/>
      <c r="F3" s="63"/>
    </row>
    <row r="5" spans="1:12" ht="16" thickBot="1" x14ac:dyDescent="0.4">
      <c r="A5" s="245" t="s">
        <v>171</v>
      </c>
      <c r="B5" s="23" t="s">
        <v>17</v>
      </c>
      <c r="C5" s="23"/>
      <c r="D5" s="23" t="s">
        <v>1</v>
      </c>
      <c r="E5" s="23" t="s">
        <v>172</v>
      </c>
      <c r="F5" s="23" t="s">
        <v>173</v>
      </c>
      <c r="G5" s="23" t="s">
        <v>204</v>
      </c>
      <c r="H5" s="251" t="s">
        <v>174</v>
      </c>
    </row>
    <row r="6" spans="1:12" s="236" customFormat="1" ht="49.4" customHeight="1" x14ac:dyDescent="0.35">
      <c r="A6" s="285">
        <v>1</v>
      </c>
      <c r="B6" s="285">
        <f>+'Sch 1-Fuel'!A14</f>
        <v>501</v>
      </c>
      <c r="C6" s="286" t="str">
        <f>+'Sch 1-Fuel'!A6</f>
        <v>Power Production Expense - Fuel</v>
      </c>
      <c r="D6" s="286" t="str">
        <f>+'Sch 1-Fuel'!B14</f>
        <v>Fuel - Wood</v>
      </c>
      <c r="E6" s="286" t="s">
        <v>177</v>
      </c>
      <c r="F6" s="254">
        <f>+'Sch 1-Fuel'!D14</f>
        <v>275056</v>
      </c>
      <c r="G6" s="235">
        <v>2</v>
      </c>
      <c r="H6" s="287" t="str">
        <f>+'Sch 1-Fuel'!B25</f>
        <v>McNeil (wood only) costs are using the most recent contracted price. Decreased costs in Rate Year. Used 12 months-ending-May 2025 production.</v>
      </c>
    </row>
    <row r="7" spans="1:12" s="236" customFormat="1" x14ac:dyDescent="0.35">
      <c r="A7" s="285">
        <f>A6+1</f>
        <v>2</v>
      </c>
      <c r="B7" s="285">
        <f>'Sch 1-Fuel'!A15</f>
        <v>501</v>
      </c>
      <c r="C7" s="286" t="str">
        <f>+'Sch 1-Fuel'!A6</f>
        <v>Power Production Expense - Fuel</v>
      </c>
      <c r="D7" s="286" t="str">
        <f>+'Sch 1-Fuel'!B15</f>
        <v>Fuel - Other</v>
      </c>
      <c r="E7" s="286" t="s">
        <v>177</v>
      </c>
      <c r="F7" s="254">
        <f>'Sch 1-Fuel'!D15</f>
        <v>2639</v>
      </c>
      <c r="G7" s="235"/>
      <c r="H7" s="287" t="str">
        <f>'Sch 1-Fuel'!B26</f>
        <v>Yardworker positions not filled for entirety of Test Year are now filled.</v>
      </c>
    </row>
    <row r="8" spans="1:12" ht="33.65" customHeight="1" x14ac:dyDescent="0.35">
      <c r="A8" s="285">
        <f t="shared" ref="A8:A56" si="0">A7+1</f>
        <v>3</v>
      </c>
      <c r="B8" s="285">
        <f>+'Sch 1-Fuel'!A19</f>
        <v>547</v>
      </c>
      <c r="C8" s="286" t="str">
        <f>+'Sch 1-Fuel'!A6</f>
        <v>Power Production Expense - Fuel</v>
      </c>
      <c r="D8" s="286" t="str">
        <f>+'Sch 1-Fuel'!B19</f>
        <v>GT Fuel - Oil</v>
      </c>
      <c r="E8" s="109" t="s">
        <v>177</v>
      </c>
      <c r="F8" s="254">
        <f>+'Sch 1-Fuel'!D20</f>
        <v>-200987</v>
      </c>
      <c r="G8" s="69"/>
      <c r="H8" s="287" t="str">
        <f>'Sch 1-Fuel'!B27</f>
        <v>GT fuel costs are using most recent fuel purchase price (12/4/24). Production is based on historical averages from 2006 to 3/31/25. Decreased costs in Rate Year.</v>
      </c>
    </row>
    <row r="9" spans="1:12" ht="15.9" customHeight="1" x14ac:dyDescent="0.35">
      <c r="A9" s="285">
        <f>+A8+1</f>
        <v>4</v>
      </c>
      <c r="B9" s="285">
        <f>+'Sch 2-Production'!A13</f>
        <v>500</v>
      </c>
      <c r="C9" s="286" t="str">
        <f>+'Sch 1-Fuel'!A6</f>
        <v>Power Production Expense - Fuel</v>
      </c>
      <c r="D9" s="286" t="str">
        <f>+'Sch 2-Production'!B13</f>
        <v>Supervision &amp; Engineering</v>
      </c>
      <c r="E9" s="109" t="s">
        <v>177</v>
      </c>
      <c r="F9" s="254">
        <f>+'Sch 2-Production'!D13</f>
        <v>181716</v>
      </c>
      <c r="G9" s="69"/>
      <c r="H9" s="338" t="str">
        <f>+'Sch 2-Production'!B72</f>
        <v>Net effect of new Associate Generation Engineer position now being filled and employee turnover in Director of Generation positions.</v>
      </c>
    </row>
    <row r="10" spans="1:12" s="236" customFormat="1" x14ac:dyDescent="0.35">
      <c r="A10" s="285">
        <f>+A9+1</f>
        <v>5</v>
      </c>
      <c r="B10" s="285">
        <f>+'Sch 2-Production'!A14</f>
        <v>502</v>
      </c>
      <c r="C10" s="286" t="str">
        <f>'Sch 2-Production'!A6</f>
        <v>Power Production Expense - Except Fuel</v>
      </c>
      <c r="D10" s="286" t="str">
        <f>'Sch 2-Production'!B13</f>
        <v>Supervision &amp; Engineering</v>
      </c>
      <c r="E10" s="286" t="s">
        <v>177</v>
      </c>
      <c r="F10" s="254">
        <f>+'Sch 2-Production'!D14</f>
        <v>88990</v>
      </c>
      <c r="G10" s="85"/>
      <c r="H10" s="287" t="str">
        <f>+'Sch 2-Production'!B73</f>
        <v>Auxiliary Operator positions not filled for entirety of Test Year are now filled.</v>
      </c>
      <c r="I10" s="2"/>
      <c r="J10" s="2"/>
      <c r="K10" s="2"/>
      <c r="L10" s="2"/>
    </row>
    <row r="11" spans="1:12" x14ac:dyDescent="0.35">
      <c r="A11" s="285">
        <f t="shared" si="0"/>
        <v>6</v>
      </c>
      <c r="B11" s="285">
        <f>+'Sch 2-Production'!A15</f>
        <v>505</v>
      </c>
      <c r="C11" s="286" t="str">
        <f>+'Sch 2-Production'!A6</f>
        <v>Power Production Expense - Except Fuel</v>
      </c>
      <c r="D11" s="109" t="s">
        <v>376</v>
      </c>
      <c r="E11" s="286" t="s">
        <v>177</v>
      </c>
      <c r="F11" s="254">
        <f>+'Sch 2-Production'!D15</f>
        <v>347</v>
      </c>
      <c r="G11" s="85"/>
      <c r="H11" s="287" t="str">
        <f>+'Sch 2-Production'!B74</f>
        <v>Station Operator turnover.</v>
      </c>
    </row>
    <row r="12" spans="1:12" ht="31" x14ac:dyDescent="0.35">
      <c r="A12" s="285">
        <f t="shared" si="0"/>
        <v>7</v>
      </c>
      <c r="B12" s="285">
        <f>+'Sch 2-Production'!A20</f>
        <v>510</v>
      </c>
      <c r="C12" s="286" t="str">
        <f>'Sch 2-Production'!A6</f>
        <v>Power Production Expense - Except Fuel</v>
      </c>
      <c r="D12" s="109" t="str">
        <f>'Sch 2-Production'!B47</f>
        <v>Supervision &amp; Engineering</v>
      </c>
      <c r="E12" s="286" t="s">
        <v>177</v>
      </c>
      <c r="F12" s="254">
        <f>+'Sch 2-Production'!D20</f>
        <v>37933</v>
      </c>
      <c r="G12" s="85"/>
      <c r="H12" s="287" t="str">
        <f>+'Sch 2-Production'!B75</f>
        <v>Supervisor of Plant Maintenance position not filled for entirety of Test Year. Position was converted to Working Crew Leader General Maintenance and is now filled.</v>
      </c>
    </row>
    <row r="13" spans="1:12" ht="46.5" x14ac:dyDescent="0.35">
      <c r="A13" s="285">
        <f t="shared" si="0"/>
        <v>8</v>
      </c>
      <c r="B13" s="285">
        <f>+'Sch 2-Production'!A22</f>
        <v>512</v>
      </c>
      <c r="C13" s="286" t="str">
        <f>'Sch 2-Production'!A6</f>
        <v>Power Production Expense - Except Fuel</v>
      </c>
      <c r="D13" s="109" t="str">
        <f>+'Sch 2-Production'!B22</f>
        <v>Boiler Plant</v>
      </c>
      <c r="E13" s="286" t="s">
        <v>177</v>
      </c>
      <c r="F13" s="254">
        <f>+'Sch 2-Production'!D22</f>
        <v>10104.8135</v>
      </c>
      <c r="G13" s="85"/>
      <c r="H13" s="287" t="str">
        <f>+'Sch 2-Production'!B76</f>
        <v>Requested regulatory accounting treatment to amortize McNeil Fuel Oil Tank Cleaning &amp; Inspection over 10 years, FY25-FY35. Mechanic 1st Class B position not filled for entirety of Test Year filled, $5,280.</v>
      </c>
    </row>
    <row r="14" spans="1:12" ht="31" x14ac:dyDescent="0.35">
      <c r="A14" s="285">
        <f t="shared" si="0"/>
        <v>9</v>
      </c>
      <c r="B14" s="285">
        <f>+'Sch 2-Production'!A23</f>
        <v>513</v>
      </c>
      <c r="C14" s="286" t="str">
        <f>'Sch 2-Production'!A6</f>
        <v>Power Production Expense - Except Fuel</v>
      </c>
      <c r="D14" s="109" t="str">
        <f>+'Sch 2-Production'!B23</f>
        <v>Electric Plant</v>
      </c>
      <c r="E14" s="109" t="s">
        <v>177</v>
      </c>
      <c r="F14" s="254">
        <f>+'Sch 2-Production'!D23</f>
        <v>108876</v>
      </c>
      <c r="G14" s="85"/>
      <c r="H14" s="287" t="str">
        <f>+'Sch 2-Production'!B77</f>
        <v>Generation Generalist and Electrician position turnover and Generation Technician position vacant during the Test Year is now filled.</v>
      </c>
    </row>
    <row r="15" spans="1:12" x14ac:dyDescent="0.35">
      <c r="A15" s="285">
        <f t="shared" si="0"/>
        <v>10</v>
      </c>
      <c r="B15" s="285">
        <f>+'Sch 2-Production'!A47</f>
        <v>535</v>
      </c>
      <c r="C15" s="286" t="str">
        <f>+'Sch 2-Production'!A6</f>
        <v>Power Production Expense - Except Fuel</v>
      </c>
      <c r="D15" s="109" t="str">
        <f>+'Sch 2-Production'!B47</f>
        <v>Supervision &amp; Engineering</v>
      </c>
      <c r="E15" s="109" t="s">
        <v>177</v>
      </c>
      <c r="F15" s="254">
        <f>+'Sch 2-Production'!D47</f>
        <v>-124009</v>
      </c>
      <c r="G15" s="85"/>
      <c r="H15" s="287" t="str">
        <f>+'Sch 2-Production'!B78</f>
        <v>Hydro Generation Technician II position filled for entirety of Test Year is currently vacant.</v>
      </c>
    </row>
    <row r="16" spans="1:12" ht="62" x14ac:dyDescent="0.35">
      <c r="A16" s="285">
        <f>+A15+1</f>
        <v>11</v>
      </c>
      <c r="B16" s="285">
        <v>555</v>
      </c>
      <c r="C16" s="109" t="str">
        <f>+'Sch 3-Purchased Power'!A6</f>
        <v>Purchased Power Expense</v>
      </c>
      <c r="D16" s="109" t="str">
        <f>+'Sch 3-Purchased Power'!B11</f>
        <v>Capacity</v>
      </c>
      <c r="E16" s="286" t="s">
        <v>177</v>
      </c>
      <c r="F16" s="254">
        <f>+'Sch 3-Purchased Power'!D13</f>
        <v>-302197.4614138382</v>
      </c>
      <c r="G16" s="69">
        <v>3</v>
      </c>
      <c r="H16" s="287" t="str">
        <f>'Sch 3-Purchased Power'!B57</f>
        <v xml:space="preserve">Prices are based on clearing prices in FCAs 16 and 17. ISO-NE Exchange Capacity Load Obligation is based on the calculated obligation given our Summer 2024 peak. Capacity produced is based on the amounts cleared in FCAs 16 and 17. No reconfiguration auction activity is assumed. </v>
      </c>
    </row>
    <row r="17" spans="1:8" x14ac:dyDescent="0.35">
      <c r="A17" s="285">
        <f t="shared" si="0"/>
        <v>12</v>
      </c>
      <c r="B17" s="285">
        <v>555</v>
      </c>
      <c r="C17" s="109" t="str">
        <f>+'Sch 3-Purchased Power'!A6</f>
        <v>Purchased Power Expense</v>
      </c>
      <c r="D17" s="109" t="str">
        <f>+'Sch 3-Purchased Power'!B11</f>
        <v>Capacity</v>
      </c>
      <c r="E17" s="286" t="s">
        <v>177</v>
      </c>
      <c r="F17" s="254">
        <f>+'Sch 3-Purchased Power'!D14</f>
        <v>-9169.982799999998</v>
      </c>
      <c r="G17" s="69">
        <v>3</v>
      </c>
      <c r="H17" s="287" t="str">
        <f>'Sch 3-Purchased Power'!B58</f>
        <v>Prices and capacity produced are based on clearing prices and amounts in FCAs 16 and 17.</v>
      </c>
    </row>
    <row r="18" spans="1:8" ht="20.399999999999999" customHeight="1" x14ac:dyDescent="0.35">
      <c r="A18" s="285">
        <f t="shared" si="0"/>
        <v>13</v>
      </c>
      <c r="B18" s="285">
        <v>555</v>
      </c>
      <c r="C18" s="109" t="str">
        <f>+'Sch 3-Purchased Power'!A6</f>
        <v>Purchased Power Expense</v>
      </c>
      <c r="D18" s="109" t="str">
        <f>+'Sch 3-Purchased Power'!B11</f>
        <v>Capacity</v>
      </c>
      <c r="E18" s="286" t="s">
        <v>177</v>
      </c>
      <c r="F18" s="254">
        <f>+'Sch 3-Purchased Power'!D15</f>
        <v>1211.6099999999999</v>
      </c>
      <c r="G18" s="69">
        <v>3</v>
      </c>
      <c r="H18" s="287" t="str">
        <f>'Sch 3-Purchased Power'!B59</f>
        <v>No Pay for Performance assumed in Rate Year.</v>
      </c>
    </row>
    <row r="19" spans="1:8" ht="45" customHeight="1" x14ac:dyDescent="0.35">
      <c r="A19" s="285">
        <f t="shared" si="0"/>
        <v>14</v>
      </c>
      <c r="B19" s="285">
        <v>555</v>
      </c>
      <c r="C19" s="109" t="str">
        <f>+'Sch 3-Purchased Power'!A6</f>
        <v>Purchased Power Expense</v>
      </c>
      <c r="D19" s="286" t="str">
        <f>+'Sch 3-Purchased Power'!$B$18</f>
        <v>Energy</v>
      </c>
      <c r="E19" s="286" t="s">
        <v>177</v>
      </c>
      <c r="F19" s="254">
        <f>+'Sch 3-Purchased Power'!D21</f>
        <v>548534.43046702957</v>
      </c>
      <c r="G19" s="69"/>
      <c r="H19" s="287" t="str">
        <f>'Sch 3-Purchased Power'!B60</f>
        <v>Prices are based on the contract rate. Production is based on the historical average production for the period 11/1/11-5/31/25. Test Year production was 25,641 MWh. Rate Year production assumed to be 31,247 MWh based on historical average. Includes congestion true-up.</v>
      </c>
    </row>
    <row r="20" spans="1:8" ht="77.5" x14ac:dyDescent="0.35">
      <c r="A20" s="285">
        <f t="shared" si="0"/>
        <v>15</v>
      </c>
      <c r="B20" s="285">
        <v>555</v>
      </c>
      <c r="C20" s="286" t="str">
        <f>+'Sch 3-Purchased Power'!$A$6</f>
        <v>Purchased Power Expense</v>
      </c>
      <c r="D20" s="286" t="str">
        <f>+'Sch 3-Purchased Power'!$B$18</f>
        <v>Energy</v>
      </c>
      <c r="E20" s="286" t="s">
        <v>177</v>
      </c>
      <c r="F20" s="254">
        <f>+'Sch 3-Purchased Power'!D22</f>
        <v>403117.73619230883</v>
      </c>
      <c r="G20" s="69"/>
      <c r="H20" s="287" t="str">
        <f>'Sch 3-Purchased Power'!B61</f>
        <v>Prices are based on the contract rate. Production is based on the historical average production for the period 1/1/13-5/31/25. Given the seasonality of production and January price increase, the corresponding months in the Test Year and Rate Year are used (i.e., July 2023 corresponds to July 2026, while August 2023 corresponds to August 2025). Test Year production was 26,076 MWh. Rate Year production assumed to be 28,210 MWh based on historical average.</v>
      </c>
    </row>
    <row r="21" spans="1:8" ht="77.5" x14ac:dyDescent="0.35">
      <c r="A21" s="285">
        <f t="shared" si="0"/>
        <v>16</v>
      </c>
      <c r="B21" s="285">
        <v>555</v>
      </c>
      <c r="C21" s="286" t="str">
        <f>+'Sch 3-Purchased Power'!$A$6</f>
        <v>Purchased Power Expense</v>
      </c>
      <c r="D21" s="286" t="str">
        <f>+'Sch 3-Purchased Power'!$B$18</f>
        <v>Energy</v>
      </c>
      <c r="E21" s="286" t="s">
        <v>177</v>
      </c>
      <c r="F21" s="254">
        <f>+'Sch 3-Purchased Power'!D24</f>
        <v>616938.10381112713</v>
      </c>
      <c r="G21" s="69"/>
      <c r="H21" s="287" t="str">
        <f>'Sch 3-Purchased Power'!B62</f>
        <v>Prices are based on six-month weighted average forward energy price settlement. Individual contract resource volume assumptions are as noted under that resource. Load is the Test Year load. Given the seasonality of production and prices, the corresponding months in the Test Year and Rate Year are used (i.e., July 2023 corresponds to July 2026, while August 2023 corresponds to August 2025).</v>
      </c>
    </row>
    <row r="22" spans="1:8" x14ac:dyDescent="0.35">
      <c r="A22" s="285">
        <f t="shared" si="0"/>
        <v>17</v>
      </c>
      <c r="B22" s="285">
        <v>555</v>
      </c>
      <c r="C22" s="286" t="str">
        <f>+'Sch 3-Purchased Power'!$A$6</f>
        <v>Purchased Power Expense</v>
      </c>
      <c r="D22" s="286" t="str">
        <f>+'Sch 3-Purchased Power'!$B$18</f>
        <v>Energy</v>
      </c>
      <c r="E22" s="109" t="s">
        <v>177</v>
      </c>
      <c r="F22" s="254">
        <f>+'Sch 3-Purchased Power'!D25</f>
        <v>0</v>
      </c>
      <c r="G22" s="69"/>
      <c r="H22" s="287" t="str">
        <f>'Sch 3-Purchased Power'!B63</f>
        <v>No changes assumed.</v>
      </c>
    </row>
    <row r="23" spans="1:8" ht="15" customHeight="1" x14ac:dyDescent="0.35">
      <c r="A23" s="285">
        <f t="shared" si="0"/>
        <v>18</v>
      </c>
      <c r="B23" s="285">
        <v>555</v>
      </c>
      <c r="C23" s="286" t="str">
        <f>+'Sch 3-Purchased Power'!$A$6</f>
        <v>Purchased Power Expense</v>
      </c>
      <c r="D23" s="286" t="str">
        <f>+'Sch 3-Purchased Power'!$B$18</f>
        <v>Energy</v>
      </c>
      <c r="E23" s="286" t="s">
        <v>177</v>
      </c>
      <c r="F23" s="254">
        <f>+'Sch 3-Purchased Power'!D27</f>
        <v>-60688.799999999814</v>
      </c>
      <c r="G23" s="69"/>
      <c r="H23" s="287" t="str">
        <f>'Sch 3-Purchased Power'!B64</f>
        <v>Current Price for entire period. No production change.</v>
      </c>
    </row>
    <row r="24" spans="1:8" ht="45" customHeight="1" x14ac:dyDescent="0.35">
      <c r="A24" s="285">
        <f t="shared" si="0"/>
        <v>19</v>
      </c>
      <c r="B24" s="285">
        <v>555</v>
      </c>
      <c r="C24" s="286" t="str">
        <f>+'Sch 3-Purchased Power'!$A$6</f>
        <v>Purchased Power Expense</v>
      </c>
      <c r="D24" s="286" t="str">
        <f>+'Sch 3-Purchased Power'!$B$18</f>
        <v>Energy</v>
      </c>
      <c r="E24" s="286" t="s">
        <v>177</v>
      </c>
      <c r="F24" s="254">
        <f>+'Sch 3-Purchased Power'!D28</f>
        <v>433927.75752635719</v>
      </c>
      <c r="G24" s="69"/>
      <c r="H24" s="287" t="str">
        <f>'Sch 3-Purchased Power'!B65</f>
        <v>No contract rate changes. Test Year production was 29,276 MWh. Rate Year production assumed to be 34,045 MWh based on average production from 1/1/17-5/31/25.</v>
      </c>
    </row>
    <row r="25" spans="1:8" ht="30" customHeight="1" x14ac:dyDescent="0.35">
      <c r="A25" s="285">
        <f t="shared" si="0"/>
        <v>20</v>
      </c>
      <c r="B25" s="285">
        <v>555</v>
      </c>
      <c r="C25" s="286" t="str">
        <f>+'Sch 3-Purchased Power'!$A$6</f>
        <v>Purchased Power Expense</v>
      </c>
      <c r="D25" s="286" t="str">
        <f>+'Sch 3-Purchased Power'!$B$18</f>
        <v>Energy</v>
      </c>
      <c r="E25" s="286" t="s">
        <v>177</v>
      </c>
      <c r="F25" s="254">
        <f>+'Sch 3-Purchased Power'!D29</f>
        <v>-2164831.2000000002</v>
      </c>
      <c r="G25" s="69"/>
      <c r="H25" s="287" t="str">
        <f>'Sch 3-Purchased Power'!B66</f>
        <v>Contract expired 12/31/24.</v>
      </c>
    </row>
    <row r="26" spans="1:8" ht="30" customHeight="1" x14ac:dyDescent="0.35">
      <c r="A26" s="285">
        <f t="shared" si="0"/>
        <v>21</v>
      </c>
      <c r="B26" s="285">
        <v>555</v>
      </c>
      <c r="C26" s="286" t="str">
        <f>+'Sch 3-Purchased Power'!$A$6</f>
        <v>Purchased Power Expense</v>
      </c>
      <c r="D26" s="286" t="str">
        <f>+'Sch 3-Purchased Power'!$B$18</f>
        <v>Energy</v>
      </c>
      <c r="E26" s="286" t="s">
        <v>177</v>
      </c>
      <c r="F26" s="254">
        <f>+'Sch 3-Purchased Power'!D30</f>
        <v>825578.03999999992</v>
      </c>
      <c r="G26" s="69"/>
      <c r="H26" s="287" t="str">
        <f>'Sch 3-Purchased Power'!B67</f>
        <v>Contracted from 7/1/24 (no Test Year production) to 12/31/25. 11,046 MWh based on FirstLight forecast based on 50-year history.</v>
      </c>
    </row>
    <row r="27" spans="1:8" x14ac:dyDescent="0.35">
      <c r="A27" s="285">
        <f t="shared" si="0"/>
        <v>22</v>
      </c>
      <c r="B27" s="285">
        <v>555</v>
      </c>
      <c r="C27" s="286" t="str">
        <f>+'Sch 3-Purchased Power'!$A$6</f>
        <v>Purchased Power Expense</v>
      </c>
      <c r="D27" s="286" t="str">
        <f>+'Sch 3-Purchased Power'!$B$33</f>
        <v>Ancillary</v>
      </c>
      <c r="E27" s="286" t="s">
        <v>177</v>
      </c>
      <c r="F27" s="254">
        <f>+'Sch 3-Purchased Power'!D35</f>
        <v>273200.24306877231</v>
      </c>
      <c r="G27" s="69"/>
      <c r="H27" s="287" t="str">
        <f>'Sch 3-Purchased Power'!B68</f>
        <v>FER and EIR impacts from pro-rated experience from 3/1/25-6/2/25.</v>
      </c>
    </row>
    <row r="28" spans="1:8" x14ac:dyDescent="0.35">
      <c r="A28" s="285">
        <f t="shared" si="0"/>
        <v>23</v>
      </c>
      <c r="B28" s="285">
        <v>555</v>
      </c>
      <c r="C28" s="286" t="str">
        <f>+'Sch 3-Purchased Power'!$A$6</f>
        <v>Purchased Power Expense</v>
      </c>
      <c r="D28" s="286" t="str">
        <f>+'Sch 3-Purchased Power'!B36</f>
        <v>ISO-NE Winter Reliability Program</v>
      </c>
      <c r="E28" s="286" t="s">
        <v>177</v>
      </c>
      <c r="F28" s="254">
        <f>+'Sch 3-Purchased Power'!D36</f>
        <v>-206098.68</v>
      </c>
      <c r="G28" s="69"/>
      <c r="H28" s="287"/>
    </row>
    <row r="29" spans="1:8" ht="15" customHeight="1" x14ac:dyDescent="0.35">
      <c r="A29" s="285">
        <f t="shared" si="0"/>
        <v>24</v>
      </c>
      <c r="B29" s="285">
        <v>555</v>
      </c>
      <c r="C29" s="286" t="str">
        <f>+'Sch 3-Purchased Power'!$A$6</f>
        <v>Purchased Power Expense</v>
      </c>
      <c r="D29" s="286" t="str">
        <f>+'Sch 3-Purchased Power'!B44</f>
        <v>Tier 1 RES Compliance Expense</v>
      </c>
      <c r="E29" s="286" t="s">
        <v>177</v>
      </c>
      <c r="F29" s="254">
        <f>+'Sch 3-Purchased Power'!D44</f>
        <v>650078.20663386339</v>
      </c>
      <c r="G29" s="69"/>
      <c r="H29" s="287" t="str">
        <f>+'Sch 3-Purchased Power'!B69</f>
        <v>Current Inventory plus contracted RECs plus remainder at market prices.</v>
      </c>
    </row>
    <row r="30" spans="1:8" ht="15" customHeight="1" x14ac:dyDescent="0.35">
      <c r="A30" s="285">
        <f t="shared" si="0"/>
        <v>25</v>
      </c>
      <c r="B30" s="285">
        <v>555</v>
      </c>
      <c r="C30" s="286" t="str">
        <f>+'Sch 3-Purchased Power'!$A$6</f>
        <v>Purchased Power Expense</v>
      </c>
      <c r="D30" s="286" t="str">
        <f>+'Sch 3-Purchased Power'!B45</f>
        <v>Tier 5 RES Compliance Expense</v>
      </c>
      <c r="E30" s="286" t="s">
        <v>177</v>
      </c>
      <c r="F30" s="254">
        <f>+'Sch 3-Purchased Power'!D45</f>
        <v>32454.316550249951</v>
      </c>
      <c r="G30" s="69"/>
      <c r="H30" s="287"/>
    </row>
    <row r="31" spans="1:8" ht="33" customHeight="1" x14ac:dyDescent="0.35">
      <c r="A31" s="285">
        <f t="shared" si="0"/>
        <v>26</v>
      </c>
      <c r="B31" s="285">
        <v>555</v>
      </c>
      <c r="C31" s="286" t="str">
        <f>+'Sch 3-Purchased Power'!$A$6</f>
        <v>Purchased Power Expense</v>
      </c>
      <c r="D31" s="286" t="str">
        <f>+'Sch 3-Purchased Power'!B46</f>
        <v>ISO NE Exchange</v>
      </c>
      <c r="E31" s="286" t="s">
        <v>177</v>
      </c>
      <c r="F31" s="254">
        <f>+'Sch 3-Purchased Power'!D46</f>
        <v>35157.420474027254</v>
      </c>
      <c r="G31" s="69"/>
      <c r="H31" s="287" t="str">
        <f>+'Sch 3-Purchased Power'!B70</f>
        <v>Current rates for schedules 1 and 5.</v>
      </c>
    </row>
    <row r="32" spans="1:8" s="289" customFormat="1" ht="31" x14ac:dyDescent="0.35">
      <c r="A32" s="285">
        <f t="shared" si="0"/>
        <v>27</v>
      </c>
      <c r="B32" s="285">
        <f>+'Sch 4-Transmission'!A$20</f>
        <v>565</v>
      </c>
      <c r="C32" s="286" t="str">
        <f>+'Sch 4-Transmission'!A$6</f>
        <v>Transmission Expense</v>
      </c>
      <c r="D32" s="286" t="str">
        <f>+'Sch 4-Transmission'!B$19</f>
        <v>Transmission by Others</v>
      </c>
      <c r="E32" s="286" t="s">
        <v>177</v>
      </c>
      <c r="F32" s="254">
        <f>+'Sch 4-Transmission'!D20</f>
        <v>1810911.6763728354</v>
      </c>
      <c r="G32" s="85"/>
      <c r="H32" s="287" t="str">
        <f>'Sch 4-Transmission'!B34</f>
        <v>Current Schedule 1 rates are used through Rate Year. Current Schedule 9 rates are used through December 2025 and Forecast for 2026. The Test Year Network Loads are used.</v>
      </c>
    </row>
    <row r="33" spans="1:13" s="289" customFormat="1" ht="48" customHeight="1" x14ac:dyDescent="0.35">
      <c r="A33" s="285">
        <f t="shared" si="0"/>
        <v>28</v>
      </c>
      <c r="B33" s="285">
        <f>+'Sch 4-Transmission'!A$20</f>
        <v>565</v>
      </c>
      <c r="C33" s="286" t="str">
        <f>+'Sch 4-Transmission'!A$6</f>
        <v>Transmission Expense</v>
      </c>
      <c r="D33" s="286" t="str">
        <f>+'Sch 4-Transmission'!B$19</f>
        <v>Transmission by Others</v>
      </c>
      <c r="E33" s="286" t="s">
        <v>177</v>
      </c>
      <c r="F33" s="254">
        <f>+'Sch 4-Transmission'!D21</f>
        <v>404280.86021581967</v>
      </c>
      <c r="G33" s="85"/>
      <c r="H33" s="287" t="str">
        <f>'Sch 4-Transmission'!B35</f>
        <v>VELCO’s common and BED’s Specific Facilities charges are from the most recent forecast ("Actuals through February 2025") of common charges prepared by VELCO. BED’s share of charges from the Test Year is used for each month of the Rate Year.</v>
      </c>
    </row>
    <row r="34" spans="1:13" s="289" customFormat="1" ht="31" x14ac:dyDescent="0.35">
      <c r="A34" s="285">
        <f t="shared" si="0"/>
        <v>29</v>
      </c>
      <c r="B34" s="285">
        <f>+'Sch 4-Transmission'!A$20</f>
        <v>565</v>
      </c>
      <c r="C34" s="286" t="str">
        <f>+'Sch 4-Transmission'!A$6</f>
        <v>Transmission Expense</v>
      </c>
      <c r="D34" s="286" t="str">
        <f>+'Sch 4-Transmission'!B$19</f>
        <v>Transmission by Others</v>
      </c>
      <c r="E34" s="286" t="s">
        <v>177</v>
      </c>
      <c r="F34" s="254">
        <f>+'Sch 4-Transmission'!D23</f>
        <v>6003.8147030563878</v>
      </c>
      <c r="G34" s="85"/>
      <c r="H34" s="287" t="str">
        <f>'Sch 4-Transmission'!B36</f>
        <v>Current rate is assumed. BED’s share of those rates is based on our share during the Test Year.</v>
      </c>
    </row>
    <row r="35" spans="1:13" s="289" customFormat="1" x14ac:dyDescent="0.35">
      <c r="A35" s="285">
        <f t="shared" si="0"/>
        <v>30</v>
      </c>
      <c r="B35" s="285">
        <f>+'Sch 4-Transmission'!A$20</f>
        <v>565</v>
      </c>
      <c r="C35" s="286" t="str">
        <f>+'Sch 4-Transmission'!A$6</f>
        <v>Transmission Expense</v>
      </c>
      <c r="D35" s="286" t="str">
        <f>+'Sch 4-Transmission'!B$19</f>
        <v>Transmission by Others</v>
      </c>
      <c r="E35" s="286" t="s">
        <v>177</v>
      </c>
      <c r="F35" s="38">
        <f>+'Sch 4-Transmission'!D24</f>
        <v>49800</v>
      </c>
      <c r="G35" s="85"/>
      <c r="H35" s="287" t="str">
        <f>'Sch 4-Transmission'!B37</f>
        <v>Current rate is assumed. Reservation is 10MW Firm.</v>
      </c>
    </row>
    <row r="36" spans="1:13" s="236" customFormat="1" ht="93" x14ac:dyDescent="0.35">
      <c r="A36" s="285">
        <f t="shared" si="0"/>
        <v>31</v>
      </c>
      <c r="B36" s="285">
        <f>+'Sch 5-A &amp; G'!A11</f>
        <v>920</v>
      </c>
      <c r="C36" s="286" t="str">
        <f>+'Sch 5-A &amp; G'!$A$6</f>
        <v>Administrative and General Expense</v>
      </c>
      <c r="D36" s="286" t="str">
        <f>+'Sch 5-A &amp; G'!B11</f>
        <v>Salaries</v>
      </c>
      <c r="E36" s="286" t="s">
        <v>177</v>
      </c>
      <c r="F36" s="254">
        <f>+'Sch 5-A &amp; G'!D11</f>
        <v>966283</v>
      </c>
      <c r="G36" s="85"/>
      <c r="H36" s="288" t="str">
        <f>+'Sch 5-A &amp; G'!B25</f>
        <v>Cost-of-Living Adjustments for FY25 (4%) and FY26 (3%) company-wide (not just FERC 920) based on total test year salaries/wages of $8,810,698. COLA salary/wage component = $627,322 and labor overhead component = $149,211. (Labor Overhead rate includes new 0.44% Childcare Contribution Tax; does not include medical, dental or life insurance expense.) Change in administrative staff expenses (salary and labor overhead) of $189,751 is the net effect of multiple separations/replacements and promotions.</v>
      </c>
      <c r="I36" s="290"/>
      <c r="J36" s="290"/>
    </row>
    <row r="37" spans="1:13" s="236" customFormat="1" ht="15" customHeight="1" x14ac:dyDescent="0.35">
      <c r="A37" s="285">
        <f t="shared" si="0"/>
        <v>32</v>
      </c>
      <c r="B37" s="285">
        <f>'Sch 5-A &amp; G'!A12</f>
        <v>921</v>
      </c>
      <c r="C37" s="286" t="str">
        <f>+'Sch 5-A &amp; G'!$A$6</f>
        <v>Administrative and General Expense</v>
      </c>
      <c r="D37" s="286" t="str">
        <f>+'Sch 5-A &amp; G'!B12</f>
        <v>Office Supplies and Expenses</v>
      </c>
      <c r="E37" s="286" t="s">
        <v>177</v>
      </c>
      <c r="F37" s="254">
        <f>'Sch 5-A &amp; G'!D12</f>
        <v>7688</v>
      </c>
      <c r="G37" s="85"/>
      <c r="H37" s="288" t="str">
        <f>'Sch 5-A &amp; G'!B26</f>
        <v>Based on 3-year average of actual expenses, FY22-FY24, with FY22 and FY23 CPI-adjusted.</v>
      </c>
      <c r="I37" s="290"/>
      <c r="J37" s="290"/>
    </row>
    <row r="38" spans="1:13" s="236" customFormat="1" ht="32.4" customHeight="1" x14ac:dyDescent="0.35">
      <c r="A38" s="285">
        <f t="shared" si="0"/>
        <v>33</v>
      </c>
      <c r="B38" s="285">
        <f>+'Sch 5-A &amp; G'!A14</f>
        <v>923</v>
      </c>
      <c r="C38" s="286" t="str">
        <f>+'Sch 5-A &amp; G'!$A$6</f>
        <v>Administrative and General Expense</v>
      </c>
      <c r="D38" s="286" t="str">
        <f>+'Sch 5-A &amp; G'!B14</f>
        <v>Outside Services Employed</v>
      </c>
      <c r="E38" s="286" t="s">
        <v>177</v>
      </c>
      <c r="F38" s="254">
        <f>+'Sch 5-A &amp; G'!D14</f>
        <v>-27081.270000000019</v>
      </c>
      <c r="G38" s="85"/>
      <c r="H38" s="288" t="str" cm="1">
        <f t="array" ref="H38:M38">'Sch 5-A &amp; G'!B27:G27</f>
        <v>Based on 3-year average of actual expenses less District Energy-related expenses, FY22-FY24, with FY22 and FY23 CPI-adjusted.</v>
      </c>
      <c r="I38" s="236">
        <v>0</v>
      </c>
      <c r="J38" s="236">
        <v>0</v>
      </c>
      <c r="K38" s="236">
        <v>0</v>
      </c>
      <c r="L38" s="236">
        <v>0</v>
      </c>
      <c r="M38" s="236">
        <v>0</v>
      </c>
    </row>
    <row r="39" spans="1:13" s="236" customFormat="1" ht="31" x14ac:dyDescent="0.35">
      <c r="A39" s="285">
        <f t="shared" si="0"/>
        <v>34</v>
      </c>
      <c r="B39" s="285">
        <v>924</v>
      </c>
      <c r="C39" s="286" t="str">
        <f>+'Sch 5-A &amp; G'!$A$6</f>
        <v>Administrative and General Expense</v>
      </c>
      <c r="D39" s="286" t="str">
        <f>+'Sch 5-A &amp; G'!B15</f>
        <v>Property Insurance</v>
      </c>
      <c r="E39" s="286" t="s">
        <v>177</v>
      </c>
      <c r="F39" s="254">
        <f>'Sch 5-A &amp; G'!D15</f>
        <v>-30505</v>
      </c>
      <c r="G39" s="85"/>
      <c r="H39" s="291" t="str">
        <f>+'Sch 5-A &amp; G'!B28</f>
        <v>Known cost increase (based on actual invoice received in FY25): $38,112 for boiler &amp; machinery insurance. Cost savings from eliminating umbrella insurance policy effective 11/1/25, ($68,617).</v>
      </c>
    </row>
    <row r="40" spans="1:13" s="236" customFormat="1" ht="18" customHeight="1" x14ac:dyDescent="0.35">
      <c r="A40" s="285">
        <f t="shared" si="0"/>
        <v>35</v>
      </c>
      <c r="B40" s="285">
        <f>+'Sch 5-A &amp; G'!A16</f>
        <v>925</v>
      </c>
      <c r="C40" s="286" t="str">
        <f>+'Sch 5-A &amp; G'!$A$6</f>
        <v>Administrative and General Expense</v>
      </c>
      <c r="D40" s="286" t="str">
        <f>+'Sch 5-A &amp; G'!B16</f>
        <v>Injuries and Damages</v>
      </c>
      <c r="E40" s="109" t="s">
        <v>177</v>
      </c>
      <c r="F40" s="254">
        <f>+'Sch 5-A &amp; G'!D16</f>
        <v>149747.69</v>
      </c>
      <c r="G40" s="85"/>
      <c r="H40" s="291" t="str">
        <f>+'Sch 5-A &amp; G'!B29</f>
        <v>Based on 3-year average of actual non-labor expenses, FY22-FY24, with FY22 and FY23 CPI-adjusted.</v>
      </c>
    </row>
    <row r="41" spans="1:13" s="293" customFormat="1" ht="63" customHeight="1" x14ac:dyDescent="0.35">
      <c r="A41" s="285">
        <f t="shared" si="0"/>
        <v>36</v>
      </c>
      <c r="B41" s="285">
        <f>+'Sch 5-A &amp; G'!A17</f>
        <v>926</v>
      </c>
      <c r="C41" s="286" t="str">
        <f>+'Sch 5-A &amp; G'!$A$6</f>
        <v>Administrative and General Expense</v>
      </c>
      <c r="D41" s="286" t="str">
        <f>+'Sch 5-A &amp; G'!B17</f>
        <v>Employee Pensions and Benefits</v>
      </c>
      <c r="E41" s="286" t="s">
        <v>177</v>
      </c>
      <c r="F41" s="255">
        <f>+'Sch 5-A &amp; G'!D17</f>
        <v>794454</v>
      </c>
      <c r="G41" s="256"/>
      <c r="H41" s="292" t="str">
        <f>+'Sch 5-A &amp; G'!B30</f>
        <v>Pension adjustment of $266,663 based FY26 ADEC. Health, dental and life insurance increases of $501,731, $22,039, and $4,021, respectively, based on average cost per enrolled FTE and number of enrolled FTEs.</v>
      </c>
    </row>
    <row r="42" spans="1:13" s="293" customFormat="1" ht="18" customHeight="1" x14ac:dyDescent="0.35">
      <c r="A42" s="285">
        <f t="shared" si="0"/>
        <v>37</v>
      </c>
      <c r="B42" s="285">
        <f>+'Sch 5-A &amp; G'!A20</f>
        <v>930</v>
      </c>
      <c r="C42" s="286" t="str">
        <f>+'Sch 5-A &amp; G'!$A$6</f>
        <v>Administrative and General Expense</v>
      </c>
      <c r="D42" s="286" t="str">
        <f>+'Sch 5-A &amp; G'!B20</f>
        <v>Miscellaneous A &amp; G</v>
      </c>
      <c r="E42" s="286" t="s">
        <v>177</v>
      </c>
      <c r="F42" s="255">
        <f>+'Sch 5-A &amp; G'!D20</f>
        <v>16726.330000000002</v>
      </c>
      <c r="G42" s="256"/>
      <c r="H42" s="292" t="str">
        <f>+'Sch 5-A &amp; G'!B29</f>
        <v>Based on 3-year average of actual non-labor expenses, FY22-FY24, with FY22 and FY23 CPI-adjusted.</v>
      </c>
    </row>
    <row r="43" spans="1:13" s="293" customFormat="1" ht="78" customHeight="1" x14ac:dyDescent="0.35">
      <c r="A43" s="285">
        <f t="shared" si="0"/>
        <v>38</v>
      </c>
      <c r="B43" s="285">
        <f>+'Sch 6-Customer Acct &amp; Serv'!A13</f>
        <v>902</v>
      </c>
      <c r="C43" s="286" t="str">
        <f>+'Sch 6-Customer Acct &amp; Serv'!A6</f>
        <v>Customer Accounts / Service Expense</v>
      </c>
      <c r="D43" s="286" t="str">
        <f>+'Sch 6-Customer Acct &amp; Serv'!B13</f>
        <v>Meter Reading</v>
      </c>
      <c r="E43" s="286" t="s">
        <v>177</v>
      </c>
      <c r="F43" s="255">
        <f>+'Sch 6-Customer Acct &amp; Serv'!D13</f>
        <v>12911.299999999996</v>
      </c>
      <c r="G43" s="256"/>
      <c r="H43" s="292" t="str">
        <f>+'Sch 6-Customer Acct &amp; Serv'!B38</f>
        <v>Known cost increases (based on actual invoices received in FY25): $1,929.30 for Central Square maintenance; $1,602 for Mythics Oracle License for OpenWay; $24,207.51 for Itron Certicom maintenance; $19,749.73 for Itron OpenWay and Multispeak; $178.65 for Itron FCS maintenance; $93.11 for Itron Mobile Radio maintenance. Net effect of 50% of Meter to Cash Analyst position retirement and replacement ($34,849); other 50% allocated to FERC 903.</v>
      </c>
    </row>
    <row r="44" spans="1:13" s="293" customFormat="1" ht="80.150000000000006" customHeight="1" x14ac:dyDescent="0.35">
      <c r="A44" s="285">
        <f t="shared" si="0"/>
        <v>39</v>
      </c>
      <c r="B44" s="285">
        <f>+'Sch 6-Customer Acct &amp; Serv'!A14</f>
        <v>903</v>
      </c>
      <c r="C44" s="286" t="str">
        <f>+'Sch 6-Customer Acct &amp; Serv'!A6</f>
        <v>Customer Accounts / Service Expense</v>
      </c>
      <c r="D44" s="286" t="str">
        <f>+'Sch 6-Customer Acct &amp; Serv'!B14</f>
        <v>Customer Records &amp; Collections</v>
      </c>
      <c r="E44" s="286" t="s">
        <v>177</v>
      </c>
      <c r="F44" s="255">
        <f>+'Sch 6-Customer Acct &amp; Serv'!D14</f>
        <v>-217497.41000000003</v>
      </c>
      <c r="G44" s="256"/>
      <c r="H44" s="292" t="str">
        <f>+'Sch 6-Customer Acct &amp; Serv'!B39</f>
        <v>Known cost increases (based on actual invoices received in FY25): $4,694.86 for Central Square maintenance; $2,951.32 for Compass Meter Data Mgmt System and Silverblaze customer portal; $118,250 for SpryPoint. Reduced ($312,527.59) for removal of convenience fee coverage with Paymentus. $13,819 for postage rate increase with Doxim. $44,685 is the net effect on labor expenses of retirements/separations and replacement hires for Customer Care Rep and 50% of Meter to Cash Analyst position.</v>
      </c>
    </row>
    <row r="45" spans="1:13" s="293" customFormat="1" x14ac:dyDescent="0.35">
      <c r="A45" s="285">
        <f t="shared" si="0"/>
        <v>40</v>
      </c>
      <c r="B45" s="285">
        <f>'Sch 6-Customer Acct &amp; Serv'!A20</f>
        <v>908</v>
      </c>
      <c r="C45" s="286" t="str">
        <f>+'Sch 6-Customer Acct &amp; Serv'!A6</f>
        <v>Customer Accounts / Service Expense</v>
      </c>
      <c r="D45" s="286" t="str">
        <f>+'Sch 6-Customer Acct &amp; Serv'!B20</f>
        <v>Customer Assistance</v>
      </c>
      <c r="E45" s="109" t="s">
        <v>177</v>
      </c>
      <c r="F45" s="255">
        <f>+'Sch 6-Customer Acct &amp; Serv'!D20</f>
        <v>-8989</v>
      </c>
      <c r="G45" s="286"/>
      <c r="H45" s="292" t="str">
        <f>+'Sch 6-Customer Acct &amp; Serv'!B40</f>
        <v>Sr. Innovation Spec &amp; Cust Care Rep position filled for 8% of Test Year was not backfilled.</v>
      </c>
    </row>
    <row r="46" spans="1:13" s="293" customFormat="1" ht="31" x14ac:dyDescent="0.35">
      <c r="A46" s="285">
        <f t="shared" si="0"/>
        <v>41</v>
      </c>
      <c r="B46" s="285">
        <f>'Sch 6-Customer Acct &amp; Serv'!A21</f>
        <v>908</v>
      </c>
      <c r="C46" s="286" t="str">
        <f>+'Sch 6-Customer Acct &amp; Serv'!A6</f>
        <v>Customer Accounts / Service Expense</v>
      </c>
      <c r="D46" s="286" t="str">
        <f>'Sch 6-Customer Acct &amp; Serv'!B21</f>
        <v>Tier 3</v>
      </c>
      <c r="E46" s="109" t="s">
        <v>177</v>
      </c>
      <c r="F46" s="255">
        <f>+'Sch 6-Customer Acct &amp; Serv'!D21</f>
        <v>263244.72124566592</v>
      </c>
      <c r="G46" s="286"/>
      <c r="H46" s="292" t="str">
        <f>+'Sch 6-Customer Acct &amp; Serv'!B41</f>
        <v>Cost of Tier 3 RES compliance, $1,003,114, based on Rate Year compliance obligation percentage, Test Year load, and unit cost of Tier 3 credit inventory as of April 2025.</v>
      </c>
    </row>
    <row r="47" spans="1:13" s="293" customFormat="1" ht="31" x14ac:dyDescent="0.35">
      <c r="A47" s="285">
        <f>+A46+1</f>
        <v>42</v>
      </c>
      <c r="B47" s="285">
        <f>+'Sch 6-Customer Acct &amp; Serv'!A34</f>
        <v>909</v>
      </c>
      <c r="C47" s="286" t="str">
        <f>+'Sch 6-Customer Acct &amp; Serv'!A6</f>
        <v>Customer Accounts / Service Expense</v>
      </c>
      <c r="D47" s="286" t="str">
        <f>+'Sch 6-Customer Acct &amp; Serv'!B34</f>
        <v>Informational Advertising</v>
      </c>
      <c r="E47" s="109" t="s">
        <v>177</v>
      </c>
      <c r="F47" s="255">
        <f>+'Sch 6-Customer Acct &amp; Serv'!D34</f>
        <v>3416.13</v>
      </c>
      <c r="G47" s="286"/>
      <c r="H47" s="352" t="str" cm="1">
        <f t="array" ref="H47:M47">+'Sch 6-Customer Acct &amp; Serv'!B42:G42</f>
        <v>Based on 3-year average of actual non-labor expenses, FY22-FY24, with FY22 and FY23 CPI-adjusted.</v>
      </c>
      <c r="I47" s="293">
        <v>0</v>
      </c>
      <c r="J47" s="293">
        <v>0</v>
      </c>
      <c r="K47" s="293">
        <v>0</v>
      </c>
      <c r="L47" s="293">
        <v>0</v>
      </c>
      <c r="M47" s="293">
        <v>0</v>
      </c>
    </row>
    <row r="48" spans="1:13" ht="40.5" customHeight="1" x14ac:dyDescent="0.35">
      <c r="A48" s="285">
        <f>+A47+1</f>
        <v>43</v>
      </c>
      <c r="B48" s="285">
        <f>'Sch 7-Distribution'!A12</f>
        <v>580</v>
      </c>
      <c r="C48" s="289" t="str">
        <f>'Sch 7-Distribution'!A6</f>
        <v>Distribution Expense</v>
      </c>
      <c r="D48" s="289" t="str">
        <f>'Sch 7-Distribution'!B12</f>
        <v>Supervision and Engineering</v>
      </c>
      <c r="E48" s="109" t="s">
        <v>177</v>
      </c>
      <c r="F48" s="294">
        <f>'Sch 7-Distribution'!D12</f>
        <v>139383</v>
      </c>
      <c r="G48" s="289"/>
      <c r="H48" s="295" t="str">
        <f>'Sch 7-Distribution'!B38</f>
        <v>Engineer positions vacant for portion of Test Year are now filled.</v>
      </c>
    </row>
    <row r="49" spans="1:11" s="289" customFormat="1" ht="60" customHeight="1" x14ac:dyDescent="0.35">
      <c r="A49" s="285">
        <f t="shared" si="0"/>
        <v>44</v>
      </c>
      <c r="B49" s="285">
        <f>'Sch 7-Distribution'!A13</f>
        <v>582</v>
      </c>
      <c r="C49" s="286" t="str">
        <f>+'Sch 7-Distribution'!A6</f>
        <v>Distribution Expense</v>
      </c>
      <c r="D49" s="286" t="str">
        <f>+'Sch 7-Distribution'!B13</f>
        <v>Station</v>
      </c>
      <c r="E49" s="286" t="s">
        <v>177</v>
      </c>
      <c r="F49" s="254">
        <f>+'Sch 7-Distribution'!D13</f>
        <v>47473.47</v>
      </c>
      <c r="G49" s="85"/>
      <c r="H49" s="295" t="str">
        <f>'Sch 7-Distribution'!B39</f>
        <v>Known service cost changes (based on actual invoices received in FY25): ($28,599) for difference between annual support/maintenance costs of old SCADA system and new replacement SCADA system; $76,072.47 for MS SCADA SQL Server and MS Windows Server Datacenter for SCADA.</v>
      </c>
    </row>
    <row r="50" spans="1:11" s="289" customFormat="1" ht="31" x14ac:dyDescent="0.35">
      <c r="A50" s="285">
        <f t="shared" si="0"/>
        <v>45</v>
      </c>
      <c r="B50" s="285">
        <f>+'Sch 7-Distribution'!A17</f>
        <v>586</v>
      </c>
      <c r="C50" s="286" t="str">
        <f>+'Sch 7-Distribution'!A6</f>
        <v>Distribution Expense</v>
      </c>
      <c r="D50" s="286" t="str">
        <f>+'Sch 7-Distribution'!B17</f>
        <v>Meters</v>
      </c>
      <c r="E50" s="286" t="s">
        <v>177</v>
      </c>
      <c r="F50" s="254">
        <f>+'Sch 7-Distribution'!D17</f>
        <v>103010</v>
      </c>
      <c r="G50" s="85"/>
      <c r="H50" s="287" t="str">
        <f>+'Sch 7-Distribution'!B40</f>
        <v>Line Extension Right of Way Coordinator position that was vacant during the Test Year is now filled.  Troubleshooter position was vacated and replaced by a Meter Technician at lower wages.</v>
      </c>
    </row>
    <row r="51" spans="1:11" s="289" customFormat="1" ht="31" x14ac:dyDescent="0.35">
      <c r="A51" s="285">
        <f t="shared" si="0"/>
        <v>46</v>
      </c>
      <c r="B51" s="285">
        <f>+'Sch 7-Distribution'!A20</f>
        <v>589</v>
      </c>
      <c r="C51" s="286" t="str">
        <f>'Sch 7-Distribution'!A6</f>
        <v>Distribution Expense</v>
      </c>
      <c r="D51" s="286" t="str">
        <f>+'Sch 7-Distribution'!B19</f>
        <v>Miscellaneous</v>
      </c>
      <c r="E51" s="286" t="s">
        <v>177</v>
      </c>
      <c r="F51" s="254">
        <f>+'Sch 7-Distribution'!D19</f>
        <v>27000</v>
      </c>
      <c r="G51" s="85"/>
      <c r="H51" s="287" t="str">
        <f>'Sch 7-Distribution'!B41</f>
        <v>Known service cost changes (based on actual invoices received in FY25): $27,000 for SpryMobile.</v>
      </c>
    </row>
    <row r="52" spans="1:11" s="289" customFormat="1" x14ac:dyDescent="0.35">
      <c r="A52" s="285">
        <f t="shared" si="0"/>
        <v>47</v>
      </c>
      <c r="B52" s="285">
        <f>+'Sch 7-Distribution'!A26</f>
        <v>592</v>
      </c>
      <c r="C52" s="109" t="s">
        <v>38</v>
      </c>
      <c r="D52" s="286" t="str">
        <f>+'Sch 7-Distribution'!B26</f>
        <v>Station Equipment</v>
      </c>
      <c r="E52" s="109" t="s">
        <v>177</v>
      </c>
      <c r="F52" s="254">
        <f>+'Sch 7-Distribution'!D26</f>
        <v>-149206</v>
      </c>
      <c r="G52" s="85"/>
      <c r="H52" s="287" t="str">
        <f>'Sch 7-Distribution'!B42</f>
        <v>Working Crew Leader-Engineering Technician retired and position remains vacant.</v>
      </c>
    </row>
    <row r="53" spans="1:11" s="289" customFormat="1" x14ac:dyDescent="0.35">
      <c r="A53" s="285">
        <f t="shared" si="0"/>
        <v>48</v>
      </c>
      <c r="B53" s="285">
        <f>+'Sch 7-Distribution'!A27</f>
        <v>593</v>
      </c>
      <c r="C53" s="109" t="s">
        <v>38</v>
      </c>
      <c r="D53" s="286" t="str">
        <f>+'Sch 7-Distribution'!B27</f>
        <v>Overhead Lines</v>
      </c>
      <c r="E53" s="109" t="s">
        <v>177</v>
      </c>
      <c r="F53" s="254">
        <f>+'Sch 7-Distribution'!D27</f>
        <v>52104</v>
      </c>
      <c r="G53" s="85"/>
      <c r="H53" s="287" t="str">
        <f>'Sch 7-Distribution'!B43</f>
        <v>Net effect on labor expense of resignations and replacement hires of Apprentice Lineworkers.</v>
      </c>
    </row>
    <row r="54" spans="1:11" s="289" customFormat="1" x14ac:dyDescent="0.35">
      <c r="A54" s="285">
        <f t="shared" si="0"/>
        <v>49</v>
      </c>
      <c r="B54" s="285">
        <f>+'Sch 7-Distribution'!A28</f>
        <v>594</v>
      </c>
      <c r="C54" s="109" t="s">
        <v>38</v>
      </c>
      <c r="D54" s="286" t="str">
        <f>+'Sch 7-Distribution'!B28</f>
        <v>Underground Lines</v>
      </c>
      <c r="E54" s="109" t="s">
        <v>177</v>
      </c>
      <c r="F54" s="254">
        <f>+'Sch 7-Distribution'!D28</f>
        <v>-24140</v>
      </c>
      <c r="G54" s="85"/>
      <c r="H54" s="287" t="str">
        <f>'Sch 7-Distribution'!B44</f>
        <v>Replacement employee for Underground Cable Locator position at lower starting wages.</v>
      </c>
    </row>
    <row r="55" spans="1:11" ht="46.5" x14ac:dyDescent="0.35">
      <c r="A55" s="285">
        <f t="shared" si="0"/>
        <v>50</v>
      </c>
      <c r="B55" s="285">
        <f>'Sch 8-Sys Load Cnrl &amp; Disp'!A12</f>
        <v>556</v>
      </c>
      <c r="C55" s="286" t="str">
        <f>'Sch 8-Sys Load Cnrl &amp; Disp'!A7</f>
        <v>System Load Control and Dispatch</v>
      </c>
      <c r="D55" s="109" t="str">
        <f>'Sch 8-Sys Load Cnrl &amp; Disp'!B12</f>
        <v>System Control and Load Dispatch</v>
      </c>
      <c r="E55" s="286" t="s">
        <v>177</v>
      </c>
      <c r="F55" s="254">
        <f>'Sch 8-Sys Load Cnrl &amp; Disp'!D12</f>
        <v>-132966</v>
      </c>
      <c r="G55" s="85"/>
      <c r="H55" s="288" t="str">
        <f>'Sch 8-Sys Load Cnrl &amp; Disp'!B17</f>
        <v>Net effect on labor expense associated with filling previously vacant position and eliminating temporary position.  Power Systems Coordinator filled for entirety of Test Year is currently vacant.</v>
      </c>
    </row>
    <row r="56" spans="1:11" x14ac:dyDescent="0.35">
      <c r="A56" s="285">
        <f t="shared" si="0"/>
        <v>51</v>
      </c>
      <c r="B56" s="285">
        <f>'Sch 9-Dep &amp; Amt'!A13</f>
        <v>403</v>
      </c>
      <c r="C56" s="289" t="str">
        <f>'Sch 9-Dep &amp; Amt'!B10</f>
        <v>Depreciation Expense</v>
      </c>
      <c r="D56" s="109" t="s">
        <v>377</v>
      </c>
      <c r="E56" s="286" t="s">
        <v>177</v>
      </c>
      <c r="F56" s="254">
        <f>'Sch 9-Dep &amp; Amt'!D98</f>
        <v>-373735.18000000023</v>
      </c>
      <c r="G56" s="85">
        <v>1</v>
      </c>
      <c r="H56" s="292" t="str">
        <f>'Sch 9-Dep &amp; Amt'!B100</f>
        <v>Per schedule</v>
      </c>
    </row>
    <row r="57" spans="1:11" x14ac:dyDescent="0.35">
      <c r="A57" s="285">
        <f>A56+1</f>
        <v>52</v>
      </c>
      <c r="B57" s="296">
        <v>405</v>
      </c>
      <c r="C57" s="289" t="str">
        <f>'Sch 9-Dep &amp; Amt'!B103</f>
        <v>Amortization Expense</v>
      </c>
      <c r="D57" s="109" t="s">
        <v>379</v>
      </c>
      <c r="E57" s="286" t="s">
        <v>177</v>
      </c>
      <c r="F57" s="254">
        <f>'Sch 9-Dep &amp; Amt'!D107</f>
        <v>-22206.069999999978</v>
      </c>
      <c r="G57" s="85">
        <v>2</v>
      </c>
      <c r="H57" s="292" t="str">
        <f>'Sch 9-Dep &amp; Amt'!B109</f>
        <v>Per schedule</v>
      </c>
    </row>
    <row r="58" spans="1:11" ht="31" x14ac:dyDescent="0.35">
      <c r="A58" s="285">
        <f>A57+1</f>
        <v>53</v>
      </c>
      <c r="B58" s="296">
        <v>407.3</v>
      </c>
      <c r="C58" s="109" t="str">
        <f>'Sch 9-Dep &amp; Amt'!B112</f>
        <v>Amortization of Deferred Costs</v>
      </c>
      <c r="D58" s="2" t="str">
        <f>'Sch 9-Dep &amp; Amt'!B113</f>
        <v>Regulatory Debits</v>
      </c>
      <c r="E58" s="286" t="s">
        <v>177</v>
      </c>
      <c r="F58" s="254">
        <f>'Sch 9-Dep &amp; Amt'!D113</f>
        <v>164344</v>
      </c>
      <c r="G58" s="85"/>
      <c r="H58" s="292" t="str" cm="1">
        <f t="array" ref="H58:K58">'Sch 9-Dep &amp; Amt'!B125:E125</f>
        <v xml:space="preserve">Annual amortization of McNeil major turbine overhaul over 7 years, $164,344, as approved in Case No. 21-2186-TF. </v>
      </c>
      <c r="I58" s="2">
        <v>0</v>
      </c>
      <c r="J58" s="2">
        <v>0</v>
      </c>
      <c r="K58" s="2">
        <v>0</v>
      </c>
    </row>
    <row r="59" spans="1:11" ht="31" x14ac:dyDescent="0.35">
      <c r="A59" s="285">
        <f t="shared" ref="A59:A65" si="1">A58+1</f>
        <v>54</v>
      </c>
      <c r="B59" s="296">
        <v>407.4</v>
      </c>
      <c r="C59" s="109" t="str">
        <f>'Sch 9-Dep &amp; Amt'!B112</f>
        <v>Amortization of Deferred Costs</v>
      </c>
      <c r="D59" s="109" t="str">
        <f>'[1]Sch 9-Dep &amp; Amt'!B114</f>
        <v>Regulatory Credits</v>
      </c>
      <c r="E59" s="286" t="s">
        <v>177</v>
      </c>
      <c r="F59" s="353">
        <f>'[1]Sch 9-Dep &amp; Amt'!D114</f>
        <v>-20309.076000000001</v>
      </c>
      <c r="G59" s="354"/>
      <c r="H59" s="292" t="str" cm="1">
        <f t="array" ref="H59:K59">'[1]Sch 9-Dep &amp; Amt'!B127:E127</f>
        <v xml:space="preserve">First year of a proposed 5-year amortization of a new regulatory liability of $101,545.38 to be created in FY25 pending decision in Case No. 24-1848, $20,309. </v>
      </c>
      <c r="I59" s="2">
        <v>0</v>
      </c>
      <c r="J59" s="2">
        <v>0</v>
      </c>
      <c r="K59" s="2">
        <v>0</v>
      </c>
    </row>
    <row r="60" spans="1:11" ht="17.399999999999999" customHeight="1" x14ac:dyDescent="0.35">
      <c r="A60" s="285">
        <f t="shared" si="1"/>
        <v>55</v>
      </c>
      <c r="B60" s="296">
        <v>407.11</v>
      </c>
      <c r="C60" s="289" t="str">
        <f>'Sch 9-Dep &amp; Amt'!B112</f>
        <v>Amortization of Deferred Costs</v>
      </c>
      <c r="D60" s="109" t="str">
        <f>'Sch 9-Dep &amp; Amt'!B114</f>
        <v>Winooski One Hydro</v>
      </c>
      <c r="E60" s="286" t="s">
        <v>177</v>
      </c>
      <c r="F60" s="254">
        <f>'Sch 9-Dep &amp; Amt'!D114</f>
        <v>12500</v>
      </c>
      <c r="G60" s="85"/>
      <c r="H60" s="292" t="str" cm="1">
        <f t="array" ref="H60:K60">'Sch 9-Dep &amp; Amt'!B126:E126</f>
        <v>Per schedule.</v>
      </c>
      <c r="I60" s="2">
        <v>0</v>
      </c>
      <c r="J60" s="2">
        <v>0</v>
      </c>
      <c r="K60" s="2">
        <v>0</v>
      </c>
    </row>
    <row r="61" spans="1:11" s="236" customFormat="1" ht="31" x14ac:dyDescent="0.35">
      <c r="A61" s="285">
        <f t="shared" si="1"/>
        <v>56</v>
      </c>
      <c r="B61" s="285">
        <f>'Sch 10-Taxes'!A29</f>
        <v>408</v>
      </c>
      <c r="C61" s="112" t="s">
        <v>336</v>
      </c>
      <c r="D61" s="286" t="str">
        <f>+'Sch 10-Taxes'!B17</f>
        <v>Total Payment in Lieu of Tax</v>
      </c>
      <c r="E61" s="286" t="s">
        <v>177</v>
      </c>
      <c r="F61" s="254">
        <f>+'Sch 10-Taxes'!D17</f>
        <v>374385</v>
      </c>
      <c r="G61" s="85"/>
      <c r="H61" s="292" t="str">
        <f>+'Sch 10-Taxes'!B32</f>
        <v>Based on City of Burlington assessed property value as of 4/1/24 and City's actual 24-25 tax rate plus 6% assumed increase, as incorporated into BED's FY 2026 Budget.</v>
      </c>
    </row>
    <row r="62" spans="1:11" s="236" customFormat="1" ht="50.4" customHeight="1" x14ac:dyDescent="0.35">
      <c r="A62" s="285">
        <f t="shared" si="1"/>
        <v>57</v>
      </c>
      <c r="B62" s="285">
        <f>+'Sch 10-Taxes'!A29</f>
        <v>408</v>
      </c>
      <c r="C62" s="112" t="s">
        <v>336</v>
      </c>
      <c r="D62" s="286" t="str">
        <f>+'Sch 10-Taxes'!B19</f>
        <v>Gross Revenue Tax - State of Vermont</v>
      </c>
      <c r="E62" s="109" t="s">
        <v>177</v>
      </c>
      <c r="F62" s="254">
        <f>+'Sch 10-Taxes'!D19</f>
        <v>38872.933654188892</v>
      </c>
      <c r="G62" s="85"/>
      <c r="H62" s="292" t="str">
        <f>+'Sch 10-Taxes'!B33</f>
        <v>Calculated based on additional revenue from 5.5% rate increase effective on bills rendered 9/1/2024 (approved in Case No. 24-1848-TF), $18,341; additional revenue based on 4.5% proposed rate case, $13,587; additional Rent from Electric Property and Miscellaneous Electric Revenues, $6,949.</v>
      </c>
    </row>
    <row r="63" spans="1:11" s="236" customFormat="1" ht="46.5" x14ac:dyDescent="0.35">
      <c r="A63" s="285">
        <f t="shared" si="1"/>
        <v>58</v>
      </c>
      <c r="B63" s="285">
        <f>+'Sch 10-Taxes'!A29</f>
        <v>408</v>
      </c>
      <c r="C63" s="112" t="s">
        <v>336</v>
      </c>
      <c r="D63" s="286" t="str">
        <f>+'Sch 10-Taxes'!B20</f>
        <v>Gross Receipts Tax - State of Vermont</v>
      </c>
      <c r="E63" s="109" t="s">
        <v>177</v>
      </c>
      <c r="F63" s="254">
        <f>+'Sch 10-Taxes'!D20</f>
        <v>30403.053904249966</v>
      </c>
      <c r="G63" s="85"/>
      <c r="H63" s="292" t="str">
        <f>+'Sch 10-Taxes'!B34</f>
        <v>Calculated based on additional revenue from 5.5% rate increase effective on bills rendered 9/1/2024 (approved in Case No. 24-1848-TF), $17,467; additional revenue based on 4.5% proposed rate case, $12,940.</v>
      </c>
    </row>
    <row r="64" spans="1:11" s="236" customFormat="1" x14ac:dyDescent="0.35">
      <c r="A64" s="285">
        <f t="shared" si="1"/>
        <v>59</v>
      </c>
      <c r="B64" s="285">
        <f>+'Sch 10-Taxes'!A29</f>
        <v>408</v>
      </c>
      <c r="C64" s="112" t="s">
        <v>336</v>
      </c>
      <c r="D64" s="286" t="str">
        <f>+'Sch 10-Taxes'!B28</f>
        <v>Property Taxes - Hydro Plant</v>
      </c>
      <c r="E64" s="109" t="s">
        <v>177</v>
      </c>
      <c r="F64" s="254">
        <f>+'Sch 10-Taxes'!D28</f>
        <v>-179199</v>
      </c>
      <c r="G64" s="85"/>
      <c r="H64" s="292" t="str">
        <f>+'Sch 10-Taxes'!B35</f>
        <v>Based on budgeted FY26 property tax rate for Winooski One Hydro Plant.</v>
      </c>
    </row>
    <row r="65" spans="1:11" ht="31" x14ac:dyDescent="0.35">
      <c r="A65" s="285">
        <f t="shared" si="1"/>
        <v>60</v>
      </c>
      <c r="B65" s="297" t="s">
        <v>380</v>
      </c>
      <c r="C65" s="298" t="str">
        <f>'Sch 14-Interest Expense'!A6</f>
        <v>Interest Expense</v>
      </c>
      <c r="D65" s="298" t="str">
        <f>'Sch 14-Interest Expense'!B63</f>
        <v>Total Interest Expense</v>
      </c>
      <c r="E65" s="298" t="s">
        <v>177</v>
      </c>
      <c r="F65" s="257">
        <f>+'Sch 14-Interest Expense'!D63</f>
        <v>-291448.59000000003</v>
      </c>
      <c r="G65" s="258">
        <v>7</v>
      </c>
      <c r="H65" s="299" t="s">
        <v>462</v>
      </c>
      <c r="I65" s="9"/>
    </row>
    <row r="66" spans="1:11" x14ac:dyDescent="0.35">
      <c r="A66" s="300" t="s">
        <v>397</v>
      </c>
      <c r="B66" s="301"/>
      <c r="C66" s="302"/>
      <c r="D66" s="302"/>
      <c r="E66" s="302"/>
      <c r="F66" s="220">
        <f>SUM(F6:F65)</f>
        <v>5455537.9381057126</v>
      </c>
      <c r="G66" s="186"/>
      <c r="H66" s="303"/>
      <c r="I66" s="9"/>
    </row>
    <row r="67" spans="1:11" x14ac:dyDescent="0.35">
      <c r="A67" s="285">
        <f>A65+1</f>
        <v>61</v>
      </c>
      <c r="B67" s="285">
        <f>'Sch 11-Interest Income'!A18</f>
        <v>419</v>
      </c>
      <c r="C67" s="286" t="str">
        <f>'Sch 11-Interest Income'!A6</f>
        <v>Interest Income</v>
      </c>
      <c r="D67" s="286" t="str">
        <f>'Sch 11-Interest Income'!B18</f>
        <v>Total Interest Income</v>
      </c>
      <c r="E67" s="109" t="s">
        <v>176</v>
      </c>
      <c r="F67" s="254">
        <f>'Sch 11-Interest Income'!D18</f>
        <v>-332636.28000000003</v>
      </c>
      <c r="G67" s="85">
        <v>1</v>
      </c>
      <c r="H67" s="304" t="s">
        <v>463</v>
      </c>
      <c r="I67" s="28"/>
    </row>
    <row r="68" spans="1:11" x14ac:dyDescent="0.35">
      <c r="A68" s="285">
        <f t="shared" ref="A68:A70" si="2">+A67+1</f>
        <v>62</v>
      </c>
      <c r="B68" s="285">
        <f>'Sch 12-Dividend Income'!A16</f>
        <v>419</v>
      </c>
      <c r="C68" s="289" t="str">
        <f>'Sch 12-Dividend Income'!A6</f>
        <v>Dividend Income</v>
      </c>
      <c r="D68" s="289" t="str">
        <f>'Sch 12-Dividend Income'!B16</f>
        <v>Total Dividend Income</v>
      </c>
      <c r="E68" s="109" t="s">
        <v>176</v>
      </c>
      <c r="F68" s="254">
        <f>'Sch 12-Dividend Income'!D16</f>
        <v>-32322.799999999945</v>
      </c>
      <c r="G68" s="289"/>
      <c r="H68" s="292" t="s">
        <v>464</v>
      </c>
    </row>
    <row r="69" spans="1:11" x14ac:dyDescent="0.35">
      <c r="A69" s="285">
        <f t="shared" si="2"/>
        <v>63</v>
      </c>
      <c r="B69" s="285" t="str">
        <f>'Sch13-Other Inc (Exp)'!A12</f>
        <v>415-416</v>
      </c>
      <c r="C69" s="286" t="str">
        <f>+'Sch13-Other Inc (Exp)'!B11</f>
        <v>Other Income and Deductions</v>
      </c>
      <c r="D69" s="286" t="str">
        <f>'Sch13-Other Inc (Exp)'!B12</f>
        <v>Profit/(Loss) from Merchandising and Jobbing</v>
      </c>
      <c r="E69" s="109" t="s">
        <v>176</v>
      </c>
      <c r="F69" s="254">
        <f>'Sch13-Other Inc (Exp)'!D12</f>
        <v>11672</v>
      </c>
      <c r="G69" s="85"/>
      <c r="H69" s="292" t="str">
        <f>+'Sch13-Other Inc (Exp)'!B41</f>
        <v>Profit/(Loss) from jobbing/orders. Lead/lag due to timing of expense vs billings.</v>
      </c>
      <c r="I69" s="28"/>
    </row>
    <row r="70" spans="1:11" s="236" customFormat="1" ht="46.5" x14ac:dyDescent="0.35">
      <c r="A70" s="285">
        <f t="shared" si="2"/>
        <v>64</v>
      </c>
      <c r="B70" s="285">
        <f>'Sch13-Other Inc (Exp)'!A13</f>
        <v>421</v>
      </c>
      <c r="C70" s="286" t="str">
        <f>+'Sch13-Other Inc (Exp)'!B11</f>
        <v>Other Income and Deductions</v>
      </c>
      <c r="D70" s="305" t="str">
        <f>+'Sch13-Other Inc (Exp)'!B13</f>
        <v>Miscellaneous Non-Operating Income</v>
      </c>
      <c r="E70" s="109" t="s">
        <v>176</v>
      </c>
      <c r="F70" s="254">
        <f>'Sch13-Other Inc (Exp)'!D13</f>
        <v>-660545.68399999989</v>
      </c>
      <c r="G70" s="85"/>
      <c r="H70" s="292" t="str">
        <f>+'Sch13-Other Inc (Exp)'!B42</f>
        <v>See subschedule 13A; primarily related to non-recurring grant income, customer contributions to capital projects (used 5-year average), and unrealized gain/loss on investments (used 3-year average).</v>
      </c>
    </row>
    <row r="71" spans="1:11" s="236" customFormat="1" ht="31" x14ac:dyDescent="0.35">
      <c r="A71" s="285">
        <f>+A70+1</f>
        <v>65</v>
      </c>
      <c r="B71" s="285">
        <f>+'Sch13-Other Inc (Exp)'!A19</f>
        <v>454</v>
      </c>
      <c r="C71" s="286" t="str">
        <f>+'Sch13-Other Inc (Exp)'!B17</f>
        <v>Rent from Electric Property</v>
      </c>
      <c r="D71" s="305" t="str">
        <f>+'Sch13-Other Inc (Exp)'!B19</f>
        <v>Conduit Use Fees</v>
      </c>
      <c r="E71" s="109" t="s">
        <v>176</v>
      </c>
      <c r="F71" s="254">
        <f>+'Sch13-Other Inc (Exp)'!D19</f>
        <v>51476</v>
      </c>
      <c r="G71" s="85"/>
      <c r="H71" s="292" t="str">
        <f>+'Sch13-Other Inc (Exp)'!B43</f>
        <v>Conduit rental fee, applied to 37,903 feet of rented conduit, increased from $0.6898 to $2.0479, excluding gross revenue tax and franchise fee, effective 7/1/2024.</v>
      </c>
    </row>
    <row r="72" spans="1:11" s="236" customFormat="1" x14ac:dyDescent="0.35">
      <c r="A72" s="285">
        <f>+A71+1</f>
        <v>66</v>
      </c>
      <c r="B72" s="285">
        <f>+'Sch13-Other Inc (Exp)'!A26</f>
        <v>456</v>
      </c>
      <c r="C72" s="286" t="str">
        <f>+'Sch13-Other Inc (Exp)'!B22</f>
        <v>Miscellaneous Electric Revenues</v>
      </c>
      <c r="D72" s="305" t="str">
        <f>+'Sch13-Other Inc (Exp)'!B26</f>
        <v>Winooski One - Fish Passage Plan</v>
      </c>
      <c r="E72" s="109" t="s">
        <v>176</v>
      </c>
      <c r="F72" s="254">
        <f>+'Sch13-Other Inc (Exp)'!D26</f>
        <v>-15679.34</v>
      </c>
      <c r="G72" s="85"/>
      <c r="H72" s="292" t="str">
        <f>+'Sch13-Other Inc (Exp)'!B44</f>
        <v>Test Year includes an additional entry from FY23 due to timing.</v>
      </c>
    </row>
    <row r="73" spans="1:11" ht="33.65" customHeight="1" x14ac:dyDescent="0.35">
      <c r="A73" s="285">
        <f>+A71+1</f>
        <v>66</v>
      </c>
      <c r="B73" s="296">
        <v>456</v>
      </c>
      <c r="C73" s="286" t="str">
        <f>+'Sch13-Other Inc (Exp)'!$B$22</f>
        <v>Miscellaneous Electric Revenues</v>
      </c>
      <c r="D73" s="112" t="s">
        <v>381</v>
      </c>
      <c r="E73" s="109" t="s">
        <v>176</v>
      </c>
      <c r="F73" s="306">
        <f>SUM('Sch13-Other Inc (Exp)'!D30:D33)</f>
        <v>1287960.8742336049</v>
      </c>
      <c r="G73" s="289"/>
      <c r="H73" s="292" t="str">
        <f>+'Sch13-Other Inc (Exp)'!B45</f>
        <v>Actual sales for the Rate Year are reflected at their contract price. Any remaining RECs (based on Rate Year resource production less Rate Year contracted sales) are assumed to be sold at market prices based on average bids and offers of REC forwards as of 6/4/25.</v>
      </c>
    </row>
    <row r="74" spans="1:11" ht="50.15" customHeight="1" x14ac:dyDescent="0.35">
      <c r="A74" s="307">
        <f>+A73+1</f>
        <v>67</v>
      </c>
      <c r="B74" s="297" t="s">
        <v>429</v>
      </c>
      <c r="C74" s="298" t="str">
        <f>+'Sch 15-Revenue'!B17</f>
        <v>Total Revenue from Electric Sales</v>
      </c>
      <c r="D74" s="308" t="s">
        <v>430</v>
      </c>
      <c r="E74" s="309" t="s">
        <v>176</v>
      </c>
      <c r="F74" s="257">
        <f>+'Sch 15-Revenue'!D17</f>
        <v>3492688</v>
      </c>
      <c r="G74" s="310"/>
      <c r="H74" s="299" t="str" cm="1">
        <f t="array" ref="H74:K74">'Sch 15-Revenue'!B20:E20</f>
        <v>Reduction in Residential Sales of $76,907 due to a significant increase in the number of customers receiving Energy Assistance after 6/30/24. Revenues increased by 5.5% per rate increase effective with bills rendered September 1, 2024; approved May 1, 2025 in Case No. 24-1848-TF.</v>
      </c>
      <c r="I74" s="2">
        <v>0</v>
      </c>
      <c r="J74" s="2">
        <v>0</v>
      </c>
      <c r="K74" s="2">
        <v>0</v>
      </c>
    </row>
    <row r="75" spans="1:11" x14ac:dyDescent="0.35">
      <c r="A75" s="300" t="s">
        <v>431</v>
      </c>
      <c r="B75" s="311"/>
      <c r="C75" s="34"/>
      <c r="D75" s="103"/>
      <c r="E75" s="312"/>
      <c r="F75" s="313">
        <f>SUM(F67:F74)</f>
        <v>3802612.7702336051</v>
      </c>
      <c r="G75" s="45"/>
      <c r="H75" s="314"/>
    </row>
    <row r="76" spans="1:11" ht="16" thickBot="1" x14ac:dyDescent="0.4">
      <c r="A76" s="315" t="s">
        <v>175</v>
      </c>
      <c r="B76" s="316"/>
      <c r="C76" s="316"/>
      <c r="D76" s="316"/>
      <c r="E76" s="316"/>
      <c r="F76" s="317">
        <f>F66-F75</f>
        <v>1652925.1678721076</v>
      </c>
      <c r="G76" s="318"/>
      <c r="H76" s="319"/>
    </row>
    <row r="77" spans="1:11" ht="16" thickTop="1" x14ac:dyDescent="0.35">
      <c r="B77" s="6"/>
      <c r="C77" s="6"/>
      <c r="D77" s="6"/>
      <c r="E77" s="6"/>
      <c r="F77" s="38"/>
      <c r="G77" s="38"/>
      <c r="H77" s="320"/>
    </row>
    <row r="78" spans="1:11" x14ac:dyDescent="0.35">
      <c r="B78" s="6"/>
      <c r="C78" s="32"/>
      <c r="D78" s="32"/>
      <c r="E78" s="6"/>
      <c r="F78" s="38"/>
      <c r="G78" s="38"/>
      <c r="H78" s="321"/>
    </row>
    <row r="79" spans="1:11" x14ac:dyDescent="0.35">
      <c r="B79" s="6"/>
      <c r="C79" s="28"/>
      <c r="D79" s="28"/>
      <c r="E79" s="5"/>
      <c r="F79" s="322">
        <f>F76+'COS Summary'!E42</f>
        <v>-20309.07600000035</v>
      </c>
      <c r="G79" s="38"/>
      <c r="H79" s="323"/>
    </row>
    <row r="80" spans="1:11" x14ac:dyDescent="0.35">
      <c r="B80" s="6"/>
      <c r="C80" s="28"/>
      <c r="D80" s="28"/>
      <c r="E80" s="6"/>
      <c r="F80" s="38">
        <f>-F76-'COS Summary'!E42</f>
        <v>20309.07600000035</v>
      </c>
      <c r="G80" s="38"/>
    </row>
    <row r="81" spans="2:8" x14ac:dyDescent="0.35">
      <c r="B81" s="6"/>
      <c r="E81" s="6"/>
      <c r="F81" s="38"/>
      <c r="G81" s="38"/>
    </row>
    <row r="82" spans="2:8" x14ac:dyDescent="0.35">
      <c r="F82" s="151"/>
      <c r="G82" s="65"/>
      <c r="H82" s="323"/>
    </row>
    <row r="83" spans="2:8" x14ac:dyDescent="0.35">
      <c r="F83" s="324"/>
      <c r="G83" s="65"/>
      <c r="H83" s="323"/>
    </row>
    <row r="84" spans="2:8" x14ac:dyDescent="0.35">
      <c r="F84" s="324"/>
      <c r="G84" s="65"/>
    </row>
    <row r="85" spans="2:8" x14ac:dyDescent="0.35">
      <c r="F85" s="324"/>
      <c r="G85" s="65"/>
    </row>
    <row r="86" spans="2:8" x14ac:dyDescent="0.35">
      <c r="F86" s="325"/>
      <c r="G86" s="65"/>
    </row>
    <row r="88" spans="2:8" x14ac:dyDescent="0.35">
      <c r="C88" s="9"/>
      <c r="D88" s="9"/>
    </row>
    <row r="92" spans="2:8" x14ac:dyDescent="0.35">
      <c r="C92" s="9"/>
      <c r="D92" s="9"/>
    </row>
    <row r="93" spans="2:8" x14ac:dyDescent="0.35">
      <c r="C93" s="9"/>
      <c r="D93" s="9"/>
    </row>
    <row r="94" spans="2:8" x14ac:dyDescent="0.35">
      <c r="C94" s="9"/>
      <c r="D94" s="9"/>
    </row>
  </sheetData>
  <phoneticPr fontId="6" type="noConversion"/>
  <conditionalFormatting sqref="A6:H57 E58:H58 A58:C59 A60:H65 A67:H74">
    <cfRule type="expression" dxfId="1" priority="6">
      <formula>MOD(ROW(),2)=0</formula>
    </cfRule>
  </conditionalFormatting>
  <conditionalFormatting sqref="D59:H59">
    <cfRule type="expression" dxfId="0" priority="1">
      <formula>MOD(ROW(),2)=0</formula>
    </cfRule>
  </conditionalFormatting>
  <pageMargins left="0.5" right="0.5" top="1" bottom="1" header="0.5" footer="0.5"/>
  <pageSetup scale="44" fitToHeight="2" orientation="landscape" r:id="rId1"/>
  <headerFooter alignWithMargins="0">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O44"/>
  <sheetViews>
    <sheetView zoomScale="130" zoomScaleNormal="130" workbookViewId="0">
      <selection activeCell="B27" sqref="B27:G27"/>
    </sheetView>
  </sheetViews>
  <sheetFormatPr defaultColWidth="8.921875" defaultRowHeight="15.5" x14ac:dyDescent="0.35"/>
  <cols>
    <col min="1" max="1" width="5.921875" style="2" customWidth="1"/>
    <col min="2" max="2" width="45.921875" style="2" customWidth="1"/>
    <col min="3" max="5" width="14.07421875" style="2" customWidth="1"/>
    <col min="6" max="6" width="2.921875" style="2" customWidth="1"/>
    <col min="7" max="7" width="4.921875" style="6" customWidth="1"/>
    <col min="8" max="9" width="11.07421875" style="2" bestFit="1" customWidth="1"/>
    <col min="10" max="11" width="8.921875" style="2"/>
    <col min="12" max="14" width="16.07421875" style="2" customWidth="1"/>
    <col min="15" max="16384" width="8.921875" style="2"/>
  </cols>
  <sheetData>
    <row r="1" spans="1:14" x14ac:dyDescent="0.35">
      <c r="A1" s="10" t="s">
        <v>104</v>
      </c>
      <c r="G1" s="7" t="s">
        <v>126</v>
      </c>
    </row>
    <row r="2" spans="1:14" x14ac:dyDescent="0.35">
      <c r="A2" s="1" t="s">
        <v>117</v>
      </c>
    </row>
    <row r="3" spans="1:14" x14ac:dyDescent="0.35">
      <c r="A3" s="86" t="str">
        <f>+'COS Summary'!A2</f>
        <v>For the Test Year Ended June 30, 2024</v>
      </c>
    </row>
    <row r="4" spans="1:14" x14ac:dyDescent="0.35">
      <c r="A4" s="1"/>
    </row>
    <row r="6" spans="1:14" ht="18" x14ac:dyDescent="0.4">
      <c r="A6" s="12" t="s">
        <v>85</v>
      </c>
      <c r="B6" s="46"/>
      <c r="C6" s="46"/>
      <c r="D6" s="36"/>
      <c r="E6" s="36"/>
      <c r="F6" s="46"/>
      <c r="G6" s="46"/>
    </row>
    <row r="7" spans="1:14" x14ac:dyDescent="0.35">
      <c r="B7" s="87"/>
      <c r="C7" s="6"/>
      <c r="D7" s="6"/>
      <c r="E7" s="6"/>
      <c r="F7" s="6"/>
    </row>
    <row r="8" spans="1:14" x14ac:dyDescent="0.35">
      <c r="C8" s="6" t="s">
        <v>121</v>
      </c>
      <c r="D8" s="6" t="s">
        <v>4</v>
      </c>
      <c r="E8" s="6" t="s">
        <v>122</v>
      </c>
      <c r="F8" s="6"/>
      <c r="M8" s="5"/>
      <c r="N8" s="5"/>
    </row>
    <row r="9" spans="1:14" ht="16" thickBot="1" x14ac:dyDescent="0.4">
      <c r="A9" s="11" t="s">
        <v>17</v>
      </c>
      <c r="B9" s="11" t="s">
        <v>1</v>
      </c>
      <c r="C9" s="4" t="str">
        <f>+'COS Summary'!D6</f>
        <v>7/1/23-6/30/24</v>
      </c>
      <c r="D9" s="11" t="s">
        <v>124</v>
      </c>
      <c r="E9" s="4" t="str">
        <f>+'COS Summary'!F6</f>
        <v>8/1/25-7/31/26</v>
      </c>
      <c r="F9" s="11"/>
      <c r="G9" s="11" t="s">
        <v>84</v>
      </c>
      <c r="M9" s="5"/>
      <c r="N9" s="5"/>
    </row>
    <row r="10" spans="1:14" x14ac:dyDescent="0.35">
      <c r="C10" s="63"/>
      <c r="D10" s="8"/>
      <c r="E10" s="47"/>
      <c r="M10" s="217"/>
      <c r="N10" s="217"/>
    </row>
    <row r="11" spans="1:14" x14ac:dyDescent="0.35">
      <c r="A11" s="6"/>
      <c r="B11" s="29" t="s">
        <v>135</v>
      </c>
      <c r="C11" s="48"/>
      <c r="D11" s="48"/>
      <c r="E11" s="48"/>
      <c r="M11" s="217"/>
      <c r="N11" s="217"/>
    </row>
    <row r="12" spans="1:14" x14ac:dyDescent="0.35">
      <c r="A12" s="6">
        <v>501</v>
      </c>
      <c r="B12" s="87" t="s">
        <v>214</v>
      </c>
      <c r="C12" s="18">
        <v>8909.99</v>
      </c>
      <c r="D12" s="18"/>
      <c r="E12" s="18">
        <f>SUM(C12:D12)</f>
        <v>8909.99</v>
      </c>
      <c r="M12" s="217"/>
      <c r="N12" s="217"/>
    </row>
    <row r="13" spans="1:14" x14ac:dyDescent="0.35">
      <c r="A13" s="6">
        <v>501</v>
      </c>
      <c r="B13" s="87" t="s">
        <v>215</v>
      </c>
      <c r="C13" s="18">
        <v>16975.5</v>
      </c>
      <c r="D13" s="18"/>
      <c r="E13" s="18">
        <f>SUM(C13:D13)</f>
        <v>16975.5</v>
      </c>
      <c r="M13" s="217"/>
      <c r="N13" s="217"/>
    </row>
    <row r="14" spans="1:14" x14ac:dyDescent="0.35">
      <c r="A14" s="6">
        <v>501</v>
      </c>
      <c r="B14" s="87" t="s">
        <v>216</v>
      </c>
      <c r="C14" s="65">
        <f>+M40</f>
        <v>4864372</v>
      </c>
      <c r="D14" s="65">
        <v>275056</v>
      </c>
      <c r="E14" s="18">
        <f>SUM(C14:D14)</f>
        <v>5139428</v>
      </c>
      <c r="G14" s="49">
        <v>1</v>
      </c>
      <c r="H14" s="247"/>
      <c r="I14" s="106"/>
      <c r="M14" s="217"/>
      <c r="N14" s="217"/>
    </row>
    <row r="15" spans="1:14" x14ac:dyDescent="0.35">
      <c r="A15" s="6">
        <v>501</v>
      </c>
      <c r="B15" s="87" t="s">
        <v>217</v>
      </c>
      <c r="C15" s="65">
        <f>+M41</f>
        <v>1907503</v>
      </c>
      <c r="D15" s="18">
        <v>2639</v>
      </c>
      <c r="E15" s="18">
        <f>SUM(C15:D15)</f>
        <v>1910142</v>
      </c>
      <c r="G15" s="6">
        <v>2</v>
      </c>
      <c r="H15" s="247"/>
      <c r="L15" s="87"/>
      <c r="M15" s="217"/>
      <c r="N15" s="217"/>
    </row>
    <row r="16" spans="1:14" x14ac:dyDescent="0.35">
      <c r="A16" s="6"/>
      <c r="B16" s="13" t="s">
        <v>132</v>
      </c>
      <c r="C16" s="50">
        <f>SUM(C12:C15)</f>
        <v>6797760.4900000002</v>
      </c>
      <c r="D16" s="50">
        <f>SUM(D12:D15)</f>
        <v>277695</v>
      </c>
      <c r="E16" s="50">
        <f>SUM(E12:E15)</f>
        <v>7075455.4900000002</v>
      </c>
      <c r="I16" s="63"/>
      <c r="L16" s="87"/>
      <c r="M16" s="217"/>
      <c r="N16" s="217"/>
    </row>
    <row r="17" spans="1:15" x14ac:dyDescent="0.35">
      <c r="A17" s="6"/>
      <c r="C17" s="18"/>
      <c r="D17" s="18"/>
      <c r="E17" s="18"/>
      <c r="L17" s="87"/>
    </row>
    <row r="18" spans="1:15" x14ac:dyDescent="0.35">
      <c r="A18" s="6"/>
      <c r="B18" s="29" t="s">
        <v>134</v>
      </c>
      <c r="C18" s="18"/>
      <c r="D18" s="18"/>
      <c r="E18" s="18"/>
      <c r="L18" s="87"/>
      <c r="M18" s="58"/>
      <c r="N18" s="58"/>
      <c r="O18" s="87"/>
    </row>
    <row r="19" spans="1:15" x14ac:dyDescent="0.35">
      <c r="A19" s="6">
        <v>547</v>
      </c>
      <c r="B19" s="88" t="s">
        <v>382</v>
      </c>
      <c r="C19" s="18">
        <v>309651.52</v>
      </c>
      <c r="D19" s="65">
        <v>-200987</v>
      </c>
      <c r="E19" s="18">
        <f>SUM(C19:D19)</f>
        <v>108664.52000000002</v>
      </c>
      <c r="G19" s="49">
        <v>3</v>
      </c>
      <c r="H19" s="247"/>
      <c r="L19" s="87"/>
      <c r="M19" s="58"/>
      <c r="N19" s="58"/>
    </row>
    <row r="20" spans="1:15" x14ac:dyDescent="0.35">
      <c r="A20" s="6"/>
      <c r="B20" s="13" t="s">
        <v>133</v>
      </c>
      <c r="C20" s="50">
        <f>SUM(C19:C19)</f>
        <v>309651.52</v>
      </c>
      <c r="D20" s="50">
        <f>SUM(D19:D19)</f>
        <v>-200987</v>
      </c>
      <c r="E20" s="50">
        <f>SUM(C20:D20)</f>
        <v>108664.52000000002</v>
      </c>
      <c r="L20" s="87"/>
    </row>
    <row r="21" spans="1:15" x14ac:dyDescent="0.35">
      <c r="C21" s="18"/>
      <c r="D21" s="18"/>
      <c r="E21" s="18"/>
      <c r="L21" s="87"/>
      <c r="N21" s="217"/>
    </row>
    <row r="22" spans="1:15" ht="16" thickBot="1" x14ac:dyDescent="0.4">
      <c r="B22" s="19" t="s">
        <v>82</v>
      </c>
      <c r="C22" s="17">
        <f>+C16+C20</f>
        <v>7107412.0099999998</v>
      </c>
      <c r="D22" s="17">
        <f>+D16+D20</f>
        <v>76708</v>
      </c>
      <c r="E22" s="17">
        <f>+E16+E20</f>
        <v>7184120.0099999998</v>
      </c>
    </row>
    <row r="23" spans="1:15" ht="16" thickTop="1" x14ac:dyDescent="0.35">
      <c r="D23" s="63"/>
      <c r="E23" s="63"/>
    </row>
    <row r="24" spans="1:15" x14ac:dyDescent="0.35">
      <c r="A24" s="2" t="s">
        <v>87</v>
      </c>
      <c r="B24" s="28"/>
      <c r="C24" s="63"/>
    </row>
    <row r="25" spans="1:15" ht="36.65" customHeight="1" x14ac:dyDescent="0.35">
      <c r="A25" s="262">
        <v>1</v>
      </c>
      <c r="B25" s="359" t="s">
        <v>549</v>
      </c>
      <c r="C25" s="360"/>
      <c r="D25" s="360"/>
      <c r="E25" s="360"/>
      <c r="F25" s="360"/>
      <c r="G25" s="360"/>
    </row>
    <row r="26" spans="1:15" x14ac:dyDescent="0.35">
      <c r="A26" s="262">
        <v>2</v>
      </c>
      <c r="B26" s="87" t="s">
        <v>520</v>
      </c>
    </row>
    <row r="27" spans="1:15" ht="30.65" customHeight="1" x14ac:dyDescent="0.35">
      <c r="A27" s="262">
        <v>3</v>
      </c>
      <c r="B27" s="359" t="s">
        <v>550</v>
      </c>
      <c r="C27" s="359"/>
      <c r="D27" s="359"/>
      <c r="E27" s="359"/>
      <c r="F27" s="359"/>
      <c r="G27" s="359"/>
    </row>
    <row r="28" spans="1:15" x14ac:dyDescent="0.35">
      <c r="C28" s="63"/>
    </row>
    <row r="32" spans="1:15" x14ac:dyDescent="0.35">
      <c r="L32" s="2" t="s">
        <v>480</v>
      </c>
      <c r="M32" s="340">
        <v>8909.99</v>
      </c>
    </row>
    <row r="33" spans="10:13" x14ac:dyDescent="0.35">
      <c r="J33" s="87"/>
      <c r="K33" s="87"/>
      <c r="L33" s="87" t="s">
        <v>481</v>
      </c>
      <c r="M33" s="341">
        <v>16975.5</v>
      </c>
    </row>
    <row r="34" spans="10:13" x14ac:dyDescent="0.35">
      <c r="J34" s="87"/>
      <c r="K34" s="87"/>
      <c r="L34" s="87" t="s">
        <v>482</v>
      </c>
      <c r="M34" s="341">
        <v>6771874.7300000004</v>
      </c>
    </row>
    <row r="35" spans="10:13" ht="16" thickBot="1" x14ac:dyDescent="0.4">
      <c r="J35" s="87"/>
      <c r="K35" s="87"/>
      <c r="L35" s="87" t="s">
        <v>483</v>
      </c>
      <c r="M35" s="342">
        <f>SUM(M32:M34)</f>
        <v>6797760.2200000007</v>
      </c>
    </row>
    <row r="36" spans="10:13" ht="16" thickTop="1" x14ac:dyDescent="0.35">
      <c r="J36" s="87"/>
      <c r="K36" s="87"/>
      <c r="L36" s="87"/>
      <c r="M36" s="87"/>
    </row>
    <row r="37" spans="10:13" x14ac:dyDescent="0.35">
      <c r="J37" s="87"/>
      <c r="K37" s="87"/>
      <c r="L37" s="87" t="s">
        <v>484</v>
      </c>
      <c r="M37" s="87"/>
    </row>
    <row r="38" spans="10:13" x14ac:dyDescent="0.35">
      <c r="J38" s="87"/>
      <c r="K38" s="87"/>
      <c r="L38" s="87"/>
      <c r="M38" s="87"/>
    </row>
    <row r="39" spans="10:13" x14ac:dyDescent="0.35">
      <c r="J39" s="87"/>
      <c r="K39" s="87"/>
      <c r="L39" s="87"/>
      <c r="M39" s="87"/>
    </row>
    <row r="40" spans="10:13" x14ac:dyDescent="0.35">
      <c r="J40" s="87"/>
      <c r="K40" s="87"/>
      <c r="L40" s="87" t="s">
        <v>485</v>
      </c>
      <c r="M40" s="343">
        <v>4864372</v>
      </c>
    </row>
    <row r="41" spans="10:13" x14ac:dyDescent="0.35">
      <c r="J41" s="87"/>
      <c r="K41" s="87"/>
      <c r="L41" s="87" t="s">
        <v>13</v>
      </c>
      <c r="M41" s="341">
        <v>1907503</v>
      </c>
    </row>
    <row r="42" spans="10:13" x14ac:dyDescent="0.35">
      <c r="J42" s="87"/>
      <c r="K42" s="87"/>
      <c r="L42" s="87"/>
      <c r="M42" s="343"/>
    </row>
    <row r="43" spans="10:13" ht="16" thickBot="1" x14ac:dyDescent="0.4">
      <c r="M43" s="344">
        <f>+M40+M41</f>
        <v>6771875</v>
      </c>
    </row>
    <row r="44" spans="10:13" ht="16" thickTop="1" x14ac:dyDescent="0.35">
      <c r="M44" s="340">
        <f>+M43-M34</f>
        <v>0.26999999955296516</v>
      </c>
    </row>
  </sheetData>
  <mergeCells count="2">
    <mergeCell ref="B25:G25"/>
    <mergeCell ref="B27:G27"/>
  </mergeCells>
  <phoneticPr fontId="0" type="noConversion"/>
  <printOptions horizontalCentered="1"/>
  <pageMargins left="0.5" right="0" top="1" bottom="1" header="0.5" footer="0.5"/>
  <pageSetup scale="33" orientation="portrait" r:id="rId1"/>
  <headerFooter alignWithMargins="0"/>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V80"/>
  <sheetViews>
    <sheetView zoomScale="130" zoomScaleNormal="130" workbookViewId="0">
      <selection activeCell="B8" sqref="B8"/>
    </sheetView>
  </sheetViews>
  <sheetFormatPr defaultColWidth="8.921875" defaultRowHeight="15.5" x14ac:dyDescent="0.35"/>
  <cols>
    <col min="1" max="1" width="5.921875" style="2" customWidth="1"/>
    <col min="2" max="2" width="45.921875" style="2" customWidth="1"/>
    <col min="3" max="5" width="14.07421875" style="2" customWidth="1"/>
    <col min="6" max="6" width="2.921875" style="2" customWidth="1"/>
    <col min="7" max="7" width="4.921875" style="6" customWidth="1"/>
    <col min="8" max="8" width="13.53515625" style="2" customWidth="1"/>
    <col min="9" max="16384" width="8.921875" style="2"/>
  </cols>
  <sheetData>
    <row r="1" spans="1:256" x14ac:dyDescent="0.35">
      <c r="A1" s="10" t="s">
        <v>104</v>
      </c>
      <c r="B1" s="1"/>
      <c r="C1" s="10"/>
      <c r="D1" s="1"/>
      <c r="E1" s="1"/>
      <c r="F1" s="1"/>
      <c r="G1" s="22" t="s">
        <v>150</v>
      </c>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row>
    <row r="2" spans="1:256" x14ac:dyDescent="0.35">
      <c r="A2" s="1" t="s">
        <v>117</v>
      </c>
      <c r="B2" s="1"/>
      <c r="C2" s="10"/>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row>
    <row r="3" spans="1:256" x14ac:dyDescent="0.35">
      <c r="A3" s="86" t="str">
        <f>+'COS Summary'!A2</f>
        <v>For the Test Year Ended June 30, 2024</v>
      </c>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0"/>
      <c r="FX3" s="10"/>
      <c r="FY3" s="10"/>
      <c r="FZ3" s="10"/>
      <c r="GA3" s="10"/>
      <c r="GB3" s="10"/>
      <c r="GC3" s="10"/>
      <c r="GD3" s="10"/>
      <c r="GE3" s="10"/>
      <c r="GF3" s="10"/>
      <c r="GG3" s="10"/>
      <c r="GH3" s="10"/>
      <c r="GI3" s="10"/>
      <c r="GJ3" s="10"/>
      <c r="GK3" s="10"/>
      <c r="GL3" s="10"/>
      <c r="GM3" s="10"/>
      <c r="GN3" s="10"/>
      <c r="GO3" s="10"/>
      <c r="GP3" s="10"/>
      <c r="GQ3" s="10"/>
      <c r="GR3" s="10"/>
      <c r="GS3" s="10"/>
      <c r="GT3" s="10"/>
      <c r="GU3" s="10"/>
      <c r="GV3" s="10"/>
      <c r="GW3" s="10"/>
      <c r="GX3" s="10"/>
      <c r="GY3" s="10"/>
      <c r="GZ3" s="10"/>
      <c r="HA3" s="10"/>
      <c r="HB3" s="10"/>
      <c r="HC3" s="10"/>
      <c r="HD3" s="10"/>
      <c r="HE3" s="10"/>
      <c r="HF3" s="10"/>
      <c r="HG3" s="10"/>
      <c r="HH3" s="10"/>
      <c r="HI3" s="10"/>
      <c r="HJ3" s="10"/>
      <c r="HK3" s="10"/>
      <c r="HL3" s="10"/>
      <c r="HM3" s="10"/>
      <c r="HN3" s="10"/>
      <c r="HO3" s="10"/>
      <c r="HP3" s="10"/>
      <c r="HQ3" s="10"/>
      <c r="HR3" s="10"/>
      <c r="HS3" s="10"/>
      <c r="HT3" s="10"/>
      <c r="HU3" s="10"/>
      <c r="HV3" s="10"/>
      <c r="HW3" s="10"/>
      <c r="HX3" s="10"/>
      <c r="HY3" s="10"/>
      <c r="HZ3" s="10"/>
      <c r="IA3" s="10"/>
      <c r="IB3" s="10"/>
      <c r="IC3" s="10"/>
      <c r="ID3" s="10"/>
      <c r="IE3" s="10"/>
      <c r="IF3" s="10"/>
      <c r="IG3" s="10"/>
      <c r="IH3" s="10"/>
      <c r="II3" s="10"/>
      <c r="IJ3" s="10"/>
      <c r="IK3" s="10"/>
      <c r="IL3" s="10"/>
      <c r="IM3" s="10"/>
      <c r="IN3" s="10"/>
      <c r="IO3" s="10"/>
      <c r="IP3" s="10"/>
      <c r="IQ3" s="10"/>
      <c r="IR3" s="10"/>
      <c r="IS3" s="10"/>
      <c r="IT3" s="10"/>
      <c r="IU3" s="10"/>
      <c r="IV3" s="10"/>
    </row>
    <row r="4" spans="1:256" x14ac:dyDescent="0.35">
      <c r="A4" s="10"/>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c r="FM4" s="10"/>
      <c r="FN4" s="10"/>
      <c r="FO4" s="10"/>
      <c r="FP4" s="10"/>
      <c r="FQ4" s="10"/>
      <c r="FR4" s="10"/>
      <c r="FS4" s="10"/>
      <c r="FT4" s="10"/>
      <c r="FU4" s="10"/>
      <c r="FV4" s="10"/>
      <c r="FW4" s="10"/>
      <c r="FX4" s="10"/>
      <c r="FY4" s="10"/>
      <c r="FZ4" s="10"/>
      <c r="GA4" s="10"/>
      <c r="GB4" s="10"/>
      <c r="GC4" s="10"/>
      <c r="GD4" s="10"/>
      <c r="GE4" s="10"/>
      <c r="GF4" s="10"/>
      <c r="GG4" s="10"/>
      <c r="GH4" s="10"/>
      <c r="GI4" s="10"/>
      <c r="GJ4" s="10"/>
      <c r="GK4" s="10"/>
      <c r="GL4" s="10"/>
      <c r="GM4" s="10"/>
      <c r="GN4" s="10"/>
      <c r="GO4" s="10"/>
      <c r="GP4" s="10"/>
      <c r="GQ4" s="10"/>
      <c r="GR4" s="10"/>
      <c r="GS4" s="10"/>
      <c r="GT4" s="10"/>
      <c r="GU4" s="10"/>
      <c r="GV4" s="10"/>
      <c r="GW4" s="10"/>
      <c r="GX4" s="10"/>
      <c r="GY4" s="10"/>
      <c r="GZ4" s="10"/>
      <c r="HA4" s="10"/>
      <c r="HB4" s="10"/>
      <c r="HC4" s="10"/>
      <c r="HD4" s="10"/>
      <c r="HE4" s="10"/>
      <c r="HF4" s="10"/>
      <c r="HG4" s="10"/>
      <c r="HH4" s="10"/>
      <c r="HI4" s="10"/>
      <c r="HJ4" s="10"/>
      <c r="HK4" s="10"/>
      <c r="HL4" s="10"/>
      <c r="HM4" s="10"/>
      <c r="HN4" s="10"/>
      <c r="HO4" s="10"/>
      <c r="HP4" s="10"/>
      <c r="HQ4" s="10"/>
      <c r="HR4" s="10"/>
      <c r="HS4" s="10"/>
      <c r="HT4" s="10"/>
      <c r="HU4" s="10"/>
      <c r="HV4" s="10"/>
      <c r="HW4" s="10"/>
      <c r="HX4" s="10"/>
      <c r="HY4" s="10"/>
      <c r="HZ4" s="10"/>
      <c r="IA4" s="10"/>
      <c r="IB4" s="10"/>
      <c r="IC4" s="10"/>
      <c r="ID4" s="10"/>
      <c r="IE4" s="10"/>
      <c r="IF4" s="10"/>
      <c r="IG4" s="10"/>
      <c r="IH4" s="10"/>
      <c r="II4" s="10"/>
      <c r="IJ4" s="10"/>
      <c r="IK4" s="10"/>
      <c r="IL4" s="10"/>
      <c r="IM4" s="10"/>
      <c r="IN4" s="10"/>
      <c r="IO4" s="10"/>
      <c r="IP4" s="10"/>
      <c r="IQ4" s="10"/>
      <c r="IR4" s="10"/>
      <c r="IS4" s="10"/>
      <c r="IT4" s="10"/>
      <c r="IU4" s="10"/>
      <c r="IV4" s="10"/>
    </row>
    <row r="6" spans="1:256" ht="18" x14ac:dyDescent="0.4">
      <c r="A6" s="12" t="s">
        <v>86</v>
      </c>
      <c r="B6" s="46"/>
      <c r="C6" s="46"/>
      <c r="D6" s="36"/>
      <c r="E6" s="36"/>
      <c r="F6" s="46"/>
      <c r="G6" s="46"/>
    </row>
    <row r="7" spans="1:256" ht="15" customHeight="1" x14ac:dyDescent="0.35">
      <c r="C7" s="6"/>
      <c r="D7" s="6"/>
      <c r="E7" s="6"/>
      <c r="F7" s="6"/>
    </row>
    <row r="8" spans="1:256" ht="15" customHeight="1" x14ac:dyDescent="0.35">
      <c r="C8" s="6" t="s">
        <v>121</v>
      </c>
      <c r="D8" s="6" t="s">
        <v>4</v>
      </c>
      <c r="E8" s="6" t="s">
        <v>122</v>
      </c>
      <c r="F8" s="6"/>
    </row>
    <row r="9" spans="1:256" ht="16" thickBot="1" x14ac:dyDescent="0.4">
      <c r="A9" s="11" t="s">
        <v>17</v>
      </c>
      <c r="B9" s="11" t="s">
        <v>1</v>
      </c>
      <c r="C9" s="4" t="str">
        <f>+'COS Summary'!D6</f>
        <v>7/1/23-6/30/24</v>
      </c>
      <c r="D9" s="11" t="s">
        <v>124</v>
      </c>
      <c r="E9" s="4" t="str">
        <f>+'COS Summary'!F6</f>
        <v>8/1/25-7/31/26</v>
      </c>
      <c r="F9" s="4"/>
      <c r="G9" s="4" t="s">
        <v>84</v>
      </c>
      <c r="I9" s="87"/>
    </row>
    <row r="10" spans="1:256" x14ac:dyDescent="0.35">
      <c r="C10" s="47"/>
      <c r="D10" s="8"/>
      <c r="E10" s="47"/>
      <c r="F10" s="47"/>
      <c r="I10" s="87"/>
    </row>
    <row r="11" spans="1:256" x14ac:dyDescent="0.35">
      <c r="A11" s="6"/>
      <c r="B11" s="30" t="s">
        <v>18</v>
      </c>
    </row>
    <row r="12" spans="1:256" x14ac:dyDescent="0.35">
      <c r="A12" s="6"/>
      <c r="B12" s="29" t="s">
        <v>144</v>
      </c>
      <c r="C12" s="48"/>
      <c r="D12" s="48"/>
      <c r="E12" s="48"/>
    </row>
    <row r="13" spans="1:256" x14ac:dyDescent="0.35">
      <c r="A13" s="6">
        <v>500</v>
      </c>
      <c r="B13" s="8" t="s">
        <v>20</v>
      </c>
      <c r="C13" s="18">
        <v>226484.24</v>
      </c>
      <c r="D13" s="18">
        <v>181716</v>
      </c>
      <c r="E13" s="18">
        <f>SUM(C13:D13)</f>
        <v>408200.24</v>
      </c>
      <c r="G13" s="6">
        <v>1</v>
      </c>
      <c r="I13" s="63"/>
      <c r="J13" s="87"/>
    </row>
    <row r="14" spans="1:256" x14ac:dyDescent="0.35">
      <c r="A14" s="6">
        <v>502</v>
      </c>
      <c r="B14" s="8" t="s">
        <v>88</v>
      </c>
      <c r="C14" s="18">
        <v>1018522.52</v>
      </c>
      <c r="D14" s="18">
        <v>88990</v>
      </c>
      <c r="E14" s="18">
        <f>SUM(C14:D14)</f>
        <v>1107512.52</v>
      </c>
      <c r="G14" s="6">
        <v>2</v>
      </c>
    </row>
    <row r="15" spans="1:256" x14ac:dyDescent="0.35">
      <c r="A15" s="6">
        <v>505</v>
      </c>
      <c r="B15" s="8" t="s">
        <v>89</v>
      </c>
      <c r="C15" s="18">
        <v>373170.91</v>
      </c>
      <c r="D15" s="18">
        <v>347</v>
      </c>
      <c r="E15" s="18">
        <f>SUM(C15:D15)</f>
        <v>373517.91</v>
      </c>
      <c r="G15" s="6">
        <v>3</v>
      </c>
    </row>
    <row r="16" spans="1:256" x14ac:dyDescent="0.35">
      <c r="A16" s="6">
        <v>506</v>
      </c>
      <c r="B16" s="35" t="s">
        <v>24</v>
      </c>
      <c r="C16" s="55">
        <v>355731.26</v>
      </c>
      <c r="D16" s="55"/>
      <c r="E16" s="55">
        <f>SUM(C16:D16)</f>
        <v>355731.26</v>
      </c>
    </row>
    <row r="17" spans="1:9" x14ac:dyDescent="0.35">
      <c r="A17" s="6"/>
      <c r="B17" s="9" t="s">
        <v>188</v>
      </c>
      <c r="C17" s="44">
        <f>SUM(C13:C16)</f>
        <v>1973908.93</v>
      </c>
      <c r="D17" s="44">
        <f>SUM(D13:D16)</f>
        <v>271053</v>
      </c>
      <c r="E17" s="44">
        <f>SUM(C17:D17)</f>
        <v>2244961.9299999997</v>
      </c>
      <c r="H17" s="63"/>
    </row>
    <row r="18" spans="1:9" x14ac:dyDescent="0.35">
      <c r="A18" s="6"/>
      <c r="C18" s="18"/>
      <c r="D18" s="18"/>
      <c r="E18" s="18"/>
    </row>
    <row r="19" spans="1:9" x14ac:dyDescent="0.35">
      <c r="A19" s="6"/>
      <c r="B19" s="29" t="s">
        <v>143</v>
      </c>
      <c r="C19" s="18"/>
      <c r="D19" s="18"/>
      <c r="E19" s="18"/>
    </row>
    <row r="20" spans="1:9" x14ac:dyDescent="0.35">
      <c r="A20" s="6">
        <v>510</v>
      </c>
      <c r="B20" s="8" t="s">
        <v>20</v>
      </c>
      <c r="C20" s="18">
        <v>50506.03</v>
      </c>
      <c r="D20" s="18">
        <v>37933</v>
      </c>
      <c r="E20" s="18">
        <f t="shared" ref="E20:E25" si="0">SUM(C20:D20)</f>
        <v>88439.03</v>
      </c>
      <c r="G20" s="6">
        <v>4</v>
      </c>
    </row>
    <row r="21" spans="1:9" x14ac:dyDescent="0.35">
      <c r="A21" s="6">
        <v>511</v>
      </c>
      <c r="B21" s="8" t="s">
        <v>22</v>
      </c>
      <c r="C21" s="18">
        <v>28383.55</v>
      </c>
      <c r="D21" s="18"/>
      <c r="E21" s="18">
        <f t="shared" si="0"/>
        <v>28383.55</v>
      </c>
    </row>
    <row r="22" spans="1:9" x14ac:dyDescent="0.35">
      <c r="A22" s="6">
        <v>512</v>
      </c>
      <c r="B22" s="8" t="s">
        <v>25</v>
      </c>
      <c r="C22" s="18">
        <v>551143.5</v>
      </c>
      <c r="D22" s="18">
        <f>(96496.27*0.5)/10+5280</f>
        <v>10104.8135</v>
      </c>
      <c r="E22" s="18">
        <f t="shared" si="0"/>
        <v>561248.31350000005</v>
      </c>
      <c r="G22" s="6">
        <v>5</v>
      </c>
      <c r="I22" s="87"/>
    </row>
    <row r="23" spans="1:9" x14ac:dyDescent="0.35">
      <c r="A23" s="6">
        <v>513</v>
      </c>
      <c r="B23" s="8" t="s">
        <v>26</v>
      </c>
      <c r="C23" s="18">
        <v>330371.15999999997</v>
      </c>
      <c r="D23" s="65">
        <f>108876</f>
        <v>108876</v>
      </c>
      <c r="E23" s="18">
        <f>SUM(C23:D23)</f>
        <v>439247.16</v>
      </c>
      <c r="G23" s="6">
        <v>6</v>
      </c>
      <c r="H23" s="185"/>
      <c r="I23" s="88"/>
    </row>
    <row r="24" spans="1:9" x14ac:dyDescent="0.35">
      <c r="A24" s="6">
        <v>514</v>
      </c>
      <c r="B24" s="35" t="s">
        <v>27</v>
      </c>
      <c r="C24" s="55">
        <v>11490.62</v>
      </c>
      <c r="D24" s="55"/>
      <c r="E24" s="55">
        <f t="shared" si="0"/>
        <v>11490.62</v>
      </c>
      <c r="H24" s="90"/>
    </row>
    <row r="25" spans="1:9" x14ac:dyDescent="0.35">
      <c r="A25" s="6"/>
      <c r="B25" s="9" t="s">
        <v>189</v>
      </c>
      <c r="C25" s="44">
        <f>SUM(C20:C24)</f>
        <v>971894.86</v>
      </c>
      <c r="D25" s="44">
        <f>SUM(D20:D24)</f>
        <v>156913.81349999999</v>
      </c>
      <c r="E25" s="44">
        <f t="shared" si="0"/>
        <v>1128808.6735</v>
      </c>
      <c r="H25" s="90"/>
    </row>
    <row r="26" spans="1:9" x14ac:dyDescent="0.35">
      <c r="A26" s="6"/>
      <c r="C26" s="18"/>
      <c r="D26" s="18"/>
      <c r="E26" s="18"/>
    </row>
    <row r="27" spans="1:9" x14ac:dyDescent="0.35">
      <c r="A27" s="6"/>
      <c r="B27" s="20" t="s">
        <v>186</v>
      </c>
      <c r="C27" s="50">
        <f>+C25+C17</f>
        <v>2945803.79</v>
      </c>
      <c r="D27" s="50">
        <f>+D25+D17</f>
        <v>427966.81349999999</v>
      </c>
      <c r="E27" s="50">
        <f>SUM(C27:D27)</f>
        <v>3373770.6035000002</v>
      </c>
    </row>
    <row r="28" spans="1:9" x14ac:dyDescent="0.35">
      <c r="A28" s="6"/>
      <c r="B28" s="32"/>
      <c r="C28" s="44"/>
      <c r="D28" s="44"/>
      <c r="E28" s="44"/>
      <c r="H28" s="63"/>
    </row>
    <row r="29" spans="1:9" x14ac:dyDescent="0.35">
      <c r="A29" s="6"/>
      <c r="B29" s="30" t="s">
        <v>19</v>
      </c>
      <c r="C29" s="18"/>
      <c r="D29" s="18"/>
      <c r="E29" s="18"/>
    </row>
    <row r="30" spans="1:9" x14ac:dyDescent="0.35">
      <c r="A30" s="6"/>
      <c r="B30" s="29" t="s">
        <v>145</v>
      </c>
      <c r="C30" s="18"/>
      <c r="D30" s="18"/>
      <c r="E30" s="18"/>
      <c r="H30" s="63"/>
    </row>
    <row r="31" spans="1:9" x14ac:dyDescent="0.35">
      <c r="A31" s="6">
        <v>546</v>
      </c>
      <c r="B31" s="8" t="s">
        <v>20</v>
      </c>
      <c r="C31" s="18">
        <v>17346.77</v>
      </c>
      <c r="D31" s="18"/>
      <c r="E31" s="18">
        <f>SUM(C31:D31)</f>
        <v>17346.77</v>
      </c>
    </row>
    <row r="32" spans="1:9" x14ac:dyDescent="0.35">
      <c r="A32" s="6">
        <v>548</v>
      </c>
      <c r="B32" s="91" t="s">
        <v>494</v>
      </c>
      <c r="C32" s="18">
        <v>30968.53</v>
      </c>
      <c r="D32" s="18"/>
      <c r="E32" s="18"/>
    </row>
    <row r="33" spans="1:8" x14ac:dyDescent="0.35">
      <c r="A33" s="6">
        <v>549</v>
      </c>
      <c r="B33" s="8" t="s">
        <v>21</v>
      </c>
      <c r="C33" s="18">
        <v>18196.21</v>
      </c>
      <c r="D33" s="18"/>
      <c r="E33" s="18">
        <f>SUM(C33:D33)</f>
        <v>18196.21</v>
      </c>
      <c r="H33" s="87"/>
    </row>
    <row r="34" spans="1:8" x14ac:dyDescent="0.35">
      <c r="A34" s="6">
        <v>549.01</v>
      </c>
      <c r="B34" s="91" t="s">
        <v>425</v>
      </c>
      <c r="C34" s="18"/>
      <c r="D34" s="18"/>
      <c r="E34" s="18">
        <f>SUM(C34:D34)</f>
        <v>0</v>
      </c>
      <c r="H34" s="87"/>
    </row>
    <row r="35" spans="1:8" x14ac:dyDescent="0.35">
      <c r="A35" s="6">
        <v>550</v>
      </c>
      <c r="B35" s="35" t="s">
        <v>35</v>
      </c>
      <c r="C35" s="55"/>
      <c r="D35" s="55"/>
      <c r="E35" s="55">
        <f>SUM(C35:D35)</f>
        <v>0</v>
      </c>
    </row>
    <row r="36" spans="1:8" x14ac:dyDescent="0.35">
      <c r="A36" s="6"/>
      <c r="B36" s="9" t="s">
        <v>190</v>
      </c>
      <c r="C36" s="44">
        <f>SUM(C31:C35)</f>
        <v>66511.510000000009</v>
      </c>
      <c r="D36" s="44">
        <f>SUM(D31:D35)</f>
        <v>0</v>
      </c>
      <c r="E36" s="44">
        <f>SUM(E31:E35)</f>
        <v>35542.979999999996</v>
      </c>
      <c r="H36" s="63"/>
    </row>
    <row r="37" spans="1:8" x14ac:dyDescent="0.35">
      <c r="A37" s="6"/>
      <c r="C37" s="18"/>
      <c r="D37" s="18"/>
      <c r="E37" s="18"/>
    </row>
    <row r="38" spans="1:8" x14ac:dyDescent="0.35">
      <c r="A38" s="6"/>
      <c r="B38" s="29" t="s">
        <v>143</v>
      </c>
      <c r="C38" s="18"/>
      <c r="D38" s="18"/>
      <c r="E38" s="18"/>
    </row>
    <row r="39" spans="1:8" x14ac:dyDescent="0.35">
      <c r="A39" s="6">
        <v>552</v>
      </c>
      <c r="B39" s="8" t="s">
        <v>22</v>
      </c>
      <c r="C39" s="18">
        <v>21852.77</v>
      </c>
      <c r="D39" s="18"/>
      <c r="E39" s="18">
        <f>SUM(C39:D39)</f>
        <v>21852.77</v>
      </c>
    </row>
    <row r="40" spans="1:8" x14ac:dyDescent="0.35">
      <c r="A40" s="6">
        <v>553</v>
      </c>
      <c r="B40" s="223" t="s">
        <v>23</v>
      </c>
      <c r="C40" s="224">
        <v>126438.49</v>
      </c>
      <c r="D40" s="225"/>
      <c r="E40" s="224">
        <f>SUM(C40:D40)</f>
        <v>126438.49</v>
      </c>
    </row>
    <row r="41" spans="1:8" x14ac:dyDescent="0.35">
      <c r="A41" s="6"/>
      <c r="B41" s="2" t="s">
        <v>189</v>
      </c>
      <c r="C41" s="44">
        <f>SUM(C39:C40)</f>
        <v>148291.26</v>
      </c>
      <c r="D41" s="44">
        <f>SUM(D39:D40)</f>
        <v>0</v>
      </c>
      <c r="E41" s="44">
        <f>SUM(E39:E40)</f>
        <v>148291.26</v>
      </c>
    </row>
    <row r="42" spans="1:8" x14ac:dyDescent="0.35">
      <c r="A42" s="6"/>
      <c r="C42" s="18"/>
      <c r="D42" s="18"/>
      <c r="E42" s="18"/>
    </row>
    <row r="43" spans="1:8" x14ac:dyDescent="0.35">
      <c r="A43" s="6"/>
      <c r="B43" s="13" t="s">
        <v>187</v>
      </c>
      <c r="C43" s="50">
        <f>+C41+C36</f>
        <v>214802.77000000002</v>
      </c>
      <c r="D43" s="50">
        <f>+D41+D36</f>
        <v>0</v>
      </c>
      <c r="E43" s="50">
        <f>SUM(C43:D43)</f>
        <v>214802.77000000002</v>
      </c>
    </row>
    <row r="44" spans="1:8" x14ac:dyDescent="0.35">
      <c r="C44" s="18"/>
      <c r="D44" s="18"/>
      <c r="E44" s="18"/>
    </row>
    <row r="45" spans="1:8" x14ac:dyDescent="0.35">
      <c r="A45" s="6"/>
      <c r="B45" s="30" t="s">
        <v>222</v>
      </c>
      <c r="C45" s="18"/>
      <c r="D45" s="18"/>
      <c r="E45" s="18"/>
    </row>
    <row r="46" spans="1:8" x14ac:dyDescent="0.35">
      <c r="A46" s="6"/>
      <c r="B46" s="29" t="s">
        <v>145</v>
      </c>
      <c r="C46" s="18"/>
      <c r="D46" s="18"/>
      <c r="E46" s="18"/>
    </row>
    <row r="47" spans="1:8" x14ac:dyDescent="0.35">
      <c r="A47" s="6">
        <v>535</v>
      </c>
      <c r="B47" s="91" t="s">
        <v>20</v>
      </c>
      <c r="C47" s="18">
        <v>208846.88</v>
      </c>
      <c r="D47" s="18">
        <v>-124009</v>
      </c>
      <c r="E47" s="18">
        <f>SUM(C47:D47)</f>
        <v>84837.88</v>
      </c>
      <c r="G47" s="6">
        <v>7</v>
      </c>
    </row>
    <row r="48" spans="1:8" x14ac:dyDescent="0.35">
      <c r="A48" s="6">
        <v>536</v>
      </c>
      <c r="B48" s="91" t="s">
        <v>224</v>
      </c>
      <c r="C48" s="18">
        <v>12876.21</v>
      </c>
      <c r="D48" s="18"/>
      <c r="E48" s="18">
        <f t="shared" ref="E48:E58" si="1">SUM(C48:D48)</f>
        <v>12876.21</v>
      </c>
      <c r="H48" s="87"/>
    </row>
    <row r="49" spans="1:8" x14ac:dyDescent="0.35">
      <c r="A49" s="6">
        <v>537</v>
      </c>
      <c r="B49" s="91" t="s">
        <v>225</v>
      </c>
      <c r="C49" s="18">
        <v>22722.38</v>
      </c>
      <c r="D49" s="18"/>
      <c r="E49" s="18">
        <f t="shared" si="1"/>
        <v>22722.38</v>
      </c>
      <c r="H49" s="87"/>
    </row>
    <row r="50" spans="1:8" x14ac:dyDescent="0.35">
      <c r="A50" s="6">
        <v>540</v>
      </c>
      <c r="B50" s="91" t="s">
        <v>35</v>
      </c>
      <c r="C50" s="18"/>
      <c r="D50" s="18"/>
      <c r="E50" s="18">
        <f t="shared" si="1"/>
        <v>0</v>
      </c>
      <c r="H50" s="87"/>
    </row>
    <row r="51" spans="1:8" x14ac:dyDescent="0.35">
      <c r="A51" s="6"/>
      <c r="B51" s="8"/>
      <c r="C51" s="18"/>
      <c r="D51" s="18"/>
      <c r="E51" s="18">
        <f t="shared" si="1"/>
        <v>0</v>
      </c>
      <c r="H51" s="87"/>
    </row>
    <row r="52" spans="1:8" x14ac:dyDescent="0.35">
      <c r="A52" s="6"/>
      <c r="B52" s="29" t="s">
        <v>143</v>
      </c>
      <c r="C52" s="18"/>
      <c r="D52" s="18"/>
      <c r="E52" s="18"/>
    </row>
    <row r="53" spans="1:8" x14ac:dyDescent="0.35">
      <c r="A53" s="6">
        <v>541</v>
      </c>
      <c r="B53" s="91" t="s">
        <v>20</v>
      </c>
      <c r="C53" s="18"/>
      <c r="D53" s="18"/>
      <c r="E53" s="18">
        <f t="shared" si="1"/>
        <v>0</v>
      </c>
      <c r="H53" s="87"/>
    </row>
    <row r="54" spans="1:8" x14ac:dyDescent="0.35">
      <c r="A54" s="6">
        <v>542</v>
      </c>
      <c r="B54" s="91" t="s">
        <v>22</v>
      </c>
      <c r="C54" s="18">
        <v>49410.26</v>
      </c>
      <c r="D54" s="18"/>
      <c r="E54" s="18">
        <f t="shared" si="1"/>
        <v>49410.26</v>
      </c>
      <c r="H54" s="87"/>
    </row>
    <row r="55" spans="1:8" x14ac:dyDescent="0.35">
      <c r="A55" s="6">
        <v>543</v>
      </c>
      <c r="B55" s="91" t="s">
        <v>433</v>
      </c>
      <c r="C55" s="18">
        <v>49798.18</v>
      </c>
      <c r="D55" s="18"/>
      <c r="E55" s="18">
        <f t="shared" si="1"/>
        <v>49798.18</v>
      </c>
      <c r="H55" s="87"/>
    </row>
    <row r="56" spans="1:8" x14ac:dyDescent="0.35">
      <c r="A56" s="6">
        <v>544</v>
      </c>
      <c r="B56" s="91" t="s">
        <v>26</v>
      </c>
      <c r="C56" s="18">
        <v>28389.599999999999</v>
      </c>
      <c r="D56" s="18"/>
      <c r="E56" s="18">
        <f t="shared" si="1"/>
        <v>28389.599999999999</v>
      </c>
      <c r="H56" s="278"/>
    </row>
    <row r="57" spans="1:8" x14ac:dyDescent="0.35">
      <c r="A57" s="6">
        <v>545</v>
      </c>
      <c r="B57" s="91" t="s">
        <v>41</v>
      </c>
      <c r="C57" s="18">
        <v>38515.440000000002</v>
      </c>
      <c r="D57" s="18"/>
      <c r="E57" s="18">
        <f t="shared" si="1"/>
        <v>38515.440000000002</v>
      </c>
      <c r="H57" s="87"/>
    </row>
    <row r="58" spans="1:8" x14ac:dyDescent="0.35">
      <c r="A58" s="6">
        <v>539</v>
      </c>
      <c r="B58" s="91" t="s">
        <v>225</v>
      </c>
      <c r="C58" s="18">
        <v>28289.26</v>
      </c>
      <c r="D58" s="18"/>
      <c r="E58" s="18">
        <f t="shared" si="1"/>
        <v>28289.26</v>
      </c>
      <c r="H58" s="87"/>
    </row>
    <row r="59" spans="1:8" x14ac:dyDescent="0.35">
      <c r="A59" s="6"/>
      <c r="B59" s="13" t="s">
        <v>223</v>
      </c>
      <c r="C59" s="50">
        <f>SUM(C47:C58)</f>
        <v>438848.20999999996</v>
      </c>
      <c r="D59" s="50">
        <f>SUM(D47:D58)</f>
        <v>-124009</v>
      </c>
      <c r="E59" s="50">
        <f>SUM(E47:E58)</f>
        <v>314839.21000000002</v>
      </c>
    </row>
    <row r="60" spans="1:8" x14ac:dyDescent="0.35">
      <c r="C60" s="18"/>
      <c r="D60" s="18"/>
      <c r="E60" s="18"/>
    </row>
    <row r="61" spans="1:8" x14ac:dyDescent="0.35">
      <c r="B61" s="30" t="s">
        <v>226</v>
      </c>
      <c r="C61" s="18"/>
      <c r="D61" s="18"/>
      <c r="E61" s="18"/>
    </row>
    <row r="62" spans="1:8" x14ac:dyDescent="0.35">
      <c r="B62" s="30" t="s">
        <v>229</v>
      </c>
      <c r="C62" s="18"/>
      <c r="D62" s="18"/>
      <c r="E62" s="18"/>
    </row>
    <row r="63" spans="1:8" x14ac:dyDescent="0.35">
      <c r="A63" s="2">
        <v>550</v>
      </c>
      <c r="B63" s="91" t="s">
        <v>227</v>
      </c>
      <c r="C63" s="18">
        <v>18996</v>
      </c>
      <c r="D63" s="18"/>
      <c r="E63" s="18">
        <f>SUM(C63:D63)</f>
        <v>18996</v>
      </c>
    </row>
    <row r="64" spans="1:8" x14ac:dyDescent="0.35">
      <c r="A64" s="2">
        <v>552.02</v>
      </c>
      <c r="B64" s="91" t="s">
        <v>228</v>
      </c>
      <c r="C64" s="18">
        <v>122.16</v>
      </c>
      <c r="D64" s="18"/>
      <c r="E64" s="18">
        <f>SUM(C64:D64)</f>
        <v>122.16</v>
      </c>
    </row>
    <row r="65" spans="1:7" x14ac:dyDescent="0.35">
      <c r="A65" s="2">
        <v>552.03</v>
      </c>
      <c r="B65" s="91" t="s">
        <v>434</v>
      </c>
      <c r="C65" s="18"/>
      <c r="D65" s="18"/>
      <c r="E65" s="18">
        <f>SUM(C65:D65)</f>
        <v>0</v>
      </c>
    </row>
    <row r="66" spans="1:7" x14ac:dyDescent="0.35">
      <c r="B66" s="20" t="s">
        <v>370</v>
      </c>
      <c r="C66" s="50">
        <f>SUM(C63:C65)</f>
        <v>19118.16</v>
      </c>
      <c r="D66" s="50">
        <f>SUM(D63:D65)</f>
        <v>0</v>
      </c>
      <c r="E66" s="50">
        <f>SUM(C66:D66)</f>
        <v>19118.16</v>
      </c>
    </row>
    <row r="67" spans="1:7" x14ac:dyDescent="0.35">
      <c r="C67" s="18"/>
      <c r="D67" s="18"/>
      <c r="E67" s="18"/>
    </row>
    <row r="68" spans="1:7" ht="16" thickBot="1" x14ac:dyDescent="0.4">
      <c r="B68" s="19" t="s">
        <v>191</v>
      </c>
      <c r="C68" s="17">
        <f>+C43+C27+C59+C66</f>
        <v>3618572.93</v>
      </c>
      <c r="D68" s="17">
        <f>+D43+D27+D59+D66</f>
        <v>303957.81349999999</v>
      </c>
      <c r="E68" s="17">
        <f>+E43+E27+E59+E66</f>
        <v>3922530.7435000003</v>
      </c>
      <c r="G68" s="49"/>
    </row>
    <row r="69" spans="1:7" ht="16" thickTop="1" x14ac:dyDescent="0.35">
      <c r="C69" s="48"/>
      <c r="D69" s="48"/>
      <c r="E69" s="48"/>
    </row>
    <row r="70" spans="1:7" x14ac:dyDescent="0.35">
      <c r="A70" s="2" t="s">
        <v>87</v>
      </c>
      <c r="B70" s="53"/>
      <c r="C70" s="48"/>
      <c r="D70" s="48"/>
      <c r="E70" s="48"/>
    </row>
    <row r="71" spans="1:7" ht="45" hidden="1" customHeight="1" x14ac:dyDescent="0.35">
      <c r="A71" s="253"/>
      <c r="B71" s="359"/>
      <c r="C71" s="359"/>
      <c r="D71" s="359"/>
      <c r="E71" s="359"/>
    </row>
    <row r="72" spans="1:7" ht="30.65" customHeight="1" x14ac:dyDescent="0.35">
      <c r="A72" s="262">
        <v>1</v>
      </c>
      <c r="B72" s="364" t="s">
        <v>551</v>
      </c>
      <c r="C72" s="364"/>
      <c r="D72" s="364"/>
      <c r="E72" s="364"/>
    </row>
    <row r="73" spans="1:7" x14ac:dyDescent="0.35">
      <c r="A73" s="262">
        <v>2</v>
      </c>
      <c r="B73" s="362" t="s">
        <v>552</v>
      </c>
      <c r="C73" s="362"/>
      <c r="D73" s="362"/>
      <c r="E73" s="362"/>
    </row>
    <row r="74" spans="1:7" s="87" customFormat="1" x14ac:dyDescent="0.35">
      <c r="A74" s="262">
        <v>3</v>
      </c>
      <c r="B74" s="362" t="s">
        <v>521</v>
      </c>
      <c r="C74" s="362"/>
      <c r="D74" s="362"/>
      <c r="E74" s="362"/>
      <c r="F74" s="130"/>
      <c r="G74" s="130"/>
    </row>
    <row r="75" spans="1:7" s="87" customFormat="1" ht="29.15" customHeight="1" x14ac:dyDescent="0.35">
      <c r="A75" s="262">
        <v>4</v>
      </c>
      <c r="B75" s="363" t="s">
        <v>553</v>
      </c>
      <c r="C75" s="363"/>
      <c r="D75" s="363"/>
      <c r="E75" s="363"/>
      <c r="F75" s="130"/>
      <c r="G75" s="130"/>
    </row>
    <row r="76" spans="1:7" s="87" customFormat="1" ht="29.15" customHeight="1" x14ac:dyDescent="0.35">
      <c r="A76" s="262">
        <v>5</v>
      </c>
      <c r="B76" s="363" t="s">
        <v>554</v>
      </c>
      <c r="C76" s="363"/>
      <c r="D76" s="363"/>
      <c r="E76" s="363"/>
      <c r="F76" s="130"/>
      <c r="G76" s="130"/>
    </row>
    <row r="77" spans="1:7" s="87" customFormat="1" ht="30" customHeight="1" x14ac:dyDescent="0.35">
      <c r="A77" s="262">
        <v>6</v>
      </c>
      <c r="B77" s="363" t="s">
        <v>555</v>
      </c>
      <c r="C77" s="363"/>
      <c r="D77" s="363"/>
      <c r="E77" s="363"/>
      <c r="F77" s="130"/>
      <c r="G77" s="130"/>
    </row>
    <row r="78" spans="1:7" ht="15" customHeight="1" x14ac:dyDescent="0.35">
      <c r="A78" s="252">
        <v>7</v>
      </c>
      <c r="B78" s="361" t="s">
        <v>556</v>
      </c>
      <c r="C78" s="361"/>
      <c r="D78" s="361"/>
      <c r="E78" s="361"/>
      <c r="F78" s="130"/>
      <c r="G78" s="130"/>
    </row>
    <row r="79" spans="1:7" ht="30" customHeight="1" x14ac:dyDescent="0.35">
      <c r="A79" s="252"/>
      <c r="B79" s="361"/>
      <c r="C79" s="361"/>
      <c r="D79" s="361"/>
      <c r="E79" s="361"/>
      <c r="F79" s="130"/>
      <c r="G79" s="130"/>
    </row>
    <row r="80" spans="1:7" x14ac:dyDescent="0.35">
      <c r="B80" s="88"/>
    </row>
  </sheetData>
  <mergeCells count="9">
    <mergeCell ref="B79:E79"/>
    <mergeCell ref="B74:E74"/>
    <mergeCell ref="B71:E71"/>
    <mergeCell ref="B73:E73"/>
    <mergeCell ref="B77:E77"/>
    <mergeCell ref="B76:E76"/>
    <mergeCell ref="B75:E75"/>
    <mergeCell ref="B78:E78"/>
    <mergeCell ref="B72:E72"/>
  </mergeCells>
  <phoneticPr fontId="0" type="noConversion"/>
  <printOptions horizontalCentered="1"/>
  <pageMargins left="0.5" right="0.25" top="1" bottom="1" header="0.5" footer="0.5"/>
  <pageSetup scale="5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79"/>
  <sheetViews>
    <sheetView topLeftCell="A39" zoomScale="124" workbookViewId="0">
      <selection activeCell="C44" sqref="C44"/>
    </sheetView>
  </sheetViews>
  <sheetFormatPr defaultColWidth="8.921875" defaultRowHeight="15.5" x14ac:dyDescent="0.35"/>
  <cols>
    <col min="1" max="1" width="5.921875" style="2" customWidth="1"/>
    <col min="2" max="2" width="45.921875" style="2" customWidth="1"/>
    <col min="3" max="5" width="14.921875" style="2" customWidth="1"/>
    <col min="6" max="6" width="2.921875" style="2" customWidth="1"/>
    <col min="7" max="7" width="4.921875" style="2" customWidth="1"/>
    <col min="8" max="8" width="9.921875" style="2" bestFit="1" customWidth="1"/>
    <col min="9" max="9" width="8.921875" style="2"/>
    <col min="10" max="10" width="9.921875" style="2" bestFit="1" customWidth="1"/>
    <col min="11" max="16384" width="8.921875" style="2"/>
  </cols>
  <sheetData>
    <row r="1" spans="1:8" x14ac:dyDescent="0.35">
      <c r="A1" s="10" t="s">
        <v>104</v>
      </c>
      <c r="G1" s="22" t="s">
        <v>151</v>
      </c>
    </row>
    <row r="2" spans="1:8" x14ac:dyDescent="0.35">
      <c r="A2" s="1" t="s">
        <v>117</v>
      </c>
    </row>
    <row r="3" spans="1:8" x14ac:dyDescent="0.35">
      <c r="A3" s="86" t="str">
        <f>+'COS Summary'!A2</f>
        <v>For the Test Year Ended June 30, 2024</v>
      </c>
    </row>
    <row r="6" spans="1:8" ht="18" x14ac:dyDescent="0.4">
      <c r="A6" s="12" t="s">
        <v>28</v>
      </c>
      <c r="B6" s="46"/>
      <c r="C6" s="46"/>
      <c r="D6" s="36"/>
      <c r="E6" s="36"/>
      <c r="F6" s="46"/>
      <c r="G6" s="46"/>
    </row>
    <row r="7" spans="1:8" x14ac:dyDescent="0.35">
      <c r="C7" s="6"/>
      <c r="D7" s="6"/>
      <c r="E7" s="6"/>
      <c r="F7" s="6"/>
      <c r="G7" s="6"/>
    </row>
    <row r="8" spans="1:8" x14ac:dyDescent="0.35">
      <c r="C8" s="6" t="s">
        <v>121</v>
      </c>
      <c r="D8" s="6" t="s">
        <v>4</v>
      </c>
      <c r="E8" s="6" t="s">
        <v>122</v>
      </c>
      <c r="F8" s="6"/>
      <c r="G8" s="6"/>
    </row>
    <row r="9" spans="1:8" ht="16" thickBot="1" x14ac:dyDescent="0.4">
      <c r="A9" s="11" t="s">
        <v>17</v>
      </c>
      <c r="B9" s="11" t="s">
        <v>1</v>
      </c>
      <c r="C9" s="4" t="str">
        <f>+'COS Summary'!D6</f>
        <v>7/1/23-6/30/24</v>
      </c>
      <c r="D9" s="11" t="s">
        <v>124</v>
      </c>
      <c r="E9" s="4" t="str">
        <f>+'COS Summary'!F6</f>
        <v>8/1/25-7/31/26</v>
      </c>
      <c r="F9" s="4"/>
      <c r="G9" s="4" t="s">
        <v>84</v>
      </c>
      <c r="H9" s="247"/>
    </row>
    <row r="10" spans="1:8" x14ac:dyDescent="0.35">
      <c r="A10" s="5">
        <v>555</v>
      </c>
    </row>
    <row r="11" spans="1:8" x14ac:dyDescent="0.35">
      <c r="B11" s="29" t="s">
        <v>141</v>
      </c>
      <c r="C11" s="51"/>
      <c r="D11" s="51"/>
      <c r="E11" s="51"/>
      <c r="F11" s="6"/>
      <c r="G11" s="6"/>
    </row>
    <row r="12" spans="1:8" x14ac:dyDescent="0.35">
      <c r="B12" s="8" t="s">
        <v>127</v>
      </c>
      <c r="C12" s="18">
        <v>127794.96</v>
      </c>
      <c r="D12" s="96"/>
      <c r="E12" s="18">
        <f>+C12+D12</f>
        <v>127794.96</v>
      </c>
      <c r="F12" s="6"/>
      <c r="G12"/>
    </row>
    <row r="13" spans="1:8" x14ac:dyDescent="0.35">
      <c r="B13" s="8" t="s">
        <v>205</v>
      </c>
      <c r="C13" s="280">
        <v>988497.27</v>
      </c>
      <c r="D13" s="281">
        <v>-302197.4614138382</v>
      </c>
      <c r="E13" s="18">
        <f>+C13+D13</f>
        <v>686299.80858616182</v>
      </c>
      <c r="F13" s="6"/>
      <c r="G13" s="87">
        <v>1</v>
      </c>
    </row>
    <row r="14" spans="1:8" x14ac:dyDescent="0.35">
      <c r="B14" s="91" t="s">
        <v>250</v>
      </c>
      <c r="C14" s="280">
        <v>-76214.05</v>
      </c>
      <c r="D14" s="280">
        <v>-9169.982799999998</v>
      </c>
      <c r="E14" s="18">
        <f>+C14+D14</f>
        <v>-85384.032800000001</v>
      </c>
      <c r="F14" s="6"/>
      <c r="G14" s="87">
        <v>2</v>
      </c>
    </row>
    <row r="15" spans="1:8" x14ac:dyDescent="0.35">
      <c r="B15" s="91" t="s">
        <v>241</v>
      </c>
      <c r="C15" s="18">
        <v>-1211.6099999999999</v>
      </c>
      <c r="D15" s="101">
        <v>1211.6099999999999</v>
      </c>
      <c r="E15" s="18">
        <f>+C15+D15</f>
        <v>0</v>
      </c>
      <c r="F15" s="6"/>
      <c r="G15" s="87">
        <v>3</v>
      </c>
    </row>
    <row r="16" spans="1:8" x14ac:dyDescent="0.35">
      <c r="B16" s="13" t="s">
        <v>136</v>
      </c>
      <c r="C16" s="50">
        <f>SUM(C12:C15)</f>
        <v>1038866.57</v>
      </c>
      <c r="D16" s="50">
        <f>SUM(D12:D15)</f>
        <v>-310155.83421383821</v>
      </c>
      <c r="E16" s="50">
        <f>SUM(C16:D16)</f>
        <v>728710.73578616173</v>
      </c>
      <c r="F16" s="6"/>
      <c r="G16"/>
    </row>
    <row r="17" spans="2:10" x14ac:dyDescent="0.35">
      <c r="C17" s="18"/>
      <c r="D17" s="18"/>
      <c r="E17" s="18"/>
      <c r="F17" s="6"/>
      <c r="G17"/>
    </row>
    <row r="18" spans="2:10" x14ac:dyDescent="0.35">
      <c r="B18" s="29" t="s">
        <v>142</v>
      </c>
      <c r="C18" s="18"/>
      <c r="D18" s="18"/>
      <c r="E18" s="18"/>
      <c r="F18" s="6"/>
      <c r="G18"/>
    </row>
    <row r="19" spans="2:10" x14ac:dyDescent="0.35">
      <c r="B19" s="8" t="s">
        <v>127</v>
      </c>
      <c r="C19" s="96">
        <v>87962.18</v>
      </c>
      <c r="D19" s="96"/>
      <c r="E19" s="18">
        <f t="shared" ref="E19:E30" si="0">SUM(C19:D19)</f>
        <v>87962.18</v>
      </c>
      <c r="F19" s="6"/>
    </row>
    <row r="20" spans="2:10" hidden="1" x14ac:dyDescent="0.35">
      <c r="B20" s="91" t="s">
        <v>29</v>
      </c>
      <c r="C20" s="65"/>
      <c r="D20" s="96"/>
      <c r="E20" s="18">
        <f t="shared" si="0"/>
        <v>0</v>
      </c>
      <c r="F20" s="6"/>
      <c r="G20" s="87"/>
    </row>
    <row r="21" spans="2:10" x14ac:dyDescent="0.35">
      <c r="B21" s="91" t="s">
        <v>236</v>
      </c>
      <c r="C21" s="65">
        <v>2115376.9</v>
      </c>
      <c r="D21" s="101">
        <v>548534.43046702957</v>
      </c>
      <c r="E21" s="18">
        <f t="shared" si="0"/>
        <v>2663911.3304670295</v>
      </c>
      <c r="F21" s="6"/>
      <c r="G21" s="87">
        <v>4</v>
      </c>
      <c r="H21" s="63"/>
    </row>
    <row r="22" spans="2:10" x14ac:dyDescent="0.35">
      <c r="B22" s="91" t="s">
        <v>237</v>
      </c>
      <c r="C22" s="18">
        <v>3183388.69</v>
      </c>
      <c r="D22" s="101">
        <v>403117.73619230883</v>
      </c>
      <c r="E22" s="18">
        <f t="shared" si="0"/>
        <v>3586506.4261923088</v>
      </c>
      <c r="F22" s="6"/>
      <c r="G22" s="87">
        <v>5</v>
      </c>
    </row>
    <row r="23" spans="2:10" x14ac:dyDescent="0.35">
      <c r="B23" s="91" t="s">
        <v>130</v>
      </c>
      <c r="C23" s="18">
        <v>-3294.2</v>
      </c>
      <c r="D23" s="96"/>
      <c r="E23" s="18">
        <f t="shared" si="0"/>
        <v>-3294.2</v>
      </c>
      <c r="F23" s="6"/>
      <c r="G23"/>
    </row>
    <row r="24" spans="2:10" x14ac:dyDescent="0.35">
      <c r="B24" s="91" t="s">
        <v>238</v>
      </c>
      <c r="C24" s="18">
        <f>336081.44-C25</f>
        <v>-184202.56</v>
      </c>
      <c r="D24" s="101">
        <v>616938.10381112713</v>
      </c>
      <c r="E24" s="18">
        <f t="shared" si="0"/>
        <v>432735.54381112714</v>
      </c>
      <c r="F24" s="6"/>
      <c r="G24" s="87">
        <v>6</v>
      </c>
    </row>
    <row r="25" spans="2:10" x14ac:dyDescent="0.35">
      <c r="B25" s="283" t="s">
        <v>476</v>
      </c>
      <c r="C25" s="18">
        <v>520284</v>
      </c>
      <c r="D25" s="101"/>
      <c r="E25" s="18">
        <f t="shared" si="0"/>
        <v>520284</v>
      </c>
      <c r="F25" s="6"/>
      <c r="G25" s="87">
        <v>7</v>
      </c>
    </row>
    <row r="26" spans="2:10" x14ac:dyDescent="0.35">
      <c r="B26" s="91" t="s">
        <v>239</v>
      </c>
      <c r="C26" s="18">
        <v>779347</v>
      </c>
      <c r="D26" s="280"/>
      <c r="E26" s="18">
        <f t="shared" si="0"/>
        <v>779347</v>
      </c>
      <c r="F26" s="6"/>
      <c r="G26"/>
    </row>
    <row r="27" spans="2:10" x14ac:dyDescent="0.35">
      <c r="B27" s="91" t="s">
        <v>240</v>
      </c>
      <c r="C27" s="96">
        <v>3592720.8</v>
      </c>
      <c r="D27" s="282">
        <v>-60688.799999999814</v>
      </c>
      <c r="E27" s="18">
        <f t="shared" si="0"/>
        <v>3532032</v>
      </c>
      <c r="F27" s="6"/>
      <c r="G27" s="87">
        <v>8</v>
      </c>
    </row>
    <row r="28" spans="2:10" x14ac:dyDescent="0.35">
      <c r="B28" s="91" t="s">
        <v>241</v>
      </c>
      <c r="C28" s="18">
        <v>2664134.2000000002</v>
      </c>
      <c r="D28" s="281">
        <v>433927.75752635719</v>
      </c>
      <c r="E28" s="18">
        <f t="shared" si="0"/>
        <v>3098061.9575263574</v>
      </c>
      <c r="F28" s="6"/>
      <c r="G28" s="87">
        <v>9</v>
      </c>
    </row>
    <row r="29" spans="2:10" x14ac:dyDescent="0.35">
      <c r="B29" s="91" t="s">
        <v>242</v>
      </c>
      <c r="C29" s="18">
        <v>2164831.2000000002</v>
      </c>
      <c r="D29" s="280">
        <v>-2164831.2000000002</v>
      </c>
      <c r="E29" s="18">
        <f t="shared" si="0"/>
        <v>0</v>
      </c>
      <c r="F29" s="6"/>
      <c r="G29" s="87">
        <v>10</v>
      </c>
    </row>
    <row r="30" spans="2:10" x14ac:dyDescent="0.35">
      <c r="B30" s="91" t="s">
        <v>508</v>
      </c>
      <c r="C30" s="18">
        <v>0</v>
      </c>
      <c r="D30" s="280">
        <v>825578.03999999992</v>
      </c>
      <c r="E30" s="18">
        <f t="shared" si="0"/>
        <v>825578.03999999992</v>
      </c>
      <c r="F30" s="6"/>
      <c r="G30" s="87">
        <v>11</v>
      </c>
    </row>
    <row r="31" spans="2:10" x14ac:dyDescent="0.35">
      <c r="B31" s="13" t="s">
        <v>137</v>
      </c>
      <c r="C31" s="50">
        <f>SUM(C18:C30)</f>
        <v>14920548.209999997</v>
      </c>
      <c r="D31" s="50">
        <f>SUM(D18:D30)</f>
        <v>602576.06799682265</v>
      </c>
      <c r="E31" s="50">
        <f>SUM(C31:D31)</f>
        <v>15523124.277996819</v>
      </c>
      <c r="F31" s="6"/>
      <c r="G31"/>
      <c r="J31" s="63"/>
    </row>
    <row r="32" spans="2:10" x14ac:dyDescent="0.35">
      <c r="C32" s="18"/>
      <c r="D32" s="18"/>
      <c r="E32" s="18"/>
      <c r="F32" s="6"/>
      <c r="G32"/>
    </row>
    <row r="33" spans="2:7" x14ac:dyDescent="0.35">
      <c r="B33" s="30" t="s">
        <v>128</v>
      </c>
      <c r="C33" s="18"/>
      <c r="D33" s="18"/>
      <c r="E33" s="18"/>
      <c r="F33" s="6"/>
      <c r="G33"/>
    </row>
    <row r="34" spans="2:7" s="1" customFormat="1" x14ac:dyDescent="0.35">
      <c r="B34" s="8" t="s">
        <v>130</v>
      </c>
      <c r="C34" s="96">
        <v>8079.03</v>
      </c>
      <c r="D34" s="96"/>
      <c r="E34" s="18">
        <f>SUM(C34:D34)</f>
        <v>8079.03</v>
      </c>
      <c r="F34" s="5"/>
      <c r="G34"/>
    </row>
    <row r="35" spans="2:7" x14ac:dyDescent="0.35">
      <c r="B35" s="91" t="s">
        <v>459</v>
      </c>
      <c r="C35" s="18">
        <v>-296162.11</v>
      </c>
      <c r="D35" s="282">
        <v>273200.24306877231</v>
      </c>
      <c r="E35" s="18">
        <f>SUM(C35:D35)</f>
        <v>-22961.866931227676</v>
      </c>
      <c r="F35" s="6"/>
      <c r="G35">
        <v>12</v>
      </c>
    </row>
    <row r="36" spans="2:7" x14ac:dyDescent="0.35">
      <c r="B36" s="91" t="s">
        <v>495</v>
      </c>
      <c r="C36" s="18">
        <v>206098.68</v>
      </c>
      <c r="D36" s="282">
        <v>-206098.68</v>
      </c>
      <c r="E36" s="18">
        <f>SUM(C36:D36)</f>
        <v>0</v>
      </c>
      <c r="F36" s="6"/>
      <c r="G36"/>
    </row>
    <row r="37" spans="2:7" x14ac:dyDescent="0.35">
      <c r="B37" s="13" t="s">
        <v>131</v>
      </c>
      <c r="C37" s="50">
        <f>SUM(C34:C36)</f>
        <v>-81984.399999999965</v>
      </c>
      <c r="D37" s="50">
        <f t="shared" ref="D37:E37" si="1">SUM(D34:D36)</f>
        <v>67101.563068772317</v>
      </c>
      <c r="E37" s="50">
        <f t="shared" si="1"/>
        <v>-14882.836931227677</v>
      </c>
      <c r="F37" s="6"/>
      <c r="G37"/>
    </row>
    <row r="38" spans="2:7" x14ac:dyDescent="0.35">
      <c r="C38" s="18"/>
      <c r="D38" s="18"/>
      <c r="E38" s="18"/>
      <c r="F38" s="6"/>
      <c r="G38"/>
    </row>
    <row r="39" spans="2:7" x14ac:dyDescent="0.35">
      <c r="B39" s="30" t="s">
        <v>41</v>
      </c>
      <c r="C39" s="18"/>
      <c r="D39" s="18"/>
      <c r="E39" s="18"/>
      <c r="F39" s="6"/>
      <c r="G39"/>
    </row>
    <row r="40" spans="2:7" x14ac:dyDescent="0.35">
      <c r="B40" s="91" t="s">
        <v>251</v>
      </c>
      <c r="C40" s="18">
        <v>1435.48</v>
      </c>
      <c r="D40" s="142"/>
      <c r="E40" s="18">
        <f t="shared" ref="E40:E47" si="2">SUM(C40:D40)</f>
        <v>1435.48</v>
      </c>
      <c r="F40" s="6"/>
      <c r="G40"/>
    </row>
    <row r="41" spans="2:7" x14ac:dyDescent="0.35">
      <c r="B41" s="91" t="s">
        <v>130</v>
      </c>
      <c r="C41" s="18">
        <v>7220.66</v>
      </c>
      <c r="D41" s="96"/>
      <c r="E41" s="18">
        <f t="shared" si="2"/>
        <v>7220.66</v>
      </c>
      <c r="F41" s="6"/>
      <c r="G41"/>
    </row>
    <row r="42" spans="2:7" hidden="1" x14ac:dyDescent="0.35">
      <c r="B42" s="91" t="s">
        <v>29</v>
      </c>
      <c r="C42" s="18"/>
      <c r="D42" s="96"/>
      <c r="E42" s="18">
        <f t="shared" si="2"/>
        <v>0</v>
      </c>
      <c r="F42" s="6"/>
      <c r="G42" s="87"/>
    </row>
    <row r="43" spans="2:7" x14ac:dyDescent="0.35">
      <c r="B43" s="91" t="s">
        <v>243</v>
      </c>
      <c r="C43" s="18">
        <v>588</v>
      </c>
      <c r="D43" s="96"/>
      <c r="E43" s="18">
        <f t="shared" si="2"/>
        <v>588</v>
      </c>
      <c r="F43" s="6"/>
      <c r="G43"/>
    </row>
    <row r="44" spans="2:7" x14ac:dyDescent="0.35">
      <c r="B44" s="91" t="s">
        <v>479</v>
      </c>
      <c r="C44" s="65">
        <v>333178</v>
      </c>
      <c r="D44" s="282">
        <f>'[2]pp m rec'!C31</f>
        <v>650078.20663386339</v>
      </c>
      <c r="E44" s="65">
        <f t="shared" si="2"/>
        <v>983256.20663386339</v>
      </c>
      <c r="F44" s="6"/>
      <c r="G44" s="87">
        <v>13</v>
      </c>
    </row>
    <row r="45" spans="2:7" x14ac:dyDescent="0.35">
      <c r="B45" s="91" t="s">
        <v>509</v>
      </c>
      <c r="C45" s="65"/>
      <c r="D45" s="142">
        <v>32454.316550249951</v>
      </c>
      <c r="E45" s="65">
        <f t="shared" ref="E45" si="3">SUM(C45:D45)</f>
        <v>32454.316550249951</v>
      </c>
      <c r="F45" s="6"/>
      <c r="G45" s="87"/>
    </row>
    <row r="46" spans="2:7" x14ac:dyDescent="0.35">
      <c r="B46" s="91" t="s">
        <v>244</v>
      </c>
      <c r="C46" s="18">
        <v>602059.26</v>
      </c>
      <c r="D46" s="142">
        <v>35157.420474027254</v>
      </c>
      <c r="E46" s="18">
        <f>SUM(C46:D46)</f>
        <v>637216.68047402729</v>
      </c>
      <c r="F46" s="6"/>
      <c r="G46" s="87">
        <v>14</v>
      </c>
    </row>
    <row r="47" spans="2:7" x14ac:dyDescent="0.35">
      <c r="B47" s="91" t="s">
        <v>245</v>
      </c>
      <c r="C47" s="18">
        <v>-3648.48</v>
      </c>
      <c r="D47" s="96"/>
      <c r="E47" s="18">
        <f t="shared" si="2"/>
        <v>-3648.48</v>
      </c>
      <c r="F47" s="6"/>
      <c r="G47"/>
    </row>
    <row r="48" spans="2:7" x14ac:dyDescent="0.35">
      <c r="B48" s="13" t="s">
        <v>138</v>
      </c>
      <c r="C48" s="50">
        <f>SUM(C40:C47)</f>
        <v>940832.92</v>
      </c>
      <c r="D48" s="50">
        <f>SUM(D40:D47)</f>
        <v>717689.9436581406</v>
      </c>
      <c r="E48" s="50">
        <f>SUM(C48:D48)</f>
        <v>1658522.8636581406</v>
      </c>
      <c r="F48" s="6"/>
      <c r="G48"/>
    </row>
    <row r="49" spans="1:7" x14ac:dyDescent="0.35">
      <c r="C49" s="18"/>
      <c r="D49" s="18"/>
      <c r="E49" s="18"/>
      <c r="F49" s="6"/>
      <c r="G49"/>
    </row>
    <row r="50" spans="1:7" hidden="1" x14ac:dyDescent="0.35">
      <c r="B50" s="31" t="s">
        <v>129</v>
      </c>
      <c r="C50" s="18"/>
      <c r="D50" s="18"/>
      <c r="E50" s="18"/>
      <c r="F50" s="6"/>
      <c r="G50"/>
    </row>
    <row r="51" spans="1:7" hidden="1" x14ac:dyDescent="0.35">
      <c r="B51" s="8" t="s">
        <v>139</v>
      </c>
      <c r="C51" s="18"/>
      <c r="D51" s="96"/>
      <c r="E51" s="18">
        <f>SUM(C51:D51)</f>
        <v>0</v>
      </c>
      <c r="F51" s="6"/>
      <c r="G51"/>
    </row>
    <row r="52" spans="1:7" hidden="1" x14ac:dyDescent="0.35">
      <c r="B52" s="20" t="s">
        <v>140</v>
      </c>
      <c r="C52" s="50">
        <f>SUM(C51:C51)</f>
        <v>0</v>
      </c>
      <c r="D52" s="50">
        <f>SUM(D51:D51)</f>
        <v>0</v>
      </c>
      <c r="E52" s="50">
        <f>SUM(E51:E51)</f>
        <v>0</v>
      </c>
      <c r="F52" s="6"/>
      <c r="G52"/>
    </row>
    <row r="53" spans="1:7" x14ac:dyDescent="0.35">
      <c r="B53" s="1"/>
      <c r="C53" s="18"/>
      <c r="D53" s="18"/>
      <c r="E53" s="18"/>
      <c r="F53" s="6"/>
      <c r="G53"/>
    </row>
    <row r="54" spans="1:7" ht="16" thickBot="1" x14ac:dyDescent="0.4">
      <c r="B54" s="21" t="s">
        <v>30</v>
      </c>
      <c r="C54" s="17">
        <f>SUM(C48,C37,C31,C16,C52)</f>
        <v>16818263.299999997</v>
      </c>
      <c r="D54" s="100">
        <f>SUM(D48,D37,D31,D16,D52)</f>
        <v>1077211.7405098972</v>
      </c>
      <c r="E54" s="17">
        <f>SUM(E48,E37,E31,E16,E52)</f>
        <v>17895475.040509894</v>
      </c>
      <c r="F54" s="6"/>
      <c r="G54"/>
    </row>
    <row r="55" spans="1:7" ht="16" thickTop="1" x14ac:dyDescent="0.35">
      <c r="C55" s="51"/>
      <c r="D55" s="51"/>
      <c r="E55" s="51"/>
      <c r="F55" s="6"/>
      <c r="G55"/>
    </row>
    <row r="56" spans="1:7" x14ac:dyDescent="0.35">
      <c r="A56" s="8" t="s">
        <v>87</v>
      </c>
      <c r="B56" s="67"/>
      <c r="C56" s="51"/>
      <c r="D56" s="51"/>
      <c r="E56" s="51"/>
      <c r="F56" s="6"/>
      <c r="G56" s="6"/>
    </row>
    <row r="57" spans="1:7" ht="49.5" customHeight="1" x14ac:dyDescent="0.35">
      <c r="A57" s="271">
        <v>1</v>
      </c>
      <c r="B57" s="365" t="s">
        <v>510</v>
      </c>
      <c r="C57" s="365"/>
      <c r="D57" s="365"/>
      <c r="E57" s="365"/>
      <c r="F57" s="273"/>
      <c r="G57" s="273"/>
    </row>
    <row r="58" spans="1:7" ht="15" customHeight="1" x14ac:dyDescent="0.35">
      <c r="A58" s="271">
        <f>A57+1</f>
        <v>2</v>
      </c>
      <c r="B58" s="365" t="s">
        <v>511</v>
      </c>
      <c r="C58" s="365"/>
      <c r="D58" s="365"/>
      <c r="E58" s="365"/>
      <c r="F58" s="365"/>
      <c r="G58" s="365"/>
    </row>
    <row r="59" spans="1:7" ht="15" customHeight="1" x14ac:dyDescent="0.35">
      <c r="A59" s="271">
        <f>A58+1</f>
        <v>3</v>
      </c>
      <c r="B59" s="365" t="s">
        <v>512</v>
      </c>
      <c r="C59" s="365"/>
      <c r="D59" s="365"/>
      <c r="E59" s="365"/>
      <c r="F59" s="272"/>
      <c r="G59" s="272"/>
    </row>
    <row r="60" spans="1:7" ht="48" customHeight="1" x14ac:dyDescent="0.35">
      <c r="A60" s="271">
        <f>A59+1</f>
        <v>4</v>
      </c>
      <c r="B60" s="365" t="s">
        <v>558</v>
      </c>
      <c r="C60" s="365"/>
      <c r="D60" s="365"/>
      <c r="E60" s="365"/>
      <c r="F60" s="273"/>
      <c r="G60" s="273"/>
    </row>
    <row r="61" spans="1:7" ht="80.150000000000006" customHeight="1" x14ac:dyDescent="0.35">
      <c r="A61" s="271">
        <f t="shared" ref="A61:A67" si="4">A60+1</f>
        <v>5</v>
      </c>
      <c r="B61" s="365" t="s">
        <v>559</v>
      </c>
      <c r="C61" s="365"/>
      <c r="D61" s="365"/>
      <c r="E61" s="365"/>
      <c r="F61" s="365"/>
      <c r="G61" s="365"/>
    </row>
    <row r="62" spans="1:7" ht="67.400000000000006" customHeight="1" x14ac:dyDescent="0.35">
      <c r="A62" s="271">
        <f t="shared" si="4"/>
        <v>6</v>
      </c>
      <c r="B62" s="365" t="s">
        <v>560</v>
      </c>
      <c r="C62" s="365"/>
      <c r="D62" s="365"/>
      <c r="E62" s="365"/>
      <c r="F62" s="365"/>
      <c r="G62" s="365"/>
    </row>
    <row r="63" spans="1:7" ht="15" customHeight="1" x14ac:dyDescent="0.35">
      <c r="A63" s="271">
        <f t="shared" si="4"/>
        <v>7</v>
      </c>
      <c r="B63" s="365" t="s">
        <v>513</v>
      </c>
      <c r="C63" s="365"/>
      <c r="D63" s="365"/>
      <c r="E63" s="365"/>
      <c r="F63" s="365"/>
      <c r="G63" s="365"/>
    </row>
    <row r="64" spans="1:7" ht="18" customHeight="1" x14ac:dyDescent="0.35">
      <c r="A64" s="271">
        <f t="shared" si="4"/>
        <v>8</v>
      </c>
      <c r="B64" s="365" t="s">
        <v>514</v>
      </c>
      <c r="C64" s="365"/>
      <c r="D64" s="365"/>
      <c r="E64" s="365"/>
      <c r="F64" s="365"/>
      <c r="G64" s="365"/>
    </row>
    <row r="65" spans="1:7" ht="35.15" customHeight="1" x14ac:dyDescent="0.35">
      <c r="A65" s="271">
        <f t="shared" si="4"/>
        <v>9</v>
      </c>
      <c r="B65" s="365" t="s">
        <v>561</v>
      </c>
      <c r="C65" s="365"/>
      <c r="D65" s="365"/>
      <c r="E65" s="365"/>
      <c r="F65" s="365"/>
      <c r="G65" s="365"/>
    </row>
    <row r="66" spans="1:7" ht="15" customHeight="1" x14ac:dyDescent="0.35">
      <c r="A66" s="271">
        <f t="shared" si="4"/>
        <v>10</v>
      </c>
      <c r="B66" s="365" t="s">
        <v>515</v>
      </c>
      <c r="C66" s="365"/>
      <c r="D66" s="365"/>
      <c r="E66" s="365"/>
      <c r="F66" s="365"/>
      <c r="G66" s="365"/>
    </row>
    <row r="67" spans="1:7" ht="36.65" customHeight="1" x14ac:dyDescent="0.35">
      <c r="A67" s="271">
        <f t="shared" si="4"/>
        <v>11</v>
      </c>
      <c r="B67" s="365" t="s">
        <v>562</v>
      </c>
      <c r="C67" s="365"/>
      <c r="D67" s="365"/>
      <c r="E67" s="365"/>
      <c r="F67" s="365"/>
      <c r="G67" s="365"/>
    </row>
    <row r="68" spans="1:7" ht="15" customHeight="1" x14ac:dyDescent="0.35">
      <c r="A68" s="271">
        <v>12</v>
      </c>
      <c r="B68" s="365" t="s">
        <v>563</v>
      </c>
      <c r="C68" s="365"/>
      <c r="D68" s="365"/>
      <c r="E68" s="365"/>
      <c r="F68" s="365"/>
      <c r="G68" s="365"/>
    </row>
    <row r="69" spans="1:7" x14ac:dyDescent="0.35">
      <c r="A69" s="271">
        <v>13</v>
      </c>
      <c r="B69" s="329" t="s">
        <v>564</v>
      </c>
      <c r="C69" s="330"/>
      <c r="D69" s="330"/>
      <c r="E69" s="330"/>
      <c r="F69" s="330"/>
      <c r="G69" s="330"/>
    </row>
    <row r="70" spans="1:7" x14ac:dyDescent="0.35">
      <c r="A70" s="271">
        <v>14</v>
      </c>
      <c r="B70" s="88" t="s">
        <v>565</v>
      </c>
    </row>
    <row r="71" spans="1:7" ht="15" customHeight="1" x14ac:dyDescent="0.35">
      <c r="B71" s="9"/>
      <c r="C71" s="277"/>
    </row>
    <row r="72" spans="1:7" ht="15" customHeight="1" x14ac:dyDescent="0.35">
      <c r="B72" s="365"/>
      <c r="C72" s="365"/>
      <c r="D72" s="365"/>
      <c r="E72" s="365"/>
      <c r="F72" s="365"/>
      <c r="G72" s="365"/>
    </row>
    <row r="73" spans="1:7" x14ac:dyDescent="0.35">
      <c r="B73" s="9"/>
    </row>
    <row r="74" spans="1:7" x14ac:dyDescent="0.35">
      <c r="B74" s="9"/>
    </row>
    <row r="75" spans="1:7" x14ac:dyDescent="0.35">
      <c r="B75" s="9"/>
    </row>
    <row r="76" spans="1:7" x14ac:dyDescent="0.35">
      <c r="B76" s="9"/>
    </row>
    <row r="77" spans="1:7" x14ac:dyDescent="0.35">
      <c r="B77" s="9"/>
    </row>
    <row r="78" spans="1:7" x14ac:dyDescent="0.35">
      <c r="B78" s="9"/>
    </row>
    <row r="79" spans="1:7" x14ac:dyDescent="0.35">
      <c r="B79" s="9"/>
    </row>
  </sheetData>
  <mergeCells count="13">
    <mergeCell ref="B68:G68"/>
    <mergeCell ref="B72:G72"/>
    <mergeCell ref="B67:G67"/>
    <mergeCell ref="B57:E57"/>
    <mergeCell ref="B62:G62"/>
    <mergeCell ref="B63:G63"/>
    <mergeCell ref="B64:G64"/>
    <mergeCell ref="B66:G66"/>
    <mergeCell ref="B65:G65"/>
    <mergeCell ref="B58:G58"/>
    <mergeCell ref="B61:G61"/>
    <mergeCell ref="B59:E59"/>
    <mergeCell ref="B60:E60"/>
  </mergeCells>
  <phoneticPr fontId="0" type="noConversion"/>
  <printOptions horizontalCentered="1"/>
  <pageMargins left="0.5" right="0.25" top="0.25" bottom="0.25" header="0" footer="0"/>
  <pageSetup scale="80" orientation="portrait" r:id="rId1"/>
  <headerFooter alignWithMargins="0"/>
  <rowBreaks count="1" manualBreakCount="1">
    <brk id="48" max="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43"/>
  <sheetViews>
    <sheetView workbookViewId="0">
      <selection activeCell="K31" sqref="K31"/>
    </sheetView>
  </sheetViews>
  <sheetFormatPr defaultColWidth="8.921875" defaultRowHeight="15.5" x14ac:dyDescent="0.35"/>
  <cols>
    <col min="1" max="1" width="5.921875" style="2" customWidth="1"/>
    <col min="2" max="2" width="45.921875" style="2" customWidth="1"/>
    <col min="3" max="5" width="14.07421875" style="2" customWidth="1"/>
    <col min="6" max="6" width="2.921875" style="2" customWidth="1"/>
    <col min="7" max="7" width="4.921875" style="9" customWidth="1"/>
    <col min="8" max="16384" width="8.921875" style="2"/>
  </cols>
  <sheetData>
    <row r="1" spans="1:9" x14ac:dyDescent="0.35">
      <c r="A1" s="10" t="s">
        <v>104</v>
      </c>
      <c r="G1" s="22" t="s">
        <v>152</v>
      </c>
    </row>
    <row r="2" spans="1:9" x14ac:dyDescent="0.35">
      <c r="A2" s="1" t="s">
        <v>117</v>
      </c>
    </row>
    <row r="3" spans="1:9" x14ac:dyDescent="0.35">
      <c r="A3" s="86" t="str">
        <f>+'COS Summary'!A2</f>
        <v>For the Test Year Ended June 30, 2024</v>
      </c>
    </row>
    <row r="6" spans="1:9" ht="18" x14ac:dyDescent="0.4">
      <c r="A6" s="12" t="s">
        <v>31</v>
      </c>
      <c r="B6" s="46"/>
      <c r="C6" s="46"/>
      <c r="D6" s="36"/>
      <c r="E6" s="36"/>
      <c r="F6" s="46"/>
    </row>
    <row r="7" spans="1:9" x14ac:dyDescent="0.35">
      <c r="B7" s="6"/>
      <c r="C7" s="6"/>
      <c r="D7" s="6"/>
      <c r="E7" s="6"/>
      <c r="F7" s="6"/>
    </row>
    <row r="8" spans="1:9" x14ac:dyDescent="0.35">
      <c r="B8" s="6"/>
      <c r="C8" s="6" t="s">
        <v>121</v>
      </c>
      <c r="D8" s="6" t="s">
        <v>4</v>
      </c>
      <c r="E8" s="6" t="s">
        <v>122</v>
      </c>
      <c r="F8" s="6"/>
    </row>
    <row r="9" spans="1:9" ht="16" thickBot="1" x14ac:dyDescent="0.4">
      <c r="A9" s="11" t="s">
        <v>17</v>
      </c>
      <c r="B9" s="11" t="s">
        <v>1</v>
      </c>
      <c r="C9" s="4" t="str">
        <f>+'COS Summary'!D6</f>
        <v>7/1/23-6/30/24</v>
      </c>
      <c r="D9" s="11" t="s">
        <v>124</v>
      </c>
      <c r="E9" s="4" t="str">
        <f>+'COS Summary'!F6</f>
        <v>8/1/25-7/31/26</v>
      </c>
      <c r="F9" s="4"/>
      <c r="G9" s="229" t="s">
        <v>84</v>
      </c>
      <c r="H9" s="247"/>
    </row>
    <row r="11" spans="1:9" hidden="1" x14ac:dyDescent="0.35">
      <c r="B11" s="29"/>
    </row>
    <row r="12" spans="1:9" hidden="1" x14ac:dyDescent="0.35">
      <c r="A12" s="102">
        <v>561.5</v>
      </c>
      <c r="B12" s="91" t="s">
        <v>235</v>
      </c>
      <c r="C12" s="44"/>
      <c r="D12" s="44"/>
      <c r="E12" s="44">
        <f>SUM(C12:D12)</f>
        <v>0</v>
      </c>
      <c r="I12" s="95"/>
    </row>
    <row r="13" spans="1:9" hidden="1" x14ac:dyDescent="0.35">
      <c r="A13" s="6"/>
      <c r="B13" s="103" t="s">
        <v>252</v>
      </c>
      <c r="C13" s="50">
        <f>+C12</f>
        <v>0</v>
      </c>
      <c r="D13" s="50">
        <f>+D12</f>
        <v>0</v>
      </c>
      <c r="E13" s="50">
        <f>+E12</f>
        <v>0</v>
      </c>
    </row>
    <row r="14" spans="1:9" hidden="1" x14ac:dyDescent="0.35">
      <c r="A14" s="102"/>
      <c r="B14" s="91"/>
      <c r="C14" s="44"/>
      <c r="D14" s="44"/>
      <c r="E14" s="44"/>
      <c r="I14" s="95"/>
    </row>
    <row r="15" spans="1:9" hidden="1" x14ac:dyDescent="0.35">
      <c r="A15" s="6"/>
      <c r="B15" s="8"/>
      <c r="C15" s="18"/>
      <c r="D15" s="18"/>
      <c r="E15" s="44">
        <f>SUM(C15:D15)</f>
        <v>0</v>
      </c>
    </row>
    <row r="16" spans="1:9" x14ac:dyDescent="0.35">
      <c r="A16" s="6">
        <v>562</v>
      </c>
      <c r="B16" s="8" t="s">
        <v>212</v>
      </c>
      <c r="C16" s="18">
        <v>1065.6500000000001</v>
      </c>
      <c r="D16" s="18"/>
      <c r="E16" s="18">
        <f>SUM(C16:D16)</f>
        <v>1065.6500000000001</v>
      </c>
    </row>
    <row r="17" spans="1:7" x14ac:dyDescent="0.35">
      <c r="A17" s="6"/>
      <c r="B17" s="45" t="s">
        <v>181</v>
      </c>
      <c r="C17" s="50">
        <f>SUM(C16:C16)</f>
        <v>1065.6500000000001</v>
      </c>
      <c r="D17" s="50">
        <f>SUM(D16:D16)</f>
        <v>0</v>
      </c>
      <c r="E17" s="50">
        <f>SUM(C17:D17)</f>
        <v>1065.6500000000001</v>
      </c>
    </row>
    <row r="18" spans="1:7" x14ac:dyDescent="0.35">
      <c r="A18" s="6"/>
      <c r="C18" s="18"/>
      <c r="D18" s="18"/>
      <c r="E18" s="18"/>
    </row>
    <row r="19" spans="1:7" x14ac:dyDescent="0.35">
      <c r="A19" s="6"/>
      <c r="B19" s="67" t="s">
        <v>253</v>
      </c>
      <c r="C19" s="18"/>
      <c r="D19" s="18"/>
      <c r="E19" s="18"/>
    </row>
    <row r="20" spans="1:7" x14ac:dyDescent="0.35">
      <c r="A20" s="6">
        <v>565</v>
      </c>
      <c r="B20" s="94" t="s">
        <v>254</v>
      </c>
      <c r="C20" s="18">
        <v>7252075.5800000001</v>
      </c>
      <c r="D20" s="142">
        <v>1810911.6763728354</v>
      </c>
      <c r="E20" s="18">
        <f t="shared" ref="E20:E25" si="0">SUM(C20:D20)</f>
        <v>9062987.2563728355</v>
      </c>
      <c r="G20" s="88">
        <v>1</v>
      </c>
    </row>
    <row r="21" spans="1:7" x14ac:dyDescent="0.35">
      <c r="A21" s="6"/>
      <c r="B21" s="104" t="s">
        <v>255</v>
      </c>
      <c r="C21" s="18">
        <v>1694691.64</v>
      </c>
      <c r="D21" s="142">
        <v>404280.86021581967</v>
      </c>
      <c r="E21" s="18">
        <f t="shared" si="0"/>
        <v>2098972.5002158196</v>
      </c>
      <c r="G21" s="88">
        <v>2</v>
      </c>
    </row>
    <row r="22" spans="1:7" x14ac:dyDescent="0.35">
      <c r="A22" s="6"/>
      <c r="B22" s="104" t="s">
        <v>256</v>
      </c>
      <c r="C22" s="18">
        <v>283470.03999999998</v>
      </c>
      <c r="D22" s="142"/>
      <c r="E22" s="18">
        <f t="shared" si="0"/>
        <v>283470.03999999998</v>
      </c>
    </row>
    <row r="23" spans="1:7" x14ac:dyDescent="0.35">
      <c r="A23" s="6"/>
      <c r="B23" s="104" t="s">
        <v>257</v>
      </c>
      <c r="C23" s="18">
        <v>44368.6</v>
      </c>
      <c r="D23" s="101">
        <v>6003.8147030563878</v>
      </c>
      <c r="E23" s="18">
        <f t="shared" si="0"/>
        <v>50372.414703056384</v>
      </c>
      <c r="G23" s="88">
        <v>3</v>
      </c>
    </row>
    <row r="24" spans="1:7" x14ac:dyDescent="0.35">
      <c r="A24" s="6"/>
      <c r="B24" s="104" t="s">
        <v>258</v>
      </c>
      <c r="C24" s="18">
        <v>367800</v>
      </c>
      <c r="D24" s="101">
        <v>49800</v>
      </c>
      <c r="E24" s="18">
        <f t="shared" si="0"/>
        <v>417600</v>
      </c>
      <c r="G24" s="88">
        <v>4</v>
      </c>
    </row>
    <row r="25" spans="1:7" x14ac:dyDescent="0.35">
      <c r="A25" s="6"/>
      <c r="B25" s="103" t="s">
        <v>375</v>
      </c>
      <c r="C25" s="50">
        <f>SUM(C20:C24)</f>
        <v>9642405.8599999994</v>
      </c>
      <c r="D25" s="50">
        <f>SUM(D20:D24)</f>
        <v>2270996.3512917114</v>
      </c>
      <c r="E25" s="50">
        <f t="shared" si="0"/>
        <v>11913402.211291712</v>
      </c>
    </row>
    <row r="26" spans="1:7" x14ac:dyDescent="0.35">
      <c r="A26" s="6"/>
      <c r="C26" s="18"/>
      <c r="D26" s="18"/>
      <c r="E26" s="18"/>
    </row>
    <row r="27" spans="1:7" x14ac:dyDescent="0.35">
      <c r="A27" s="6">
        <v>567</v>
      </c>
      <c r="B27" s="8" t="s">
        <v>37</v>
      </c>
      <c r="C27" s="18">
        <v>10293.040000000001</v>
      </c>
      <c r="D27" s="18"/>
      <c r="E27" s="18">
        <f>SUM(C27:D27)</f>
        <v>10293.040000000001</v>
      </c>
    </row>
    <row r="28" spans="1:7" x14ac:dyDescent="0.35">
      <c r="A28" s="6"/>
      <c r="B28" s="45" t="s">
        <v>182</v>
      </c>
      <c r="C28" s="50">
        <f>SUM(C27:C27)</f>
        <v>10293.040000000001</v>
      </c>
      <c r="D28" s="50">
        <f>SUM(D27:D27)</f>
        <v>0</v>
      </c>
      <c r="E28" s="50">
        <f>SUM(C28:D28)</f>
        <v>10293.040000000001</v>
      </c>
    </row>
    <row r="29" spans="1:7" x14ac:dyDescent="0.35">
      <c r="A29" s="6"/>
      <c r="C29" s="18"/>
      <c r="D29" s="18"/>
      <c r="E29" s="18"/>
    </row>
    <row r="30" spans="1:7" x14ac:dyDescent="0.35">
      <c r="A30" s="6"/>
      <c r="C30" s="18"/>
      <c r="D30" s="18"/>
      <c r="E30" s="18"/>
    </row>
    <row r="31" spans="1:7" ht="16" thickBot="1" x14ac:dyDescent="0.4">
      <c r="A31" s="6"/>
      <c r="B31" s="19" t="s">
        <v>90</v>
      </c>
      <c r="C31" s="17">
        <f>+C13+C17+C25+C28</f>
        <v>9653764.5499999989</v>
      </c>
      <c r="D31" s="17">
        <f>+D13+D17+D25+D28</f>
        <v>2270996.3512917114</v>
      </c>
      <c r="E31" s="17">
        <f>+E13+E17+E25+E28</f>
        <v>11924760.901291711</v>
      </c>
    </row>
    <row r="32" spans="1:7" ht="16" thickTop="1" x14ac:dyDescent="0.35">
      <c r="C32" s="51"/>
      <c r="D32" s="51"/>
      <c r="E32" s="51"/>
    </row>
    <row r="33" spans="1:8" x14ac:dyDescent="0.35">
      <c r="A33" s="87" t="s">
        <v>87</v>
      </c>
      <c r="B33" s="67"/>
      <c r="C33" s="218"/>
      <c r="D33" s="174"/>
      <c r="E33" s="174"/>
      <c r="F33" s="87"/>
      <c r="G33" s="88"/>
      <c r="H33" s="87"/>
    </row>
    <row r="34" spans="1:8" ht="31.4" customHeight="1" x14ac:dyDescent="0.35">
      <c r="A34" s="271">
        <v>1</v>
      </c>
      <c r="B34" s="366" t="s">
        <v>516</v>
      </c>
      <c r="C34" s="366"/>
      <c r="D34" s="366"/>
      <c r="E34" s="366"/>
      <c r="F34" s="274"/>
      <c r="G34" s="275"/>
      <c r="H34" s="87"/>
    </row>
    <row r="35" spans="1:8" ht="49.5" customHeight="1" x14ac:dyDescent="0.35">
      <c r="A35" s="271">
        <v>2</v>
      </c>
      <c r="B35" s="368" t="s">
        <v>517</v>
      </c>
      <c r="C35" s="368"/>
      <c r="D35" s="368"/>
      <c r="E35" s="368"/>
      <c r="F35" s="270"/>
      <c r="G35" s="270"/>
      <c r="H35" s="87"/>
    </row>
    <row r="36" spans="1:8" ht="15" customHeight="1" x14ac:dyDescent="0.35">
      <c r="A36" s="271">
        <v>3</v>
      </c>
      <c r="B36" s="366" t="s">
        <v>518</v>
      </c>
      <c r="C36" s="366"/>
      <c r="D36" s="366"/>
      <c r="E36" s="366"/>
      <c r="F36" s="366"/>
      <c r="G36" s="366"/>
      <c r="H36" s="87"/>
    </row>
    <row r="37" spans="1:8" ht="17.899999999999999" customHeight="1" x14ac:dyDescent="0.35">
      <c r="A37" s="271">
        <v>4</v>
      </c>
      <c r="B37" s="367" t="s">
        <v>519</v>
      </c>
      <c r="C37" s="366"/>
      <c r="D37" s="366"/>
      <c r="E37" s="366"/>
      <c r="F37" s="366"/>
      <c r="G37" s="366"/>
      <c r="H37" s="87"/>
    </row>
    <row r="38" spans="1:8" x14ac:dyDescent="0.35">
      <c r="A38" s="87"/>
      <c r="B38" s="87"/>
      <c r="C38" s="87"/>
      <c r="D38" s="87"/>
      <c r="E38" s="87"/>
      <c r="F38" s="87"/>
      <c r="G38" s="88"/>
      <c r="H38" s="87"/>
    </row>
    <row r="39" spans="1:8" x14ac:dyDescent="0.35">
      <c r="A39" s="87"/>
      <c r="B39" s="87"/>
      <c r="C39" s="87"/>
      <c r="D39" s="87"/>
      <c r="E39" s="87"/>
      <c r="F39" s="87"/>
      <c r="G39" s="88"/>
      <c r="H39" s="87"/>
    </row>
    <row r="40" spans="1:8" x14ac:dyDescent="0.35">
      <c r="A40" s="87"/>
      <c r="B40" s="87"/>
      <c r="C40" s="87"/>
      <c r="D40" s="87"/>
      <c r="E40" s="87"/>
      <c r="F40" s="87"/>
      <c r="G40" s="88"/>
      <c r="H40" s="87"/>
    </row>
    <row r="41" spans="1:8" x14ac:dyDescent="0.35">
      <c r="A41" s="87"/>
      <c r="B41" s="87"/>
      <c r="C41" s="87"/>
      <c r="D41" s="87"/>
      <c r="E41" s="87"/>
      <c r="F41" s="87"/>
      <c r="G41" s="88"/>
      <c r="H41" s="87"/>
    </row>
    <row r="42" spans="1:8" x14ac:dyDescent="0.35">
      <c r="A42" s="87"/>
      <c r="B42" s="87"/>
      <c r="C42" s="87"/>
      <c r="D42" s="87"/>
      <c r="E42" s="87"/>
      <c r="F42" s="87"/>
      <c r="G42" s="88"/>
      <c r="H42" s="87"/>
    </row>
    <row r="43" spans="1:8" x14ac:dyDescent="0.35">
      <c r="A43" s="87"/>
      <c r="B43" s="87"/>
      <c r="C43" s="87"/>
      <c r="D43" s="87"/>
      <c r="E43" s="87"/>
      <c r="F43" s="87"/>
      <c r="G43" s="88"/>
      <c r="H43" s="87"/>
    </row>
  </sheetData>
  <mergeCells count="4">
    <mergeCell ref="B36:G36"/>
    <mergeCell ref="B37:G37"/>
    <mergeCell ref="B34:E34"/>
    <mergeCell ref="B35:E35"/>
  </mergeCells>
  <phoneticPr fontId="0" type="noConversion"/>
  <printOptions horizontalCentered="1"/>
  <pageMargins left="0.5" right="0" top="0.75" bottom="0.75" header="0.5" footer="0.28999999999999998"/>
  <pageSetup scale="84" orientation="portrait" r:id="rId1"/>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O95"/>
  <sheetViews>
    <sheetView topLeftCell="A20" zoomScale="130" zoomScaleNormal="130" workbookViewId="0">
      <selection activeCell="D14" sqref="D14"/>
    </sheetView>
  </sheetViews>
  <sheetFormatPr defaultColWidth="8.921875" defaultRowHeight="15.5" x14ac:dyDescent="0.35"/>
  <cols>
    <col min="1" max="1" width="5.921875" style="2" customWidth="1"/>
    <col min="2" max="2" width="45.921875" style="2" customWidth="1"/>
    <col min="3" max="5" width="13.921875" style="2" customWidth="1"/>
    <col min="6" max="6" width="6.07421875" style="2" customWidth="1"/>
    <col min="7" max="7" width="3.4609375" style="6" customWidth="1"/>
    <col min="8" max="8" width="13.53515625" style="6" customWidth="1"/>
    <col min="9" max="9" width="12" style="2" bestFit="1" customWidth="1"/>
    <col min="10" max="13" width="8.921875" style="2"/>
    <col min="14" max="14" width="10.921875" style="2" bestFit="1" customWidth="1"/>
    <col min="15" max="16384" width="8.921875" style="2"/>
  </cols>
  <sheetData>
    <row r="1" spans="1:9" x14ac:dyDescent="0.35">
      <c r="A1" s="10" t="s">
        <v>104</v>
      </c>
      <c r="C1" s="87"/>
      <c r="G1" s="22" t="s">
        <v>153</v>
      </c>
    </row>
    <row r="2" spans="1:9" x14ac:dyDescent="0.35">
      <c r="A2" s="1" t="s">
        <v>117</v>
      </c>
      <c r="C2" s="87"/>
    </row>
    <row r="3" spans="1:9" x14ac:dyDescent="0.35">
      <c r="A3" s="86" t="str">
        <f>+'COS Summary'!A2</f>
        <v>For the Test Year Ended June 30, 2024</v>
      </c>
      <c r="C3" s="87"/>
    </row>
    <row r="5" spans="1:9" x14ac:dyDescent="0.35">
      <c r="C5" s="87"/>
    </row>
    <row r="6" spans="1:9" ht="18" x14ac:dyDescent="0.4">
      <c r="A6" s="12" t="s">
        <v>54</v>
      </c>
      <c r="B6" s="46"/>
      <c r="C6" s="46"/>
      <c r="D6" s="36"/>
      <c r="E6" s="36"/>
      <c r="F6" s="46"/>
      <c r="G6" s="46"/>
    </row>
    <row r="7" spans="1:9" x14ac:dyDescent="0.35">
      <c r="C7" s="6"/>
      <c r="D7" s="6"/>
      <c r="E7" s="6"/>
      <c r="F7" s="6"/>
    </row>
    <row r="8" spans="1:9" x14ac:dyDescent="0.35">
      <c r="C8" s="6" t="s">
        <v>121</v>
      </c>
      <c r="D8" s="6" t="s">
        <v>4</v>
      </c>
      <c r="E8" s="6" t="s">
        <v>122</v>
      </c>
      <c r="F8" s="6"/>
    </row>
    <row r="9" spans="1:9" ht="16" thickBot="1" x14ac:dyDescent="0.4">
      <c r="A9" s="11" t="s">
        <v>17</v>
      </c>
      <c r="B9" s="11" t="s">
        <v>1</v>
      </c>
      <c r="C9" s="4" t="str">
        <f>+'COS Summary'!D6</f>
        <v>7/1/23-6/30/24</v>
      </c>
      <c r="D9" s="11" t="s">
        <v>124</v>
      </c>
      <c r="E9" s="4" t="str">
        <f>+'COS Summary'!F6</f>
        <v>8/1/25-7/31/26</v>
      </c>
      <c r="F9" s="4"/>
      <c r="G9" s="4" t="s">
        <v>84</v>
      </c>
    </row>
    <row r="10" spans="1:9" x14ac:dyDescent="0.35">
      <c r="C10" s="48"/>
      <c r="D10" s="48"/>
      <c r="E10" s="48"/>
    </row>
    <row r="11" spans="1:9" x14ac:dyDescent="0.35">
      <c r="A11" s="92">
        <v>920</v>
      </c>
      <c r="B11" s="8" t="s">
        <v>207</v>
      </c>
      <c r="C11" s="18">
        <v>2687383.28</v>
      </c>
      <c r="D11" s="96">
        <f>776532+189751</f>
        <v>966283</v>
      </c>
      <c r="E11" s="18">
        <f>SUM(C11:D11)</f>
        <v>3653666.28</v>
      </c>
      <c r="F11" s="105"/>
      <c r="G11" s="49">
        <v>1</v>
      </c>
      <c r="H11" s="185"/>
    </row>
    <row r="12" spans="1:9" x14ac:dyDescent="0.35">
      <c r="A12" s="6">
        <v>921</v>
      </c>
      <c r="B12" s="8" t="s">
        <v>55</v>
      </c>
      <c r="C12" s="18">
        <v>474586.28</v>
      </c>
      <c r="D12" s="142">
        <f>482274-474586</f>
        <v>7688</v>
      </c>
      <c r="E12" s="18">
        <f>SUM(C12:D12)</f>
        <v>482274.28</v>
      </c>
      <c r="F12" s="105"/>
      <c r="G12" s="92">
        <v>2</v>
      </c>
      <c r="H12" s="185"/>
    </row>
    <row r="13" spans="1:9" x14ac:dyDescent="0.35">
      <c r="A13" s="6">
        <v>922</v>
      </c>
      <c r="B13" s="8" t="s">
        <v>64</v>
      </c>
      <c r="C13" s="18">
        <v>-798984.83</v>
      </c>
      <c r="D13" s="65"/>
      <c r="E13" s="18">
        <f>SUM(C13:D13)</f>
        <v>-798984.83</v>
      </c>
      <c r="F13" s="105"/>
      <c r="H13" s="135"/>
    </row>
    <row r="14" spans="1:9" x14ac:dyDescent="0.35">
      <c r="A14" s="6">
        <v>923</v>
      </c>
      <c r="B14" s="8" t="s">
        <v>56</v>
      </c>
      <c r="C14" s="18">
        <v>934881.27</v>
      </c>
      <c r="D14" s="142">
        <f>907800-C14</f>
        <v>-27081.270000000019</v>
      </c>
      <c r="E14" s="18">
        <f t="shared" ref="E14:E22" si="0">SUM(C14:D14)</f>
        <v>907800</v>
      </c>
      <c r="F14" s="105"/>
      <c r="G14" s="149">
        <v>3</v>
      </c>
      <c r="H14" s="333"/>
    </row>
    <row r="15" spans="1:9" x14ac:dyDescent="0.35">
      <c r="A15" s="6">
        <v>924</v>
      </c>
      <c r="B15" s="8" t="s">
        <v>57</v>
      </c>
      <c r="C15" s="18">
        <v>571015.22</v>
      </c>
      <c r="D15" s="142">
        <f>38112-68617</f>
        <v>-30505</v>
      </c>
      <c r="E15" s="18">
        <f t="shared" si="0"/>
        <v>540510.22</v>
      </c>
      <c r="F15" s="105"/>
      <c r="G15" s="6">
        <v>4</v>
      </c>
      <c r="H15" s="185"/>
      <c r="I15" s="87"/>
    </row>
    <row r="16" spans="1:9" x14ac:dyDescent="0.35">
      <c r="A16" s="6">
        <v>925</v>
      </c>
      <c r="B16" s="8" t="s">
        <v>58</v>
      </c>
      <c r="C16" s="65">
        <v>971125.25</v>
      </c>
      <c r="D16" s="142">
        <v>149747.69</v>
      </c>
      <c r="E16" s="65">
        <f t="shared" si="0"/>
        <v>1120872.94</v>
      </c>
      <c r="F16" s="248"/>
      <c r="G16" s="6">
        <v>5</v>
      </c>
      <c r="H16" s="234"/>
    </row>
    <row r="17" spans="1:15" ht="16.5" customHeight="1" x14ac:dyDescent="0.35">
      <c r="A17" s="6">
        <v>926</v>
      </c>
      <c r="B17" s="8" t="s">
        <v>59</v>
      </c>
      <c r="C17" s="18">
        <v>2237001.81</v>
      </c>
      <c r="D17" s="142">
        <f>266663+501731+22039+4021</f>
        <v>794454</v>
      </c>
      <c r="E17" s="18">
        <f t="shared" si="0"/>
        <v>3031455.81</v>
      </c>
      <c r="F17" s="105"/>
      <c r="G17" s="92">
        <v>6</v>
      </c>
      <c r="H17" s="185"/>
    </row>
    <row r="18" spans="1:15" x14ac:dyDescent="0.35">
      <c r="A18" s="6">
        <v>928</v>
      </c>
      <c r="B18" s="8" t="s">
        <v>61</v>
      </c>
      <c r="C18" s="18">
        <v>294937.82</v>
      </c>
      <c r="D18" s="65"/>
      <c r="E18" s="18">
        <f t="shared" si="0"/>
        <v>294937.82</v>
      </c>
      <c r="F18" s="105"/>
      <c r="H18" s="227"/>
    </row>
    <row r="19" spans="1:15" x14ac:dyDescent="0.35">
      <c r="A19" s="6">
        <v>929</v>
      </c>
      <c r="B19" s="8" t="s">
        <v>60</v>
      </c>
      <c r="C19" s="18">
        <v>-20193.29</v>
      </c>
      <c r="D19" s="18"/>
      <c r="E19" s="18">
        <f t="shared" si="0"/>
        <v>-20193.29</v>
      </c>
      <c r="F19" s="105"/>
      <c r="H19" s="135"/>
    </row>
    <row r="20" spans="1:15" x14ac:dyDescent="0.35">
      <c r="A20" s="6">
        <v>930</v>
      </c>
      <c r="B20" s="8" t="s">
        <v>62</v>
      </c>
      <c r="C20" s="18">
        <v>178585.89</v>
      </c>
      <c r="D20" s="142">
        <v>16726.330000000002</v>
      </c>
      <c r="E20" s="18">
        <f t="shared" si="0"/>
        <v>195312.22000000003</v>
      </c>
      <c r="F20" s="105"/>
      <c r="G20" s="6">
        <v>5</v>
      </c>
      <c r="H20" s="135"/>
    </row>
    <row r="21" spans="1:15" x14ac:dyDescent="0.35">
      <c r="A21" s="6">
        <v>935</v>
      </c>
      <c r="B21" s="8" t="s">
        <v>63</v>
      </c>
      <c r="C21" s="18">
        <v>126022.22</v>
      </c>
      <c r="D21" s="18"/>
      <c r="E21" s="18">
        <f t="shared" si="0"/>
        <v>126022.22</v>
      </c>
      <c r="F21" s="105"/>
      <c r="G21" s="49"/>
      <c r="H21" s="135"/>
    </row>
    <row r="22" spans="1:15" ht="16" thickBot="1" x14ac:dyDescent="0.4">
      <c r="A22" s="6"/>
      <c r="B22" s="15" t="s">
        <v>92</v>
      </c>
      <c r="C22" s="17">
        <f>SUM(C11:C21)</f>
        <v>7656360.919999999</v>
      </c>
      <c r="D22" s="17">
        <f>SUM(D11:D21)</f>
        <v>1877312.75</v>
      </c>
      <c r="E22" s="17">
        <f t="shared" si="0"/>
        <v>9533673.6699999981</v>
      </c>
      <c r="F22" s="105"/>
      <c r="G22" s="49"/>
      <c r="H22" s="89"/>
      <c r="K22" s="67"/>
    </row>
    <row r="23" spans="1:15" ht="16" thickTop="1" x14ac:dyDescent="0.35">
      <c r="A23" s="6"/>
      <c r="C23" s="51"/>
      <c r="D23" s="51"/>
      <c r="E23" s="51"/>
      <c r="H23" s="89"/>
      <c r="I23" s="87"/>
    </row>
    <row r="24" spans="1:15" x14ac:dyDescent="0.35">
      <c r="A24" s="6" t="s">
        <v>87</v>
      </c>
      <c r="B24" s="53"/>
      <c r="C24" s="52"/>
      <c r="D24" s="52"/>
      <c r="E24" s="52"/>
      <c r="H24" s="89"/>
      <c r="I24" s="87"/>
      <c r="N24" s="87"/>
    </row>
    <row r="25" spans="1:15" s="87" customFormat="1" ht="80.150000000000006" customHeight="1" x14ac:dyDescent="0.35">
      <c r="A25" s="252">
        <v>1</v>
      </c>
      <c r="B25" s="359" t="s">
        <v>567</v>
      </c>
      <c r="C25" s="359"/>
      <c r="D25" s="359"/>
      <c r="E25" s="359"/>
      <c r="F25" s="359"/>
      <c r="G25" s="359"/>
      <c r="H25" s="234"/>
      <c r="I25" s="240"/>
    </row>
    <row r="26" spans="1:15" s="87" customFormat="1" ht="15" customHeight="1" x14ac:dyDescent="0.35">
      <c r="A26" s="252">
        <f>A25+1</f>
        <v>2</v>
      </c>
      <c r="B26" s="369" t="s">
        <v>507</v>
      </c>
      <c r="C26" s="369"/>
      <c r="D26" s="369"/>
      <c r="E26" s="369"/>
      <c r="F26" s="369"/>
      <c r="G26" s="369"/>
      <c r="H26" s="234"/>
      <c r="I26" s="240"/>
      <c r="J26" s="240"/>
      <c r="K26" s="240"/>
      <c r="L26" s="240"/>
      <c r="M26" s="240"/>
      <c r="N26" s="240"/>
      <c r="O26" s="240"/>
    </row>
    <row r="27" spans="1:15" s="87" customFormat="1" ht="30" customHeight="1" x14ac:dyDescent="0.35">
      <c r="A27" s="252">
        <v>3</v>
      </c>
      <c r="B27" s="369" t="s">
        <v>568</v>
      </c>
      <c r="C27" s="369"/>
      <c r="D27" s="369"/>
      <c r="E27" s="369"/>
      <c r="F27" s="369"/>
      <c r="G27" s="369"/>
      <c r="H27" s="234"/>
      <c r="I27" s="240"/>
      <c r="J27" s="240"/>
      <c r="K27" s="240"/>
      <c r="L27" s="240"/>
      <c r="M27" s="240"/>
      <c r="N27" s="240"/>
      <c r="O27" s="240"/>
    </row>
    <row r="28" spans="1:15" s="87" customFormat="1" ht="33.65" customHeight="1" x14ac:dyDescent="0.35">
      <c r="A28" s="252">
        <v>4</v>
      </c>
      <c r="B28" s="359" t="s">
        <v>569</v>
      </c>
      <c r="C28" s="360"/>
      <c r="D28" s="360"/>
      <c r="E28" s="360"/>
      <c r="F28" s="360"/>
      <c r="G28" s="360"/>
      <c r="H28" s="92"/>
      <c r="I28" s="95"/>
    </row>
    <row r="29" spans="1:15" s="87" customFormat="1" ht="15" customHeight="1" x14ac:dyDescent="0.35">
      <c r="A29" s="92">
        <f>+A28+1</f>
        <v>5</v>
      </c>
      <c r="B29" s="359" t="s">
        <v>529</v>
      </c>
      <c r="C29" s="360"/>
      <c r="D29" s="360"/>
      <c r="E29" s="360"/>
      <c r="F29" s="360"/>
      <c r="G29" s="360"/>
      <c r="H29" s="185"/>
      <c r="I29" s="95"/>
    </row>
    <row r="30" spans="1:15" s="87" customFormat="1" ht="34.4" customHeight="1" x14ac:dyDescent="0.35">
      <c r="A30" s="92">
        <v>6</v>
      </c>
      <c r="B30" s="359" t="s">
        <v>570</v>
      </c>
      <c r="C30" s="360"/>
      <c r="D30" s="360"/>
      <c r="E30" s="360"/>
      <c r="F30" s="360"/>
      <c r="G30" s="360"/>
      <c r="H30" s="92"/>
    </row>
    <row r="31" spans="1:15" s="87" customFormat="1" x14ac:dyDescent="0.35">
      <c r="A31" s="92"/>
      <c r="B31" s="237"/>
      <c r="C31" s="130"/>
      <c r="D31" s="130"/>
      <c r="E31" s="130"/>
      <c r="F31" s="130"/>
      <c r="G31" s="130"/>
      <c r="H31" s="92"/>
    </row>
    <row r="32" spans="1:15" ht="17.899999999999999" customHeight="1" x14ac:dyDescent="0.35">
      <c r="A32" s="92"/>
      <c r="B32" s="263"/>
      <c r="C32" s="130"/>
      <c r="D32" s="130"/>
      <c r="E32" s="130"/>
      <c r="F32" s="130"/>
      <c r="G32" s="130"/>
    </row>
    <row r="33" spans="1:8" x14ac:dyDescent="0.35">
      <c r="A33" s="6"/>
      <c r="B33" s="237"/>
      <c r="C33" s="130"/>
      <c r="D33" s="130"/>
      <c r="E33" s="130"/>
      <c r="F33" s="130"/>
      <c r="G33" s="130"/>
      <c r="H33" s="89"/>
    </row>
    <row r="34" spans="1:8" x14ac:dyDescent="0.35">
      <c r="A34" s="6"/>
      <c r="B34" s="260"/>
      <c r="C34" s="260"/>
      <c r="D34" s="260"/>
      <c r="E34" s="260"/>
      <c r="F34" s="260"/>
      <c r="G34" s="260"/>
      <c r="H34" s="222"/>
    </row>
    <row r="35" spans="1:8" x14ac:dyDescent="0.35">
      <c r="A35" s="6"/>
      <c r="B35" s="132"/>
      <c r="C35" s="181"/>
      <c r="D35" s="181"/>
      <c r="E35" s="181"/>
      <c r="F35" s="67"/>
      <c r="G35" s="182"/>
    </row>
    <row r="36" spans="1:8" x14ac:dyDescent="0.35">
      <c r="A36" s="6"/>
      <c r="B36" s="132"/>
      <c r="C36" s="181"/>
      <c r="D36" s="181"/>
      <c r="E36" s="181"/>
      <c r="F36" s="67"/>
      <c r="G36" s="182"/>
    </row>
    <row r="37" spans="1:8" x14ac:dyDescent="0.35">
      <c r="A37" s="6"/>
      <c r="B37" s="9"/>
      <c r="C37" s="68"/>
      <c r="D37" s="68"/>
      <c r="E37" s="68"/>
    </row>
    <row r="38" spans="1:8" x14ac:dyDescent="0.35">
      <c r="A38" s="6"/>
      <c r="B38" s="10"/>
      <c r="C38" s="68"/>
      <c r="D38" s="68"/>
      <c r="E38" s="68"/>
    </row>
    <row r="39" spans="1:8" x14ac:dyDescent="0.35">
      <c r="A39" s="6"/>
      <c r="C39" s="52"/>
      <c r="D39" s="52"/>
      <c r="E39" s="52"/>
    </row>
    <row r="40" spans="1:8" x14ac:dyDescent="0.35">
      <c r="A40" s="6"/>
      <c r="C40" s="52"/>
      <c r="D40" s="52"/>
      <c r="E40" s="52"/>
    </row>
    <row r="41" spans="1:8" x14ac:dyDescent="0.35">
      <c r="A41" s="6"/>
      <c r="C41" s="52"/>
      <c r="D41" s="52"/>
      <c r="E41" s="52"/>
    </row>
    <row r="42" spans="1:8" x14ac:dyDescent="0.35">
      <c r="A42" s="6"/>
      <c r="C42" s="52"/>
      <c r="D42" s="52"/>
      <c r="E42" s="52"/>
    </row>
    <row r="43" spans="1:8" x14ac:dyDescent="0.35">
      <c r="A43" s="6"/>
      <c r="C43" s="52"/>
      <c r="D43" s="52"/>
      <c r="E43" s="52"/>
    </row>
    <row r="44" spans="1:8" x14ac:dyDescent="0.35">
      <c r="A44" s="6"/>
      <c r="C44" s="52"/>
      <c r="D44" s="52"/>
      <c r="E44" s="52"/>
    </row>
    <row r="45" spans="1:8" x14ac:dyDescent="0.35">
      <c r="A45" s="6"/>
      <c r="C45" s="52"/>
      <c r="D45" s="52"/>
      <c r="E45" s="52"/>
    </row>
    <row r="46" spans="1:8" x14ac:dyDescent="0.35">
      <c r="A46" s="6"/>
      <c r="C46" s="52"/>
      <c r="D46" s="52"/>
      <c r="E46" s="52"/>
    </row>
    <row r="47" spans="1:8" x14ac:dyDescent="0.35">
      <c r="A47" s="6"/>
      <c r="C47" s="52"/>
      <c r="D47" s="52"/>
      <c r="E47" s="52"/>
    </row>
    <row r="48" spans="1:8" x14ac:dyDescent="0.35">
      <c r="A48" s="6"/>
      <c r="C48" s="52"/>
      <c r="D48" s="52"/>
      <c r="E48" s="52"/>
    </row>
    <row r="49" spans="1:5" x14ac:dyDescent="0.35">
      <c r="A49" s="6"/>
      <c r="C49" s="52"/>
      <c r="D49" s="52"/>
      <c r="E49" s="52"/>
    </row>
    <row r="50" spans="1:5" x14ac:dyDescent="0.35">
      <c r="A50" s="6"/>
      <c r="C50" s="52"/>
      <c r="D50" s="52"/>
      <c r="E50" s="52"/>
    </row>
    <row r="51" spans="1:5" x14ac:dyDescent="0.35">
      <c r="A51" s="6"/>
      <c r="C51" s="52"/>
      <c r="D51" s="52"/>
      <c r="E51" s="52"/>
    </row>
    <row r="52" spans="1:5" x14ac:dyDescent="0.35">
      <c r="A52" s="6"/>
      <c r="C52" s="52"/>
      <c r="D52" s="52"/>
      <c r="E52" s="52"/>
    </row>
    <row r="53" spans="1:5" x14ac:dyDescent="0.35">
      <c r="A53" s="6"/>
      <c r="C53" s="52"/>
      <c r="D53" s="52"/>
      <c r="E53" s="52"/>
    </row>
    <row r="54" spans="1:5" x14ac:dyDescent="0.35">
      <c r="A54" s="6"/>
      <c r="C54" s="52"/>
      <c r="D54" s="52"/>
      <c r="E54" s="52"/>
    </row>
    <row r="55" spans="1:5" x14ac:dyDescent="0.35">
      <c r="A55" s="6"/>
      <c r="C55" s="52"/>
      <c r="D55" s="52"/>
      <c r="E55" s="52"/>
    </row>
    <row r="56" spans="1:5" x14ac:dyDescent="0.35">
      <c r="A56" s="6"/>
      <c r="C56" s="52"/>
      <c r="D56" s="52"/>
      <c r="E56" s="52"/>
    </row>
    <row r="57" spans="1:5" x14ac:dyDescent="0.35">
      <c r="C57" s="52"/>
      <c r="D57" s="52"/>
      <c r="E57" s="52"/>
    </row>
    <row r="58" spans="1:5" x14ac:dyDescent="0.35">
      <c r="C58" s="52"/>
      <c r="D58" s="52"/>
      <c r="E58" s="52"/>
    </row>
    <row r="59" spans="1:5" x14ac:dyDescent="0.35">
      <c r="C59" s="52"/>
      <c r="D59" s="52"/>
      <c r="E59" s="52"/>
    </row>
    <row r="60" spans="1:5" x14ac:dyDescent="0.35">
      <c r="C60" s="52"/>
      <c r="D60" s="52"/>
      <c r="E60" s="52"/>
    </row>
    <row r="61" spans="1:5" x14ac:dyDescent="0.35">
      <c r="C61" s="52"/>
      <c r="D61" s="52"/>
      <c r="E61" s="52"/>
    </row>
    <row r="62" spans="1:5" x14ac:dyDescent="0.35">
      <c r="C62" s="52"/>
      <c r="D62" s="52"/>
      <c r="E62" s="52"/>
    </row>
    <row r="63" spans="1:5" x14ac:dyDescent="0.35">
      <c r="C63" s="52"/>
      <c r="D63" s="52"/>
      <c r="E63" s="52"/>
    </row>
    <row r="64" spans="1:5" x14ac:dyDescent="0.35">
      <c r="C64" s="52"/>
      <c r="D64" s="52"/>
      <c r="E64" s="52"/>
    </row>
    <row r="65" spans="3:5" x14ac:dyDescent="0.35">
      <c r="C65" s="52"/>
      <c r="D65" s="52"/>
      <c r="E65" s="52"/>
    </row>
    <row r="66" spans="3:5" x14ac:dyDescent="0.35">
      <c r="C66" s="52"/>
      <c r="D66" s="52"/>
      <c r="E66" s="52"/>
    </row>
    <row r="67" spans="3:5" x14ac:dyDescent="0.35">
      <c r="C67" s="52"/>
      <c r="D67" s="52"/>
      <c r="E67" s="52"/>
    </row>
    <row r="68" spans="3:5" x14ac:dyDescent="0.35">
      <c r="C68" s="52"/>
      <c r="D68" s="52"/>
      <c r="E68" s="52"/>
    </row>
    <row r="69" spans="3:5" x14ac:dyDescent="0.35">
      <c r="C69" s="52"/>
      <c r="D69" s="52"/>
      <c r="E69" s="52"/>
    </row>
    <row r="70" spans="3:5" x14ac:dyDescent="0.35">
      <c r="C70" s="52"/>
      <c r="D70" s="52"/>
      <c r="E70" s="52"/>
    </row>
    <row r="71" spans="3:5" x14ac:dyDescent="0.35">
      <c r="C71" s="52"/>
      <c r="D71" s="52"/>
      <c r="E71" s="52"/>
    </row>
    <row r="72" spans="3:5" x14ac:dyDescent="0.35">
      <c r="C72" s="52"/>
      <c r="D72" s="52"/>
      <c r="E72" s="52"/>
    </row>
    <row r="73" spans="3:5" x14ac:dyDescent="0.35">
      <c r="C73" s="52"/>
      <c r="D73" s="52"/>
      <c r="E73" s="52"/>
    </row>
    <row r="74" spans="3:5" x14ac:dyDescent="0.35">
      <c r="C74" s="52"/>
      <c r="D74" s="52"/>
      <c r="E74" s="52"/>
    </row>
    <row r="75" spans="3:5" x14ac:dyDescent="0.35">
      <c r="C75" s="52"/>
      <c r="D75" s="52"/>
      <c r="E75" s="52"/>
    </row>
    <row r="76" spans="3:5" x14ac:dyDescent="0.35">
      <c r="C76" s="52"/>
      <c r="D76" s="52"/>
      <c r="E76" s="52"/>
    </row>
    <row r="77" spans="3:5" x14ac:dyDescent="0.35">
      <c r="C77" s="52"/>
      <c r="D77" s="52"/>
      <c r="E77" s="52"/>
    </row>
    <row r="78" spans="3:5" x14ac:dyDescent="0.35">
      <c r="C78" s="52"/>
      <c r="D78" s="52"/>
      <c r="E78" s="52"/>
    </row>
    <row r="79" spans="3:5" x14ac:dyDescent="0.35">
      <c r="C79" s="52"/>
      <c r="D79" s="52"/>
      <c r="E79" s="52"/>
    </row>
    <row r="80" spans="3:5" x14ac:dyDescent="0.35">
      <c r="C80" s="52"/>
      <c r="D80" s="52"/>
      <c r="E80" s="52"/>
    </row>
    <row r="81" spans="3:5" x14ac:dyDescent="0.35">
      <c r="C81" s="52"/>
      <c r="D81" s="52"/>
      <c r="E81" s="52"/>
    </row>
    <row r="82" spans="3:5" x14ac:dyDescent="0.35">
      <c r="C82" s="52"/>
      <c r="D82" s="52"/>
      <c r="E82" s="52"/>
    </row>
    <row r="83" spans="3:5" x14ac:dyDescent="0.35">
      <c r="C83" s="52"/>
      <c r="D83" s="52"/>
      <c r="E83" s="52"/>
    </row>
    <row r="84" spans="3:5" x14ac:dyDescent="0.35">
      <c r="C84" s="52"/>
      <c r="D84" s="52"/>
      <c r="E84" s="52"/>
    </row>
    <row r="85" spans="3:5" x14ac:dyDescent="0.35">
      <c r="C85" s="52"/>
      <c r="D85" s="52"/>
      <c r="E85" s="52"/>
    </row>
    <row r="86" spans="3:5" x14ac:dyDescent="0.35">
      <c r="C86" s="52"/>
      <c r="D86" s="52"/>
      <c r="E86" s="52"/>
    </row>
    <row r="87" spans="3:5" x14ac:dyDescent="0.35">
      <c r="C87" s="52"/>
      <c r="D87" s="52"/>
      <c r="E87" s="52"/>
    </row>
    <row r="88" spans="3:5" x14ac:dyDescent="0.35">
      <c r="C88" s="52"/>
      <c r="D88" s="52"/>
      <c r="E88" s="52"/>
    </row>
    <row r="89" spans="3:5" x14ac:dyDescent="0.35">
      <c r="C89" s="52"/>
      <c r="D89" s="52"/>
      <c r="E89" s="52"/>
    </row>
    <row r="90" spans="3:5" x14ac:dyDescent="0.35">
      <c r="C90" s="52"/>
      <c r="D90" s="52"/>
      <c r="E90" s="52"/>
    </row>
    <row r="91" spans="3:5" x14ac:dyDescent="0.35">
      <c r="C91" s="52"/>
      <c r="D91" s="52"/>
      <c r="E91" s="52"/>
    </row>
    <row r="92" spans="3:5" x14ac:dyDescent="0.35">
      <c r="C92" s="52"/>
      <c r="D92" s="52"/>
      <c r="E92" s="52"/>
    </row>
    <row r="93" spans="3:5" x14ac:dyDescent="0.35">
      <c r="C93" s="52"/>
      <c r="D93" s="52"/>
      <c r="E93" s="52"/>
    </row>
    <row r="94" spans="3:5" x14ac:dyDescent="0.35">
      <c r="C94" s="52"/>
      <c r="D94" s="52"/>
      <c r="E94" s="52"/>
    </row>
    <row r="95" spans="3:5" x14ac:dyDescent="0.35">
      <c r="C95" s="52"/>
      <c r="D95" s="52"/>
      <c r="E95" s="52"/>
    </row>
  </sheetData>
  <mergeCells count="6">
    <mergeCell ref="B25:G25"/>
    <mergeCell ref="B28:G28"/>
    <mergeCell ref="B30:G30"/>
    <mergeCell ref="B26:G26"/>
    <mergeCell ref="B29:G29"/>
    <mergeCell ref="B27:G27"/>
  </mergeCells>
  <phoneticPr fontId="0" type="noConversion"/>
  <printOptions horizontalCentered="1"/>
  <pageMargins left="0.5" right="0" top="1" bottom="1" header="0.5" footer="0.5"/>
  <pageSetup scale="61" orientation="portrait" r:id="rId1"/>
  <headerFooter alignWithMargins="0"/>
  <colBreaks count="1" manualBreakCount="1">
    <brk id="7" max="1048575" man="1"/>
  </colBreaks>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56"/>
  <sheetViews>
    <sheetView zoomScale="115" zoomScaleNormal="115" workbookViewId="0">
      <selection activeCell="B5" sqref="B5"/>
    </sheetView>
  </sheetViews>
  <sheetFormatPr defaultColWidth="8.921875" defaultRowHeight="15.5" x14ac:dyDescent="0.35"/>
  <cols>
    <col min="1" max="1" width="5.921875" style="2" customWidth="1"/>
    <col min="2" max="2" width="45.921875" style="2" customWidth="1"/>
    <col min="3" max="5" width="13.921875" style="2" customWidth="1"/>
    <col min="6" max="6" width="2.921875" style="2" customWidth="1"/>
    <col min="7" max="7" width="5.921875" style="9" customWidth="1"/>
    <col min="8" max="8" width="9.921875" style="6" bestFit="1" customWidth="1"/>
    <col min="9" max="9" width="9.921875" style="2" bestFit="1" customWidth="1"/>
    <col min="10" max="11" width="8.921875" style="2"/>
    <col min="12" max="12" width="11.07421875" style="2" bestFit="1" customWidth="1"/>
    <col min="13" max="13" width="10.921875" style="2" bestFit="1" customWidth="1"/>
    <col min="14" max="16384" width="8.921875" style="2"/>
  </cols>
  <sheetData>
    <row r="1" spans="1:9" x14ac:dyDescent="0.35">
      <c r="A1" s="10" t="s">
        <v>104</v>
      </c>
      <c r="G1" s="22" t="s">
        <v>154</v>
      </c>
    </row>
    <row r="2" spans="1:9" x14ac:dyDescent="0.35">
      <c r="A2" s="1" t="s">
        <v>117</v>
      </c>
    </row>
    <row r="3" spans="1:9" x14ac:dyDescent="0.35">
      <c r="A3" s="86" t="str">
        <f>+'COS Summary'!A2</f>
        <v>For the Test Year Ended June 30, 2024</v>
      </c>
    </row>
    <row r="6" spans="1:9" ht="18" x14ac:dyDescent="0.4">
      <c r="A6" s="12" t="s">
        <v>103</v>
      </c>
      <c r="B6" s="46"/>
      <c r="C6" s="46"/>
      <c r="D6" s="36"/>
      <c r="E6" s="36"/>
      <c r="F6" s="46"/>
    </row>
    <row r="7" spans="1:9" x14ac:dyDescent="0.35">
      <c r="B7" s="6"/>
      <c r="C7" s="6"/>
      <c r="D7" s="6"/>
      <c r="E7" s="6"/>
      <c r="F7" s="6"/>
    </row>
    <row r="8" spans="1:9" x14ac:dyDescent="0.35">
      <c r="B8" s="6"/>
      <c r="C8" s="6" t="s">
        <v>121</v>
      </c>
      <c r="D8" s="6" t="s">
        <v>4</v>
      </c>
      <c r="E8" s="6" t="s">
        <v>122</v>
      </c>
      <c r="F8" s="6"/>
    </row>
    <row r="9" spans="1:9" ht="16" thickBot="1" x14ac:dyDescent="0.4">
      <c r="A9" s="11" t="s">
        <v>17</v>
      </c>
      <c r="B9" s="11" t="s">
        <v>1</v>
      </c>
      <c r="C9" s="4" t="str">
        <f>+'COS Summary'!D6</f>
        <v>7/1/23-6/30/24</v>
      </c>
      <c r="D9" s="11" t="s">
        <v>124</v>
      </c>
      <c r="E9" s="4" t="str">
        <f>+'COS Summary'!F6</f>
        <v>8/1/25-7/31/26</v>
      </c>
      <c r="F9" s="4"/>
      <c r="G9" s="134" t="s">
        <v>84</v>
      </c>
    </row>
    <row r="10" spans="1:9" x14ac:dyDescent="0.35">
      <c r="A10" s="6"/>
    </row>
    <row r="11" spans="1:9" x14ac:dyDescent="0.35">
      <c r="A11" s="6"/>
      <c r="B11" s="29" t="s">
        <v>183</v>
      </c>
    </row>
    <row r="12" spans="1:9" x14ac:dyDescent="0.35">
      <c r="A12" s="6">
        <v>901</v>
      </c>
      <c r="B12" s="8" t="s">
        <v>47</v>
      </c>
      <c r="C12" s="18">
        <v>225675.53</v>
      </c>
      <c r="D12" s="18"/>
      <c r="E12" s="18">
        <f>SUM(C12:D12)</f>
        <v>225675.53</v>
      </c>
      <c r="G12" s="88"/>
    </row>
    <row r="13" spans="1:9" x14ac:dyDescent="0.35">
      <c r="A13" s="6">
        <v>902</v>
      </c>
      <c r="B13" s="8" t="s">
        <v>48</v>
      </c>
      <c r="C13" s="18">
        <v>282386.53000000003</v>
      </c>
      <c r="D13" s="142">
        <f>1929.3+1602+24207.51+19749.73+178.65+93.11-34849</f>
        <v>12911.299999999996</v>
      </c>
      <c r="E13" s="18">
        <f>SUM(C13:D13)</f>
        <v>295297.83</v>
      </c>
      <c r="G13" s="88">
        <v>1</v>
      </c>
      <c r="H13" s="234"/>
      <c r="I13" s="87"/>
    </row>
    <row r="14" spans="1:9" x14ac:dyDescent="0.35">
      <c r="A14" s="6">
        <v>903</v>
      </c>
      <c r="B14" s="8" t="s">
        <v>49</v>
      </c>
      <c r="C14" s="18">
        <v>1664607.03</v>
      </c>
      <c r="D14" s="142">
        <f>4694.86+2951.32+118250-312527.59+13819-44685</f>
        <v>-217497.41000000003</v>
      </c>
      <c r="E14" s="18">
        <f>SUM(C14:D14)</f>
        <v>1447109.62</v>
      </c>
      <c r="G14" s="88">
        <v>2</v>
      </c>
      <c r="H14" s="234"/>
      <c r="I14" s="87"/>
    </row>
    <row r="15" spans="1:9" x14ac:dyDescent="0.35">
      <c r="A15" s="6">
        <v>904</v>
      </c>
      <c r="B15" s="8" t="s">
        <v>50</v>
      </c>
      <c r="C15" s="18">
        <v>325301.68</v>
      </c>
      <c r="D15" s="18"/>
      <c r="E15" s="18">
        <f>SUM(C15:D15)</f>
        <v>325301.68</v>
      </c>
      <c r="H15" s="133"/>
      <c r="I15" s="67"/>
    </row>
    <row r="16" spans="1:9" x14ac:dyDescent="0.35">
      <c r="A16" s="6"/>
      <c r="B16" s="13" t="s">
        <v>51</v>
      </c>
      <c r="C16" s="50">
        <f>SUM(C12:C15)</f>
        <v>2497970.77</v>
      </c>
      <c r="D16" s="50">
        <f>SUM(D12:D15)</f>
        <v>-204586.11000000004</v>
      </c>
      <c r="E16" s="50">
        <f>SUM(C16:D16)</f>
        <v>2293384.66</v>
      </c>
    </row>
    <row r="17" spans="1:9" x14ac:dyDescent="0.35">
      <c r="A17" s="6"/>
      <c r="C17" s="18"/>
      <c r="D17" s="18"/>
      <c r="E17" s="18"/>
    </row>
    <row r="18" spans="1:9" x14ac:dyDescent="0.35">
      <c r="A18" s="6"/>
      <c r="B18" s="29" t="s">
        <v>184</v>
      </c>
      <c r="C18" s="18"/>
      <c r="D18" s="18"/>
      <c r="E18" s="18"/>
      <c r="H18" s="234"/>
      <c r="I18" s="87"/>
    </row>
    <row r="19" spans="1:9" x14ac:dyDescent="0.35">
      <c r="A19" s="6">
        <v>907</v>
      </c>
      <c r="B19" s="91" t="s">
        <v>221</v>
      </c>
      <c r="C19" s="18">
        <v>64286.23</v>
      </c>
      <c r="D19" s="18"/>
      <c r="E19" s="18">
        <f>SUM(C19:D19)</f>
        <v>64286.23</v>
      </c>
      <c r="F19" s="187"/>
      <c r="H19" s="133"/>
      <c r="I19" s="67"/>
    </row>
    <row r="20" spans="1:9" x14ac:dyDescent="0.35">
      <c r="A20" s="6">
        <v>908</v>
      </c>
      <c r="B20" s="8" t="s">
        <v>52</v>
      </c>
      <c r="C20" s="18">
        <v>123593.23</v>
      </c>
      <c r="D20" s="65">
        <v>-8989</v>
      </c>
      <c r="E20" s="18">
        <f t="shared" ref="E20:E31" si="0">SUM(C20:D20)</f>
        <v>114604.23</v>
      </c>
      <c r="G20" s="88">
        <v>3</v>
      </c>
      <c r="H20" s="226"/>
    </row>
    <row r="21" spans="1:9" x14ac:dyDescent="0.35">
      <c r="A21" s="6">
        <v>908</v>
      </c>
      <c r="B21" s="91" t="s">
        <v>219</v>
      </c>
      <c r="C21" s="18">
        <v>739869.69</v>
      </c>
      <c r="D21" s="63">
        <v>263244.72124566592</v>
      </c>
      <c r="E21" s="65">
        <f t="shared" si="0"/>
        <v>1003114.4112456659</v>
      </c>
      <c r="G21" s="9">
        <v>4</v>
      </c>
      <c r="H21" s="247"/>
      <c r="I21" s="63"/>
    </row>
    <row r="22" spans="1:9" x14ac:dyDescent="0.35">
      <c r="A22" s="6">
        <v>908</v>
      </c>
      <c r="B22" s="91" t="s">
        <v>218</v>
      </c>
      <c r="C22" s="18">
        <v>5000</v>
      </c>
      <c r="D22" s="65"/>
      <c r="E22" s="18">
        <f>SUM(C22:D22)</f>
        <v>5000</v>
      </c>
      <c r="H22" s="284"/>
      <c r="I22" s="87"/>
    </row>
    <row r="23" spans="1:9" x14ac:dyDescent="0.35">
      <c r="A23" s="6">
        <v>908</v>
      </c>
      <c r="B23" s="91" t="s">
        <v>220</v>
      </c>
      <c r="C23" s="18"/>
      <c r="D23" s="65"/>
      <c r="E23" s="18">
        <f t="shared" si="0"/>
        <v>0</v>
      </c>
      <c r="H23" s="133"/>
      <c r="I23" s="67"/>
    </row>
    <row r="24" spans="1:9" x14ac:dyDescent="0.35">
      <c r="A24" s="6">
        <v>908</v>
      </c>
      <c r="B24" s="8" t="s">
        <v>105</v>
      </c>
      <c r="C24" s="18">
        <v>60585.919999999998</v>
      </c>
      <c r="D24" s="18"/>
      <c r="E24" s="18">
        <f t="shared" si="0"/>
        <v>60585.919999999998</v>
      </c>
      <c r="G24" s="88"/>
    </row>
    <row r="25" spans="1:9" x14ac:dyDescent="0.35">
      <c r="A25" s="6">
        <v>908</v>
      </c>
      <c r="B25" s="8" t="s">
        <v>106</v>
      </c>
      <c r="C25" s="18">
        <v>69051.490000000005</v>
      </c>
      <c r="D25" s="18"/>
      <c r="E25" s="18">
        <f t="shared" si="0"/>
        <v>69051.490000000005</v>
      </c>
      <c r="G25" s="88"/>
    </row>
    <row r="26" spans="1:9" x14ac:dyDescent="0.35">
      <c r="A26" s="6">
        <v>908</v>
      </c>
      <c r="B26" s="8" t="s">
        <v>107</v>
      </c>
      <c r="C26" s="18">
        <v>33.31</v>
      </c>
      <c r="D26" s="18"/>
      <c r="E26" s="18">
        <f t="shared" si="0"/>
        <v>33.31</v>
      </c>
      <c r="G26" s="88"/>
      <c r="H26" s="234"/>
      <c r="I26" s="87"/>
    </row>
    <row r="27" spans="1:9" x14ac:dyDescent="0.35">
      <c r="A27" s="6">
        <v>908</v>
      </c>
      <c r="B27" s="8" t="s">
        <v>108</v>
      </c>
      <c r="C27" s="18">
        <v>15099.41</v>
      </c>
      <c r="D27" s="18"/>
      <c r="E27" s="18">
        <f t="shared" si="0"/>
        <v>15099.41</v>
      </c>
      <c r="G27" s="88"/>
      <c r="H27" s="133"/>
      <c r="I27" s="67"/>
    </row>
    <row r="28" spans="1:9" hidden="1" x14ac:dyDescent="0.35">
      <c r="A28" s="6">
        <v>908</v>
      </c>
      <c r="B28" s="8" t="s">
        <v>109</v>
      </c>
      <c r="C28" s="18"/>
      <c r="D28" s="18"/>
      <c r="E28" s="18">
        <f t="shared" si="0"/>
        <v>0</v>
      </c>
    </row>
    <row r="29" spans="1:9" hidden="1" x14ac:dyDescent="0.35">
      <c r="A29" s="6">
        <v>908</v>
      </c>
      <c r="B29" s="8" t="s">
        <v>110</v>
      </c>
      <c r="C29" s="18"/>
      <c r="D29" s="18"/>
      <c r="E29" s="18">
        <f t="shared" si="0"/>
        <v>0</v>
      </c>
    </row>
    <row r="30" spans="1:9" x14ac:dyDescent="0.35">
      <c r="A30" s="6">
        <v>908</v>
      </c>
      <c r="B30" s="8" t="s">
        <v>111</v>
      </c>
      <c r="C30" s="18">
        <v>317739.7</v>
      </c>
      <c r="D30" s="18"/>
      <c r="E30" s="18">
        <f t="shared" si="0"/>
        <v>317739.7</v>
      </c>
      <c r="G30" s="133"/>
      <c r="H30" s="234"/>
      <c r="I30" s="87"/>
    </row>
    <row r="31" spans="1:9" x14ac:dyDescent="0.35">
      <c r="A31" s="6">
        <v>908</v>
      </c>
      <c r="B31" s="8" t="s">
        <v>213</v>
      </c>
      <c r="C31" s="18">
        <v>2544402.64</v>
      </c>
      <c r="D31" s="18"/>
      <c r="E31" s="18">
        <f t="shared" si="0"/>
        <v>2544402.64</v>
      </c>
      <c r="G31" s="133"/>
      <c r="H31" s="133"/>
      <c r="I31" s="67"/>
    </row>
    <row r="32" spans="1:9" x14ac:dyDescent="0.35">
      <c r="A32" s="6"/>
      <c r="B32" s="13" t="s">
        <v>185</v>
      </c>
      <c r="C32" s="50">
        <f>SUM(C19:C31)</f>
        <v>3939661.62</v>
      </c>
      <c r="D32" s="50">
        <f>SUM(D19:D31)</f>
        <v>254255.72124566592</v>
      </c>
      <c r="E32" s="50">
        <f>SUM(E19:E31)</f>
        <v>4193917.3412456661</v>
      </c>
    </row>
    <row r="33" spans="1:9" x14ac:dyDescent="0.35">
      <c r="A33" s="6"/>
      <c r="C33" s="18"/>
      <c r="D33" s="18"/>
      <c r="E33" s="18"/>
    </row>
    <row r="34" spans="1:9" x14ac:dyDescent="0.35">
      <c r="A34" s="6">
        <v>909</v>
      </c>
      <c r="B34" s="8" t="s">
        <v>53</v>
      </c>
      <c r="C34" s="44">
        <v>287222.34000000003</v>
      </c>
      <c r="D34" s="44">
        <v>3416.13</v>
      </c>
      <c r="E34" s="44">
        <f>SUM(C34:D34)</f>
        <v>290638.47000000003</v>
      </c>
      <c r="G34" s="88">
        <v>5</v>
      </c>
      <c r="H34" s="226"/>
      <c r="I34" s="87"/>
    </row>
    <row r="35" spans="1:9" ht="31.5" thickBot="1" x14ac:dyDescent="0.4">
      <c r="B35" s="54" t="s">
        <v>102</v>
      </c>
      <c r="C35" s="17">
        <f>SUM(C34,C32,C16)</f>
        <v>6724854.7300000004</v>
      </c>
      <c r="D35" s="17">
        <f>SUM(D34,D32,D16)</f>
        <v>53085.741245665879</v>
      </c>
      <c r="E35" s="17">
        <f>SUM(C35:D35)</f>
        <v>6777940.471245666</v>
      </c>
      <c r="G35" s="28"/>
      <c r="H35" s="133"/>
      <c r="I35" s="67"/>
    </row>
    <row r="36" spans="1:9" ht="16" thickTop="1" x14ac:dyDescent="0.35">
      <c r="C36" s="51"/>
      <c r="D36" s="51"/>
      <c r="E36" s="51"/>
    </row>
    <row r="37" spans="1:9" x14ac:dyDescent="0.35">
      <c r="A37" s="2" t="s">
        <v>87</v>
      </c>
      <c r="B37" s="53"/>
      <c r="C37" s="51"/>
      <c r="D37" s="51"/>
      <c r="E37" s="51"/>
    </row>
    <row r="38" spans="1:9" ht="69.650000000000006" customHeight="1" x14ac:dyDescent="0.35">
      <c r="A38" s="262">
        <v>1</v>
      </c>
      <c r="B38" s="370" t="s">
        <v>571</v>
      </c>
      <c r="C38" s="370"/>
      <c r="D38" s="370"/>
      <c r="E38" s="370"/>
      <c r="F38" s="370"/>
      <c r="G38" s="370"/>
    </row>
    <row r="39" spans="1:9" ht="79.5" customHeight="1" x14ac:dyDescent="0.35">
      <c r="A39" s="262">
        <v>2</v>
      </c>
      <c r="B39" s="370" t="s">
        <v>572</v>
      </c>
      <c r="C39" s="370"/>
      <c r="D39" s="370"/>
      <c r="E39" s="370"/>
      <c r="F39" s="370"/>
      <c r="G39" s="370"/>
    </row>
    <row r="40" spans="1:9" ht="15" customHeight="1" x14ac:dyDescent="0.35">
      <c r="A40" s="262">
        <v>3</v>
      </c>
      <c r="B40" s="361" t="s">
        <v>573</v>
      </c>
      <c r="C40" s="361"/>
      <c r="D40" s="361"/>
      <c r="E40" s="361"/>
      <c r="F40" s="361"/>
      <c r="G40" s="361"/>
      <c r="I40" s="87"/>
    </row>
    <row r="41" spans="1:9" ht="30.65" customHeight="1" x14ac:dyDescent="0.35">
      <c r="A41" s="262">
        <v>4</v>
      </c>
      <c r="B41" s="361" t="s">
        <v>557</v>
      </c>
      <c r="C41" s="361"/>
      <c r="D41" s="361"/>
      <c r="E41" s="361"/>
      <c r="F41" s="361"/>
      <c r="G41" s="361"/>
    </row>
    <row r="42" spans="1:9" ht="15.65" customHeight="1" x14ac:dyDescent="0.35">
      <c r="A42" s="262">
        <v>5</v>
      </c>
      <c r="B42" s="359" t="s">
        <v>529</v>
      </c>
      <c r="C42" s="360"/>
      <c r="D42" s="360"/>
      <c r="E42" s="360"/>
      <c r="F42" s="360"/>
      <c r="G42" s="360"/>
    </row>
    <row r="43" spans="1:9" x14ac:dyDescent="0.35">
      <c r="A43" s="219"/>
      <c r="B43" s="87"/>
      <c r="C43" s="52"/>
      <c r="D43" s="52"/>
      <c r="E43" s="52"/>
    </row>
    <row r="44" spans="1:9" x14ac:dyDescent="0.35">
      <c r="A44" s="219"/>
      <c r="B44" s="239"/>
      <c r="C44" s="239"/>
      <c r="D44" s="239"/>
      <c r="E44" s="239"/>
      <c r="F44" s="239"/>
      <c r="G44" s="239"/>
    </row>
    <row r="45" spans="1:9" x14ac:dyDescent="0.35">
      <c r="A45" s="236"/>
      <c r="B45" s="87"/>
      <c r="C45" s="52"/>
      <c r="D45" s="52"/>
      <c r="E45" s="52"/>
    </row>
    <row r="46" spans="1:9" x14ac:dyDescent="0.35">
      <c r="A46" s="219"/>
      <c r="B46" s="87"/>
      <c r="C46" s="52"/>
      <c r="D46" s="52"/>
      <c r="E46" s="52"/>
    </row>
    <row r="47" spans="1:9" x14ac:dyDescent="0.35">
      <c r="A47" s="219"/>
      <c r="B47" s="239"/>
      <c r="C47" s="239"/>
      <c r="D47" s="239"/>
      <c r="E47" s="239"/>
    </row>
    <row r="48" spans="1:9" x14ac:dyDescent="0.35">
      <c r="A48" s="219"/>
      <c r="B48" s="239"/>
      <c r="C48" s="239"/>
      <c r="D48" s="239"/>
      <c r="E48" s="239"/>
      <c r="F48" s="239"/>
      <c r="G48" s="239"/>
    </row>
    <row r="49" spans="1:5" x14ac:dyDescent="0.35">
      <c r="A49" s="219"/>
      <c r="B49" s="87"/>
      <c r="C49" s="52"/>
      <c r="D49" s="52"/>
      <c r="E49" s="52"/>
    </row>
    <row r="50" spans="1:5" x14ac:dyDescent="0.35">
      <c r="A50" s="219"/>
      <c r="B50" s="87"/>
      <c r="C50" s="52"/>
      <c r="D50" s="52"/>
      <c r="E50" s="52"/>
    </row>
    <row r="51" spans="1:5" x14ac:dyDescent="0.35">
      <c r="A51" s="219"/>
      <c r="B51" s="87"/>
      <c r="C51" s="52"/>
      <c r="D51" s="52"/>
      <c r="E51" s="52"/>
    </row>
    <row r="52" spans="1:5" x14ac:dyDescent="0.35">
      <c r="A52" s="87"/>
      <c r="C52" s="52"/>
      <c r="D52" s="52"/>
      <c r="E52" s="52"/>
    </row>
    <row r="53" spans="1:5" x14ac:dyDescent="0.35">
      <c r="C53" s="52"/>
      <c r="D53" s="52"/>
      <c r="E53" s="52"/>
    </row>
    <row r="54" spans="1:5" x14ac:dyDescent="0.35">
      <c r="C54" s="52"/>
      <c r="D54" s="52"/>
      <c r="E54" s="52"/>
    </row>
    <row r="55" spans="1:5" x14ac:dyDescent="0.35">
      <c r="C55" s="52"/>
      <c r="D55" s="52"/>
      <c r="E55" s="52"/>
    </row>
    <row r="56" spans="1:5" x14ac:dyDescent="0.35">
      <c r="C56" s="52"/>
      <c r="D56" s="52"/>
      <c r="E56" s="52"/>
    </row>
  </sheetData>
  <mergeCells count="5">
    <mergeCell ref="B38:G38"/>
    <mergeCell ref="B40:G40"/>
    <mergeCell ref="B39:G39"/>
    <mergeCell ref="B42:G42"/>
    <mergeCell ref="B41:G41"/>
  </mergeCells>
  <phoneticPr fontId="0" type="noConversion"/>
  <printOptions horizontalCentered="1"/>
  <pageMargins left="0.5" right="0" top="1" bottom="0.75" header="0.5" footer="0.5"/>
  <pageSetup scale="34" orientation="portrait" r:id="rId1"/>
  <headerFooter alignWithMargins="0"/>
  <colBreaks count="1" manualBreakCount="1">
    <brk id="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N44"/>
  <sheetViews>
    <sheetView zoomScale="130" zoomScaleNormal="130" workbookViewId="0">
      <selection activeCell="B4" sqref="B4"/>
    </sheetView>
  </sheetViews>
  <sheetFormatPr defaultColWidth="8.921875" defaultRowHeight="15.5" x14ac:dyDescent="0.35"/>
  <cols>
    <col min="1" max="1" width="6.921875" style="2" customWidth="1"/>
    <col min="2" max="2" width="45.921875" style="2" customWidth="1"/>
    <col min="3" max="5" width="14.07421875" style="2" customWidth="1"/>
    <col min="6" max="6" width="2.921875" style="2" customWidth="1"/>
    <col min="7" max="7" width="4.921875" style="6" customWidth="1"/>
    <col min="8" max="8" width="8.921875" style="9"/>
    <col min="9" max="16384" width="8.921875" style="2"/>
  </cols>
  <sheetData>
    <row r="1" spans="1:9" x14ac:dyDescent="0.35">
      <c r="A1" s="10" t="s">
        <v>104</v>
      </c>
      <c r="C1" s="87"/>
      <c r="G1" s="22" t="s">
        <v>155</v>
      </c>
    </row>
    <row r="2" spans="1:9" x14ac:dyDescent="0.35">
      <c r="A2" s="1" t="s">
        <v>117</v>
      </c>
      <c r="C2" s="87"/>
    </row>
    <row r="3" spans="1:9" x14ac:dyDescent="0.35">
      <c r="A3" s="86" t="str">
        <f>+'COS Summary'!A2</f>
        <v>For the Test Year Ended June 30, 2024</v>
      </c>
      <c r="C3" s="87"/>
    </row>
    <row r="4" spans="1:9" x14ac:dyDescent="0.35">
      <c r="C4" s="87"/>
    </row>
    <row r="5" spans="1:9" x14ac:dyDescent="0.35">
      <c r="C5" s="87"/>
    </row>
    <row r="6" spans="1:9" ht="18" x14ac:dyDescent="0.4">
      <c r="A6" s="12" t="s">
        <v>38</v>
      </c>
      <c r="B6" s="46"/>
      <c r="C6" s="46"/>
      <c r="D6" s="36"/>
      <c r="E6" s="36"/>
      <c r="F6" s="46"/>
      <c r="G6" s="46"/>
    </row>
    <row r="7" spans="1:9" x14ac:dyDescent="0.35">
      <c r="C7" s="6"/>
      <c r="D7" s="6"/>
      <c r="E7" s="6"/>
      <c r="F7" s="6"/>
    </row>
    <row r="8" spans="1:9" x14ac:dyDescent="0.35">
      <c r="C8" s="6" t="s">
        <v>121</v>
      </c>
      <c r="D8" s="6" t="s">
        <v>4</v>
      </c>
      <c r="E8" s="6" t="s">
        <v>122</v>
      </c>
      <c r="F8" s="6"/>
    </row>
    <row r="9" spans="1:9" ht="16" thickBot="1" x14ac:dyDescent="0.4">
      <c r="A9" s="11" t="s">
        <v>17</v>
      </c>
      <c r="B9" s="11" t="s">
        <v>1</v>
      </c>
      <c r="C9" s="4" t="str">
        <f>+'COS Summary'!D6</f>
        <v>7/1/23-6/30/24</v>
      </c>
      <c r="D9" s="11" t="s">
        <v>124</v>
      </c>
      <c r="E9" s="4" t="str">
        <f>+'COS Summary'!F6</f>
        <v>8/1/25-7/31/26</v>
      </c>
      <c r="F9" s="4"/>
      <c r="G9" s="4" t="s">
        <v>84</v>
      </c>
    </row>
    <row r="10" spans="1:9" x14ac:dyDescent="0.35">
      <c r="A10" s="6"/>
    </row>
    <row r="11" spans="1:9" x14ac:dyDescent="0.35">
      <c r="A11" s="6"/>
      <c r="B11" s="29" t="s">
        <v>145</v>
      </c>
      <c r="C11" s="48"/>
      <c r="D11" s="48"/>
      <c r="E11" s="48"/>
    </row>
    <row r="12" spans="1:9" x14ac:dyDescent="0.35">
      <c r="A12" s="6">
        <v>580</v>
      </c>
      <c r="B12" s="8" t="s">
        <v>32</v>
      </c>
      <c r="C12" s="18">
        <v>733414.55</v>
      </c>
      <c r="D12" s="65">
        <v>139383</v>
      </c>
      <c r="E12" s="18">
        <f>SUM(C12:D12)</f>
        <v>872797.55</v>
      </c>
      <c r="G12" s="6">
        <v>1</v>
      </c>
      <c r="H12" s="88"/>
      <c r="I12" s="279"/>
    </row>
    <row r="13" spans="1:9" x14ac:dyDescent="0.35">
      <c r="A13" s="6">
        <v>582</v>
      </c>
      <c r="B13" s="8" t="s">
        <v>33</v>
      </c>
      <c r="C13" s="18">
        <v>62771.59</v>
      </c>
      <c r="D13" s="18">
        <f>-28599+76072.47</f>
        <v>47473.47</v>
      </c>
      <c r="E13" s="18">
        <f>SUM(C13:D13)</f>
        <v>110245.06</v>
      </c>
      <c r="G13" s="6">
        <v>2</v>
      </c>
      <c r="H13" s="88"/>
    </row>
    <row r="14" spans="1:9" x14ac:dyDescent="0.35">
      <c r="A14" s="6">
        <v>583</v>
      </c>
      <c r="B14" s="8" t="s">
        <v>34</v>
      </c>
      <c r="C14" s="18">
        <v>129</v>
      </c>
      <c r="D14" s="18"/>
      <c r="E14" s="18">
        <f t="shared" ref="E14:E21" si="0">SUM(C14:D14)</f>
        <v>129</v>
      </c>
      <c r="H14" s="234"/>
    </row>
    <row r="15" spans="1:9" x14ac:dyDescent="0.35">
      <c r="A15" s="6">
        <v>584</v>
      </c>
      <c r="B15" s="8" t="s">
        <v>44</v>
      </c>
      <c r="C15" s="18">
        <v>65.22</v>
      </c>
      <c r="D15" s="18"/>
      <c r="E15" s="18">
        <f t="shared" si="0"/>
        <v>65.22</v>
      </c>
    </row>
    <row r="16" spans="1:9" x14ac:dyDescent="0.35">
      <c r="A16" s="6">
        <v>585</v>
      </c>
      <c r="B16" s="91" t="s">
        <v>46</v>
      </c>
      <c r="C16" s="18">
        <v>40125.54</v>
      </c>
      <c r="D16" s="18"/>
      <c r="E16" s="18">
        <f t="shared" si="0"/>
        <v>40125.54</v>
      </c>
    </row>
    <row r="17" spans="1:9" x14ac:dyDescent="0.35">
      <c r="A17" s="6">
        <v>586</v>
      </c>
      <c r="B17" s="8" t="s">
        <v>39</v>
      </c>
      <c r="C17" s="18">
        <v>204958.17</v>
      </c>
      <c r="D17" s="18">
        <v>103010</v>
      </c>
      <c r="E17" s="18">
        <f t="shared" si="0"/>
        <v>307968.17000000004</v>
      </c>
      <c r="G17" s="6">
        <v>3</v>
      </c>
    </row>
    <row r="18" spans="1:9" x14ac:dyDescent="0.35">
      <c r="A18" s="6">
        <v>587</v>
      </c>
      <c r="B18" s="8" t="s">
        <v>40</v>
      </c>
      <c r="C18" s="18">
        <v>61502.61</v>
      </c>
      <c r="D18" s="18"/>
      <c r="E18" s="18">
        <f t="shared" si="0"/>
        <v>61502.61</v>
      </c>
    </row>
    <row r="19" spans="1:9" x14ac:dyDescent="0.35">
      <c r="A19" s="6">
        <v>588</v>
      </c>
      <c r="B19" s="8" t="s">
        <v>41</v>
      </c>
      <c r="C19" s="18">
        <v>258085.57</v>
      </c>
      <c r="D19" s="18">
        <v>27000</v>
      </c>
      <c r="E19" s="18">
        <f t="shared" si="0"/>
        <v>285085.57</v>
      </c>
      <c r="G19" s="6">
        <v>4</v>
      </c>
    </row>
    <row r="20" spans="1:9" x14ac:dyDescent="0.35">
      <c r="A20" s="6">
        <v>589</v>
      </c>
      <c r="B20" s="8" t="s">
        <v>35</v>
      </c>
      <c r="C20" s="18">
        <v>90712</v>
      </c>
      <c r="D20" s="65"/>
      <c r="E20" s="18">
        <f t="shared" si="0"/>
        <v>90712</v>
      </c>
      <c r="I20" s="228"/>
    </row>
    <row r="21" spans="1:9" x14ac:dyDescent="0.35">
      <c r="A21" s="6"/>
      <c r="B21" s="13" t="s">
        <v>36</v>
      </c>
      <c r="C21" s="50">
        <f>SUM(C12:C20)</f>
        <v>1451764.2500000002</v>
      </c>
      <c r="D21" s="50">
        <f>SUM(D12:D20)</f>
        <v>316866.46999999997</v>
      </c>
      <c r="E21" s="50">
        <f t="shared" si="0"/>
        <v>1768630.7200000002</v>
      </c>
    </row>
    <row r="22" spans="1:9" x14ac:dyDescent="0.35">
      <c r="A22" s="6"/>
      <c r="C22" s="18"/>
      <c r="D22" s="18"/>
      <c r="E22" s="18"/>
    </row>
    <row r="23" spans="1:9" x14ac:dyDescent="0.35">
      <c r="A23" s="6"/>
      <c r="B23" s="29" t="s">
        <v>143</v>
      </c>
      <c r="C23" s="18"/>
      <c r="D23" s="18"/>
      <c r="E23" s="18"/>
    </row>
    <row r="24" spans="1:9" hidden="1" x14ac:dyDescent="0.35">
      <c r="A24" s="6">
        <v>590</v>
      </c>
      <c r="B24" s="8" t="s">
        <v>32</v>
      </c>
      <c r="C24" s="18">
        <v>0</v>
      </c>
      <c r="D24" s="18">
        <v>0</v>
      </c>
      <c r="E24" s="18">
        <f t="shared" ref="E24:E32" si="1">SUM(C24:D24)</f>
        <v>0</v>
      </c>
    </row>
    <row r="25" spans="1:9" x14ac:dyDescent="0.35">
      <c r="A25" s="6">
        <v>591</v>
      </c>
      <c r="B25" s="8" t="s">
        <v>42</v>
      </c>
      <c r="C25" s="18">
        <v>57325.55</v>
      </c>
      <c r="D25" s="18"/>
      <c r="E25" s="18">
        <f t="shared" si="1"/>
        <v>57325.55</v>
      </c>
    </row>
    <row r="26" spans="1:9" x14ac:dyDescent="0.35">
      <c r="A26" s="6">
        <v>592</v>
      </c>
      <c r="B26" s="8" t="s">
        <v>43</v>
      </c>
      <c r="C26" s="18">
        <v>194134.52</v>
      </c>
      <c r="D26" s="96">
        <v>-149206</v>
      </c>
      <c r="E26" s="18">
        <f t="shared" si="1"/>
        <v>44928.51999999999</v>
      </c>
      <c r="G26" s="6">
        <v>5</v>
      </c>
    </row>
    <row r="27" spans="1:9" x14ac:dyDescent="0.35">
      <c r="A27" s="6">
        <v>593</v>
      </c>
      <c r="B27" s="8" t="s">
        <v>34</v>
      </c>
      <c r="C27" s="18">
        <v>1397337.96</v>
      </c>
      <c r="D27" s="18">
        <v>52104</v>
      </c>
      <c r="E27" s="18">
        <f t="shared" si="1"/>
        <v>1449441.96</v>
      </c>
      <c r="G27" s="49">
        <v>6</v>
      </c>
      <c r="H27" s="234"/>
    </row>
    <row r="28" spans="1:9" x14ac:dyDescent="0.35">
      <c r="A28" s="6">
        <v>594</v>
      </c>
      <c r="B28" s="8" t="s">
        <v>44</v>
      </c>
      <c r="C28" s="18">
        <v>325922.13</v>
      </c>
      <c r="D28" s="18">
        <v>-24140</v>
      </c>
      <c r="E28" s="18">
        <f t="shared" si="1"/>
        <v>301782.13</v>
      </c>
      <c r="G28" s="6">
        <v>7</v>
      </c>
    </row>
    <row r="29" spans="1:9" x14ac:dyDescent="0.35">
      <c r="A29" s="6">
        <v>595</v>
      </c>
      <c r="B29" s="8" t="s">
        <v>45</v>
      </c>
      <c r="C29" s="18">
        <v>6474.08</v>
      </c>
      <c r="D29" s="18"/>
      <c r="E29" s="18">
        <f t="shared" si="1"/>
        <v>6474.08</v>
      </c>
    </row>
    <row r="30" spans="1:9" x14ac:dyDescent="0.35">
      <c r="A30" s="6">
        <v>596</v>
      </c>
      <c r="B30" s="8" t="s">
        <v>46</v>
      </c>
      <c r="C30" s="18">
        <v>93102.94</v>
      </c>
      <c r="D30" s="18"/>
      <c r="E30" s="18">
        <f t="shared" si="1"/>
        <v>93102.94</v>
      </c>
    </row>
    <row r="31" spans="1:9" x14ac:dyDescent="0.35">
      <c r="A31" s="6">
        <v>597</v>
      </c>
      <c r="B31" s="8" t="s">
        <v>39</v>
      </c>
      <c r="C31" s="18">
        <v>27555.47</v>
      </c>
      <c r="D31" s="18"/>
      <c r="E31" s="18">
        <f t="shared" si="1"/>
        <v>27555.47</v>
      </c>
    </row>
    <row r="32" spans="1:9" x14ac:dyDescent="0.35">
      <c r="A32" s="6">
        <v>598</v>
      </c>
      <c r="B32" s="8" t="s">
        <v>27</v>
      </c>
      <c r="C32" s="18">
        <v>36605.18</v>
      </c>
      <c r="D32" s="18"/>
      <c r="E32" s="18">
        <f t="shared" si="1"/>
        <v>36605.18</v>
      </c>
    </row>
    <row r="33" spans="1:14" x14ac:dyDescent="0.35">
      <c r="A33" s="6"/>
      <c r="B33" s="13" t="s">
        <v>180</v>
      </c>
      <c r="C33" s="50">
        <f>SUM(C24:C32)</f>
        <v>2138457.8300000005</v>
      </c>
      <c r="D33" s="50">
        <f>SUM(D24:D32)</f>
        <v>-121242</v>
      </c>
      <c r="E33" s="50">
        <f>SUM(C33:D33)</f>
        <v>2017215.8300000005</v>
      </c>
    </row>
    <row r="34" spans="1:14" x14ac:dyDescent="0.35">
      <c r="A34" s="6"/>
      <c r="C34" s="18"/>
      <c r="D34" s="18"/>
      <c r="E34" s="18"/>
    </row>
    <row r="35" spans="1:14" ht="16" thickBot="1" x14ac:dyDescent="0.4">
      <c r="A35" s="6"/>
      <c r="B35" s="19" t="s">
        <v>91</v>
      </c>
      <c r="C35" s="17">
        <f>SUM(C33,C21)</f>
        <v>3590222.080000001</v>
      </c>
      <c r="D35" s="17">
        <f>SUM(D33,D21)</f>
        <v>195624.46999999997</v>
      </c>
      <c r="E35" s="17">
        <f>SUM(C35:D35)</f>
        <v>3785846.5500000007</v>
      </c>
      <c r="G35" s="49"/>
    </row>
    <row r="36" spans="1:14" ht="16" thickTop="1" x14ac:dyDescent="0.35">
      <c r="C36" s="51"/>
      <c r="D36" s="51"/>
      <c r="E36" s="51"/>
    </row>
    <row r="37" spans="1:14" x14ac:dyDescent="0.35">
      <c r="A37" s="2" t="s">
        <v>87</v>
      </c>
      <c r="B37" s="53"/>
      <c r="C37" s="52"/>
      <c r="D37" s="52"/>
      <c r="E37" s="52"/>
    </row>
    <row r="38" spans="1:14" s="87" customFormat="1" ht="15" customHeight="1" x14ac:dyDescent="0.35">
      <c r="A38" s="252">
        <v>1</v>
      </c>
      <c r="B38" s="359" t="s">
        <v>574</v>
      </c>
      <c r="C38" s="359"/>
      <c r="D38" s="359"/>
      <c r="E38" s="359"/>
      <c r="H38" s="88"/>
    </row>
    <row r="39" spans="1:14" ht="53.4" customHeight="1" x14ac:dyDescent="0.35">
      <c r="A39" s="6">
        <v>2</v>
      </c>
      <c r="B39" s="361" t="s">
        <v>528</v>
      </c>
      <c r="C39" s="361"/>
      <c r="D39" s="361"/>
      <c r="E39" s="361"/>
      <c r="F39" s="359"/>
      <c r="G39" s="359"/>
      <c r="H39" s="88"/>
      <c r="I39" s="228"/>
    </row>
    <row r="40" spans="1:14" ht="30" customHeight="1" x14ac:dyDescent="0.35">
      <c r="A40" s="92">
        <v>3</v>
      </c>
      <c r="B40" s="359" t="s">
        <v>575</v>
      </c>
      <c r="C40" s="359"/>
      <c r="D40" s="359"/>
      <c r="E40" s="359"/>
      <c r="F40" s="359"/>
      <c r="G40" s="359"/>
    </row>
    <row r="41" spans="1:14" x14ac:dyDescent="0.35">
      <c r="A41" s="92">
        <v>4</v>
      </c>
      <c r="B41" s="87" t="s">
        <v>576</v>
      </c>
      <c r="I41" s="218"/>
      <c r="J41" s="218"/>
      <c r="K41" s="218"/>
      <c r="L41" s="87"/>
      <c r="M41" s="92"/>
      <c r="N41" s="87"/>
    </row>
    <row r="42" spans="1:14" x14ac:dyDescent="0.35">
      <c r="A42" s="92">
        <v>5</v>
      </c>
      <c r="B42" s="87" t="s">
        <v>577</v>
      </c>
    </row>
    <row r="43" spans="1:14" x14ac:dyDescent="0.35">
      <c r="A43" s="92">
        <v>6</v>
      </c>
      <c r="B43" s="359" t="s">
        <v>523</v>
      </c>
      <c r="C43" s="360"/>
      <c r="D43" s="360"/>
      <c r="E43" s="360"/>
    </row>
    <row r="44" spans="1:14" x14ac:dyDescent="0.35">
      <c r="A44" s="92">
        <v>7</v>
      </c>
      <c r="B44" s="359" t="s">
        <v>578</v>
      </c>
      <c r="C44" s="360"/>
      <c r="D44" s="360"/>
      <c r="E44" s="360"/>
    </row>
  </sheetData>
  <mergeCells count="7">
    <mergeCell ref="B43:E43"/>
    <mergeCell ref="B44:E44"/>
    <mergeCell ref="B38:E38"/>
    <mergeCell ref="B40:E40"/>
    <mergeCell ref="F39:G39"/>
    <mergeCell ref="F40:G40"/>
    <mergeCell ref="B39:E39"/>
  </mergeCells>
  <phoneticPr fontId="0" type="noConversion"/>
  <printOptions horizontalCentered="1"/>
  <pageMargins left="0.5" right="0" top="1" bottom="1" header="0.5" footer="0.5"/>
  <pageSetup scale="83"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I18"/>
  <sheetViews>
    <sheetView zoomScale="130" zoomScaleNormal="130" workbookViewId="0">
      <selection activeCell="H26" sqref="H26"/>
    </sheetView>
  </sheetViews>
  <sheetFormatPr defaultColWidth="8.921875" defaultRowHeight="15.5" x14ac:dyDescent="0.35"/>
  <cols>
    <col min="1" max="1" width="5.921875" style="2" customWidth="1"/>
    <col min="2" max="2" width="45.921875" style="2" customWidth="1"/>
    <col min="3" max="5" width="14.07421875" style="2" customWidth="1"/>
    <col min="6" max="6" width="2.921875" style="2" customWidth="1"/>
    <col min="7" max="7" width="4.921875" style="9" customWidth="1"/>
    <col min="8" max="16384" width="8.921875" style="2"/>
  </cols>
  <sheetData>
    <row r="1" spans="1:9" x14ac:dyDescent="0.35">
      <c r="A1" s="10" t="s">
        <v>104</v>
      </c>
      <c r="C1" s="87"/>
      <c r="G1" s="10" t="s">
        <v>156</v>
      </c>
    </row>
    <row r="2" spans="1:9" x14ac:dyDescent="0.35">
      <c r="A2" s="1" t="s">
        <v>117</v>
      </c>
      <c r="C2" s="87"/>
    </row>
    <row r="3" spans="1:9" x14ac:dyDescent="0.35">
      <c r="A3" s="86" t="str">
        <f>+'COS Summary'!A2</f>
        <v>For the Test Year Ended June 30, 2024</v>
      </c>
    </row>
    <row r="6" spans="1:9" x14ac:dyDescent="0.35">
      <c r="E6" s="87"/>
    </row>
    <row r="7" spans="1:9" ht="18" x14ac:dyDescent="0.4">
      <c r="A7" s="12" t="s">
        <v>120</v>
      </c>
      <c r="B7" s="46"/>
      <c r="C7" s="46"/>
      <c r="D7" s="36"/>
      <c r="E7" s="36"/>
      <c r="F7" s="46"/>
    </row>
    <row r="8" spans="1:9" x14ac:dyDescent="0.35">
      <c r="C8" s="6"/>
      <c r="D8" s="6"/>
      <c r="E8" s="6"/>
      <c r="F8" s="6"/>
    </row>
    <row r="9" spans="1:9" x14ac:dyDescent="0.35">
      <c r="C9" s="6" t="s">
        <v>121</v>
      </c>
      <c r="D9" s="6" t="s">
        <v>4</v>
      </c>
      <c r="E9" s="6" t="s">
        <v>122</v>
      </c>
      <c r="F9" s="6"/>
    </row>
    <row r="10" spans="1:9" ht="16" thickBot="1" x14ac:dyDescent="0.4">
      <c r="A10" s="11" t="s">
        <v>17</v>
      </c>
      <c r="B10" s="11" t="s">
        <v>1</v>
      </c>
      <c r="C10" s="4" t="str">
        <f>+'COS Summary'!D6</f>
        <v>7/1/23-6/30/24</v>
      </c>
      <c r="D10" s="11" t="s">
        <v>124</v>
      </c>
      <c r="E10" s="4" t="str">
        <f>+'COS Summary'!F6</f>
        <v>8/1/25-7/31/26</v>
      </c>
      <c r="F10" s="4"/>
      <c r="G10" s="134" t="s">
        <v>84</v>
      </c>
    </row>
    <row r="12" spans="1:9" x14ac:dyDescent="0.35">
      <c r="A12" s="6">
        <v>556</v>
      </c>
      <c r="B12" s="8" t="s">
        <v>71</v>
      </c>
      <c r="C12" s="18">
        <v>1531847.08</v>
      </c>
      <c r="D12" s="96">
        <v>-132966</v>
      </c>
      <c r="E12" s="18">
        <f>SUM(C12:D12)</f>
        <v>1398881.08</v>
      </c>
      <c r="G12" s="28">
        <v>1</v>
      </c>
      <c r="H12" s="106"/>
      <c r="I12" s="87"/>
    </row>
    <row r="13" spans="1:9" x14ac:dyDescent="0.35">
      <c r="A13" s="6">
        <v>557</v>
      </c>
      <c r="B13" s="8" t="s">
        <v>13</v>
      </c>
      <c r="C13" s="18">
        <v>14430.35</v>
      </c>
      <c r="D13" s="18"/>
      <c r="E13" s="18">
        <f>SUM(C13:D13)</f>
        <v>14430.35</v>
      </c>
      <c r="I13" s="87"/>
    </row>
    <row r="14" spans="1:9" ht="16" thickBot="1" x14ac:dyDescent="0.4">
      <c r="B14" s="56" t="s">
        <v>192</v>
      </c>
      <c r="C14" s="17">
        <f>SUM(C12:C13)</f>
        <v>1546277.4300000002</v>
      </c>
      <c r="D14" s="17">
        <f>SUM(D12:D13)</f>
        <v>-132966</v>
      </c>
      <c r="E14" s="17">
        <f>SUM(C14:D14)</f>
        <v>1413311.4300000002</v>
      </c>
      <c r="G14" s="28"/>
    </row>
    <row r="15" spans="1:9" ht="16" thickTop="1" x14ac:dyDescent="0.35">
      <c r="C15" s="48"/>
      <c r="D15" s="48"/>
      <c r="E15" s="48"/>
    </row>
    <row r="16" spans="1:9" x14ac:dyDescent="0.35">
      <c r="A16" s="2" t="s">
        <v>87</v>
      </c>
      <c r="B16" s="53"/>
    </row>
    <row r="17" spans="1:7" s="87" customFormat="1" ht="30" customHeight="1" x14ac:dyDescent="0.35">
      <c r="A17" s="219">
        <v>1</v>
      </c>
      <c r="B17" s="359" t="s">
        <v>522</v>
      </c>
      <c r="C17" s="359"/>
      <c r="D17" s="359"/>
      <c r="E17" s="359"/>
      <c r="F17" s="359"/>
      <c r="G17" s="359"/>
    </row>
    <row r="18" spans="1:7" x14ac:dyDescent="0.35">
      <c r="B18" s="87"/>
      <c r="C18"/>
      <c r="D18"/>
      <c r="E18"/>
      <c r="F18"/>
      <c r="G18"/>
    </row>
  </sheetData>
  <mergeCells count="1">
    <mergeCell ref="B17:G17"/>
  </mergeCells>
  <phoneticPr fontId="0" type="noConversion"/>
  <printOptions horizontalCentered="1"/>
  <pageMargins left="0.5" right="0" top="1" bottom="1" header="0.5" footer="0.5"/>
  <pageSetup scale="77" orientation="portrait" r:id="rId1"/>
  <headerFooter alignWithMargins="0"/>
  <colBreaks count="1" manualBreakCount="1">
    <brk id="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82430-FD61-4B0C-80E4-F3562EAE9C58}">
  <sheetPr>
    <pageSetUpPr fitToPage="1"/>
  </sheetPr>
  <dimension ref="A1:M173"/>
  <sheetViews>
    <sheetView tabSelected="1" topLeftCell="A105" zoomScale="130" zoomScaleNormal="130" workbookViewId="0">
      <selection activeCell="L111" sqref="L111"/>
    </sheetView>
  </sheetViews>
  <sheetFormatPr defaultColWidth="8.921875" defaultRowHeight="15.5" x14ac:dyDescent="0.35"/>
  <cols>
    <col min="1" max="1" width="8.61328125" style="2" customWidth="1"/>
    <col min="2" max="2" width="45.921875" style="2" customWidth="1"/>
    <col min="3" max="5" width="13.921875" style="2" customWidth="1"/>
    <col min="6" max="6" width="2.921875" style="2" customWidth="1"/>
    <col min="7" max="7" width="4.921875" style="9" customWidth="1"/>
    <col min="8" max="8" width="3.921875" style="2" customWidth="1"/>
    <col min="9" max="9" width="13.921875" style="52" customWidth="1"/>
    <col min="10" max="11" width="8.921875" style="2"/>
    <col min="12" max="12" width="11.07421875" style="2" bestFit="1" customWidth="1"/>
    <col min="13" max="16384" width="8.921875" style="2"/>
  </cols>
  <sheetData>
    <row r="1" spans="1:9" x14ac:dyDescent="0.35">
      <c r="A1" s="10" t="s">
        <v>104</v>
      </c>
      <c r="G1" s="22" t="s">
        <v>340</v>
      </c>
    </row>
    <row r="2" spans="1:9" x14ac:dyDescent="0.35">
      <c r="A2" s="1" t="s">
        <v>117</v>
      </c>
    </row>
    <row r="3" spans="1:9" x14ac:dyDescent="0.35">
      <c r="A3" s="86" t="str">
        <f>+'COS Summary'!A2</f>
        <v>For the Test Year Ended June 30, 2024</v>
      </c>
    </row>
    <row r="6" spans="1:9" ht="18" x14ac:dyDescent="0.4">
      <c r="A6" s="12" t="s">
        <v>262</v>
      </c>
      <c r="B6" s="46"/>
      <c r="C6" s="46"/>
      <c r="D6" s="36"/>
      <c r="E6" s="36"/>
      <c r="F6" s="46"/>
    </row>
    <row r="7" spans="1:9" x14ac:dyDescent="0.35">
      <c r="C7" s="6"/>
      <c r="D7" s="6"/>
      <c r="E7" s="6"/>
      <c r="F7" s="6"/>
    </row>
    <row r="8" spans="1:9" x14ac:dyDescent="0.35">
      <c r="C8" s="6" t="s">
        <v>121</v>
      </c>
      <c r="D8" s="6" t="s">
        <v>4</v>
      </c>
      <c r="E8" s="6" t="s">
        <v>122</v>
      </c>
      <c r="F8" s="6"/>
    </row>
    <row r="9" spans="1:9" ht="16" thickBot="1" x14ac:dyDescent="0.4">
      <c r="A9" s="11" t="s">
        <v>17</v>
      </c>
      <c r="B9" s="11" t="s">
        <v>1</v>
      </c>
      <c r="C9" s="4" t="str">
        <f>+'COS Summary'!D6</f>
        <v>7/1/23-6/30/24</v>
      </c>
      <c r="D9" s="11" t="s">
        <v>124</v>
      </c>
      <c r="E9" s="4" t="str">
        <f>+'COS Summary'!F6</f>
        <v>8/1/25-7/31/26</v>
      </c>
      <c r="F9" s="4"/>
      <c r="G9" s="134" t="s">
        <v>84</v>
      </c>
      <c r="H9" s="87"/>
    </row>
    <row r="10" spans="1:9" x14ac:dyDescent="0.35">
      <c r="A10" s="1">
        <v>403</v>
      </c>
      <c r="B10" s="351" t="s">
        <v>545</v>
      </c>
      <c r="C10" s="127"/>
      <c r="D10" s="127"/>
      <c r="E10" s="127"/>
      <c r="F10" s="108"/>
      <c r="G10" s="92"/>
    </row>
    <row r="11" spans="1:9" x14ac:dyDescent="0.35">
      <c r="C11" s="48"/>
      <c r="D11" s="48"/>
      <c r="E11" s="48"/>
      <c r="G11" s="92"/>
      <c r="H11" s="228"/>
      <c r="I11" s="218"/>
    </row>
    <row r="12" spans="1:9" x14ac:dyDescent="0.35">
      <c r="A12" s="67"/>
      <c r="B12" s="87" t="s">
        <v>278</v>
      </c>
      <c r="C12" s="48"/>
      <c r="D12" s="48"/>
      <c r="E12" s="48"/>
      <c r="G12" s="92"/>
      <c r="I12" s="218"/>
    </row>
    <row r="13" spans="1:9" x14ac:dyDescent="0.35">
      <c r="A13" s="87">
        <v>403</v>
      </c>
      <c r="B13" s="109" t="s">
        <v>327</v>
      </c>
      <c r="C13" s="116"/>
      <c r="D13" s="116"/>
      <c r="E13" s="116"/>
      <c r="G13" s="149"/>
      <c r="I13" s="266"/>
    </row>
    <row r="14" spans="1:9" x14ac:dyDescent="0.35">
      <c r="B14" s="107" t="s">
        <v>263</v>
      </c>
      <c r="C14" s="116">
        <v>233935.76</v>
      </c>
      <c r="D14" s="147">
        <v>597.72999999998137</v>
      </c>
      <c r="E14" s="116">
        <f t="shared" ref="E14:E27" si="0">SUM(C14:D14)</f>
        <v>234533.49</v>
      </c>
      <c r="G14" s="149"/>
    </row>
    <row r="15" spans="1:9" x14ac:dyDescent="0.35">
      <c r="B15" s="107" t="s">
        <v>264</v>
      </c>
      <c r="C15" s="116">
        <v>518029.58</v>
      </c>
      <c r="D15" s="147">
        <v>14245.134999999951</v>
      </c>
      <c r="E15" s="116">
        <f>SUM(C15:D15)</f>
        <v>532274.71499999997</v>
      </c>
      <c r="G15" s="149"/>
    </row>
    <row r="16" spans="1:9" x14ac:dyDescent="0.35">
      <c r="B16" s="107" t="s">
        <v>265</v>
      </c>
      <c r="C16" s="116">
        <v>58551.98</v>
      </c>
      <c r="D16" s="147">
        <v>6282.7000000000044</v>
      </c>
      <c r="E16" s="116">
        <f t="shared" si="0"/>
        <v>64834.680000000008</v>
      </c>
      <c r="G16" s="149"/>
    </row>
    <row r="17" spans="1:12" x14ac:dyDescent="0.35">
      <c r="B17" s="107" t="s">
        <v>266</v>
      </c>
      <c r="C17" s="116">
        <v>6863.04</v>
      </c>
      <c r="D17" s="147">
        <v>1752.045000000001</v>
      </c>
      <c r="E17" s="116">
        <f t="shared" si="0"/>
        <v>8615.0850000000009</v>
      </c>
      <c r="G17" s="149"/>
    </row>
    <row r="18" spans="1:12" x14ac:dyDescent="0.35">
      <c r="B18" s="107" t="s">
        <v>267</v>
      </c>
      <c r="C18" s="116">
        <v>39458.160000000003</v>
      </c>
      <c r="D18" s="147">
        <v>753.97499999999854</v>
      </c>
      <c r="E18" s="116">
        <f t="shared" si="0"/>
        <v>40212.135000000002</v>
      </c>
      <c r="G18" s="149"/>
    </row>
    <row r="19" spans="1:12" x14ac:dyDescent="0.35">
      <c r="A19" s="6"/>
      <c r="B19" s="103" t="s">
        <v>298</v>
      </c>
      <c r="C19" s="117">
        <f>SUM(C14:C18)</f>
        <v>856838.52000000014</v>
      </c>
      <c r="D19" s="117">
        <f>SUM(D14:D18)</f>
        <v>23631.584999999937</v>
      </c>
      <c r="E19" s="117">
        <f>SUM(C19:D19)</f>
        <v>880470.1050000001</v>
      </c>
      <c r="G19" s="92"/>
      <c r="H19" s="6"/>
      <c r="L19" s="87"/>
    </row>
    <row r="20" spans="1:12" x14ac:dyDescent="0.35">
      <c r="B20" s="108"/>
      <c r="C20" s="116"/>
      <c r="D20" s="116"/>
      <c r="E20" s="116"/>
      <c r="F20" s="18"/>
      <c r="G20" s="96"/>
      <c r="H20" s="18"/>
      <c r="L20" s="87"/>
    </row>
    <row r="21" spans="1:12" x14ac:dyDescent="0.35">
      <c r="A21" s="2">
        <v>403</v>
      </c>
      <c r="B21" s="109" t="s">
        <v>328</v>
      </c>
      <c r="C21" s="116"/>
      <c r="D21" s="116"/>
      <c r="E21" s="116"/>
      <c r="G21" s="149"/>
      <c r="L21" s="87"/>
    </row>
    <row r="22" spans="1:12" x14ac:dyDescent="0.35">
      <c r="B22" s="107" t="s">
        <v>268</v>
      </c>
      <c r="C22" s="116">
        <v>104161.56</v>
      </c>
      <c r="D22" s="147">
        <v>2808.9599999999919</v>
      </c>
      <c r="E22" s="116">
        <f t="shared" si="0"/>
        <v>106970.51999999999</v>
      </c>
      <c r="G22" s="149"/>
      <c r="L22" s="87"/>
    </row>
    <row r="23" spans="1:12" x14ac:dyDescent="0.35">
      <c r="B23" s="107" t="s">
        <v>269</v>
      </c>
      <c r="C23" s="116">
        <v>67185.600000000006</v>
      </c>
      <c r="D23" s="147">
        <v>2124.4199999999983</v>
      </c>
      <c r="E23" s="116">
        <f t="shared" si="0"/>
        <v>69310.02</v>
      </c>
      <c r="G23" s="149"/>
      <c r="L23" s="87"/>
    </row>
    <row r="24" spans="1:12" x14ac:dyDescent="0.35">
      <c r="B24" s="107" t="s">
        <v>270</v>
      </c>
      <c r="C24" s="116">
        <v>68498.19</v>
      </c>
      <c r="D24" s="147">
        <v>-13252.770000000004</v>
      </c>
      <c r="E24" s="116">
        <f t="shared" si="0"/>
        <v>55245.42</v>
      </c>
      <c r="G24" s="149"/>
      <c r="L24" s="87"/>
    </row>
    <row r="25" spans="1:12" x14ac:dyDescent="0.35">
      <c r="B25" s="107" t="s">
        <v>271</v>
      </c>
      <c r="C25" s="116">
        <v>7921.99</v>
      </c>
      <c r="D25" s="147">
        <v>-6643.2250000000004</v>
      </c>
      <c r="E25" s="116">
        <f t="shared" si="0"/>
        <v>1278.7649999999994</v>
      </c>
      <c r="G25" s="149"/>
      <c r="L25" s="87"/>
    </row>
    <row r="26" spans="1:12" x14ac:dyDescent="0.35">
      <c r="B26" s="107" t="s">
        <v>272</v>
      </c>
      <c r="C26" s="116">
        <v>6756.24</v>
      </c>
      <c r="D26" s="147">
        <v>8752.3799999999992</v>
      </c>
      <c r="E26" s="116">
        <f t="shared" si="0"/>
        <v>15508.619999999999</v>
      </c>
      <c r="G26" s="149"/>
      <c r="L26" s="87"/>
    </row>
    <row r="27" spans="1:12" x14ac:dyDescent="0.35">
      <c r="B27" s="107" t="s">
        <v>273</v>
      </c>
      <c r="C27" s="116">
        <v>1800.96</v>
      </c>
      <c r="D27" s="147"/>
      <c r="E27" s="116">
        <f t="shared" si="0"/>
        <v>1800.96</v>
      </c>
      <c r="G27" s="149"/>
      <c r="L27" s="87"/>
    </row>
    <row r="28" spans="1:12" x14ac:dyDescent="0.35">
      <c r="A28" s="6"/>
      <c r="B28" s="103" t="s">
        <v>299</v>
      </c>
      <c r="C28" s="117">
        <f>SUM(C21:C27)</f>
        <v>256324.53999999998</v>
      </c>
      <c r="D28" s="117">
        <f>SUM(D21:D27)</f>
        <v>-6210.2350000000151</v>
      </c>
      <c r="E28" s="117">
        <f>SUM(C28:D28)</f>
        <v>250114.30499999996</v>
      </c>
      <c r="G28" s="92"/>
      <c r="H28" s="6"/>
      <c r="L28" s="87"/>
    </row>
    <row r="29" spans="1:12" x14ac:dyDescent="0.35">
      <c r="B29" s="108"/>
      <c r="C29" s="116"/>
      <c r="D29" s="116"/>
      <c r="E29" s="116"/>
      <c r="F29" s="18"/>
      <c r="G29" s="149"/>
      <c r="L29" s="87"/>
    </row>
    <row r="30" spans="1:12" x14ac:dyDescent="0.35">
      <c r="A30" s="2">
        <v>403</v>
      </c>
      <c r="B30" s="109" t="s">
        <v>329</v>
      </c>
      <c r="C30" s="116"/>
      <c r="D30" s="116"/>
      <c r="E30" s="116"/>
      <c r="G30" s="149"/>
      <c r="L30" s="87"/>
    </row>
    <row r="31" spans="1:12" x14ac:dyDescent="0.35">
      <c r="B31" s="107" t="s">
        <v>274</v>
      </c>
      <c r="C31" s="116">
        <v>12918.12</v>
      </c>
      <c r="D31" s="147">
        <v>829.60499999999774</v>
      </c>
      <c r="E31" s="116">
        <f>SUM(C31:D31)</f>
        <v>13747.724999999999</v>
      </c>
      <c r="G31" s="149"/>
      <c r="L31" s="87"/>
    </row>
    <row r="32" spans="1:12" x14ac:dyDescent="0.35">
      <c r="B32" s="107" t="s">
        <v>275</v>
      </c>
      <c r="C32" s="116">
        <v>194879.59</v>
      </c>
      <c r="D32" s="147">
        <v>12008.704999999987</v>
      </c>
      <c r="E32" s="116">
        <f>SUM(C32:D32)</f>
        <v>206888.29499999998</v>
      </c>
      <c r="G32" s="149"/>
    </row>
    <row r="33" spans="1:9" x14ac:dyDescent="0.35">
      <c r="B33" s="107" t="s">
        <v>276</v>
      </c>
      <c r="C33" s="116">
        <v>3705.8</v>
      </c>
      <c r="D33" s="147">
        <v>-193.34000000000015</v>
      </c>
      <c r="E33" s="116">
        <f>SUM(C33:D33)</f>
        <v>3512.46</v>
      </c>
      <c r="G33" s="149"/>
    </row>
    <row r="34" spans="1:9" x14ac:dyDescent="0.35">
      <c r="A34" s="6"/>
      <c r="B34" s="107" t="s">
        <v>277</v>
      </c>
      <c r="C34" s="116">
        <v>54956.76</v>
      </c>
      <c r="D34" s="147"/>
      <c r="E34" s="116">
        <f>SUM(C34:D34)</f>
        <v>54956.76</v>
      </c>
      <c r="G34" s="92"/>
    </row>
    <row r="35" spans="1:9" x14ac:dyDescent="0.35">
      <c r="A35" s="6"/>
      <c r="B35" s="103" t="s">
        <v>300</v>
      </c>
      <c r="C35" s="117">
        <f>SUM(C30:C34)</f>
        <v>266460.26999999996</v>
      </c>
      <c r="D35" s="117">
        <f>SUM(D30:D34)</f>
        <v>12644.969999999985</v>
      </c>
      <c r="E35" s="117">
        <f>SUM(C35:D35)</f>
        <v>279105.23999999993</v>
      </c>
      <c r="G35" s="92"/>
      <c r="H35" s="6"/>
    </row>
    <row r="36" spans="1:9" x14ac:dyDescent="0.35">
      <c r="B36" s="108"/>
      <c r="C36" s="116"/>
      <c r="D36" s="116"/>
      <c r="E36" s="116"/>
      <c r="F36" s="18"/>
      <c r="G36" s="149"/>
    </row>
    <row r="37" spans="1:9" x14ac:dyDescent="0.35">
      <c r="A37" s="2">
        <v>403</v>
      </c>
      <c r="B37" s="109" t="s">
        <v>330</v>
      </c>
      <c r="C37" s="120"/>
      <c r="D37" s="120"/>
      <c r="E37" s="120"/>
      <c r="G37" s="92"/>
    </row>
    <row r="38" spans="1:9" x14ac:dyDescent="0.35">
      <c r="B38" s="107" t="s">
        <v>274</v>
      </c>
      <c r="C38" s="114">
        <v>1876.32</v>
      </c>
      <c r="D38" s="123"/>
      <c r="E38" s="116">
        <f t="shared" ref="E38:E74" si="1">SUM(C38:D38)</f>
        <v>1876.32</v>
      </c>
      <c r="G38" s="88"/>
    </row>
    <row r="39" spans="1:9" x14ac:dyDescent="0.35">
      <c r="B39" s="107" t="s">
        <v>275</v>
      </c>
      <c r="C39" s="114"/>
      <c r="D39" s="123"/>
      <c r="E39" s="116">
        <f t="shared" si="1"/>
        <v>0</v>
      </c>
      <c r="G39" s="92"/>
    </row>
    <row r="40" spans="1:9" x14ac:dyDescent="0.35">
      <c r="A40" s="6"/>
      <c r="B40" s="103" t="s">
        <v>301</v>
      </c>
      <c r="C40" s="117">
        <f>SUM(C38:C39)</f>
        <v>1876.32</v>
      </c>
      <c r="D40" s="117">
        <f>SUM(D38:D39)</f>
        <v>0</v>
      </c>
      <c r="E40" s="117">
        <f>SUM(C40:D40)</f>
        <v>1876.32</v>
      </c>
      <c r="G40" s="92"/>
      <c r="H40" s="6"/>
    </row>
    <row r="41" spans="1:9" x14ac:dyDescent="0.35">
      <c r="B41" s="108"/>
      <c r="C41" s="115"/>
      <c r="D41" s="115"/>
      <c r="E41" s="116">
        <f t="shared" si="1"/>
        <v>0</v>
      </c>
      <c r="G41" s="92"/>
    </row>
    <row r="42" spans="1:9" x14ac:dyDescent="0.35">
      <c r="A42" s="2">
        <v>403</v>
      </c>
      <c r="B42" s="109" t="s">
        <v>331</v>
      </c>
      <c r="C42" s="115"/>
      <c r="D42" s="115"/>
      <c r="E42" s="116">
        <f t="shared" si="1"/>
        <v>0</v>
      </c>
      <c r="G42" s="92"/>
    </row>
    <row r="43" spans="1:9" x14ac:dyDescent="0.35">
      <c r="B43" s="107" t="s">
        <v>274</v>
      </c>
      <c r="C43" s="114">
        <v>91877.28</v>
      </c>
      <c r="D43" s="123"/>
      <c r="E43" s="116">
        <f t="shared" si="1"/>
        <v>91877.28</v>
      </c>
      <c r="G43" s="92"/>
    </row>
    <row r="44" spans="1:9" x14ac:dyDescent="0.35">
      <c r="A44" s="6"/>
      <c r="B44" s="103" t="s">
        <v>302</v>
      </c>
      <c r="C44" s="117">
        <f>SUM(C42:C43)</f>
        <v>91877.28</v>
      </c>
      <c r="D44" s="117">
        <f>SUM(D42:D43)</f>
        <v>0</v>
      </c>
      <c r="E44" s="117">
        <f>SUM(C44:D44)</f>
        <v>91877.28</v>
      </c>
      <c r="G44" s="92"/>
      <c r="H44" s="6"/>
    </row>
    <row r="45" spans="1:9" x14ac:dyDescent="0.35">
      <c r="A45" s="6"/>
      <c r="B45" s="1"/>
      <c r="C45" s="119"/>
      <c r="D45" s="119"/>
      <c r="E45" s="119"/>
      <c r="G45" s="92"/>
      <c r="H45" s="6"/>
    </row>
    <row r="46" spans="1:9" s="1" customFormat="1" x14ac:dyDescent="0.35">
      <c r="B46" s="111" t="s">
        <v>303</v>
      </c>
      <c r="C46" s="121">
        <f>+C19+C28+C35+C40+C44</f>
        <v>1473376.9300000002</v>
      </c>
      <c r="D46" s="121">
        <f>+D19+D28+D35+D40+D44</f>
        <v>30066.319999999905</v>
      </c>
      <c r="E46" s="122">
        <f t="shared" si="1"/>
        <v>1503443.25</v>
      </c>
      <c r="G46" s="5"/>
      <c r="I46" s="269"/>
    </row>
    <row r="47" spans="1:9" x14ac:dyDescent="0.35">
      <c r="B47" s="108"/>
      <c r="C47" s="115"/>
      <c r="D47" s="115"/>
      <c r="E47" s="115"/>
      <c r="G47" s="92"/>
    </row>
    <row r="48" spans="1:9" x14ac:dyDescent="0.35">
      <c r="A48" s="67"/>
      <c r="B48" s="87" t="s">
        <v>279</v>
      </c>
      <c r="C48" s="115"/>
      <c r="D48" s="115"/>
      <c r="E48" s="115"/>
      <c r="G48" s="92"/>
    </row>
    <row r="49" spans="1:9" x14ac:dyDescent="0.35">
      <c r="A49" s="2">
        <v>403</v>
      </c>
      <c r="B49" s="113" t="s">
        <v>304</v>
      </c>
      <c r="C49" s="118">
        <v>4740.72</v>
      </c>
      <c r="D49" s="148"/>
      <c r="E49" s="117">
        <f>SUM(C49:D49)</f>
        <v>4740.72</v>
      </c>
      <c r="G49" s="92"/>
    </row>
    <row r="50" spans="1:9" x14ac:dyDescent="0.35">
      <c r="B50" s="108"/>
      <c r="C50" s="115"/>
      <c r="D50" s="123"/>
      <c r="E50" s="116">
        <f t="shared" si="1"/>
        <v>0</v>
      </c>
      <c r="G50" s="92"/>
    </row>
    <row r="51" spans="1:9" x14ac:dyDescent="0.35">
      <c r="A51" s="2">
        <v>403</v>
      </c>
      <c r="B51" s="110" t="s">
        <v>305</v>
      </c>
      <c r="C51" s="118">
        <v>23664</v>
      </c>
      <c r="D51" s="148"/>
      <c r="E51" s="117">
        <f t="shared" si="1"/>
        <v>23664</v>
      </c>
      <c r="G51" s="92"/>
    </row>
    <row r="52" spans="1:9" x14ac:dyDescent="0.35">
      <c r="B52" s="108"/>
      <c r="C52" s="115"/>
      <c r="D52" s="123"/>
      <c r="E52" s="116">
        <f t="shared" si="1"/>
        <v>0</v>
      </c>
      <c r="G52" s="92"/>
    </row>
    <row r="53" spans="1:9" x14ac:dyDescent="0.35">
      <c r="A53" s="2">
        <v>403</v>
      </c>
      <c r="B53" s="110" t="s">
        <v>306</v>
      </c>
      <c r="C53" s="118">
        <v>44317.68</v>
      </c>
      <c r="D53" s="148"/>
      <c r="E53" s="117">
        <f>SUM(C53:D53)</f>
        <v>44317.68</v>
      </c>
      <c r="G53" s="92"/>
    </row>
    <row r="54" spans="1:9" x14ac:dyDescent="0.35">
      <c r="B54" s="108"/>
      <c r="C54" s="115"/>
      <c r="D54" s="123"/>
      <c r="E54" s="116">
        <f>SUM(C54:D54)</f>
        <v>0</v>
      </c>
      <c r="G54" s="92"/>
    </row>
    <row r="55" spans="1:9" x14ac:dyDescent="0.35">
      <c r="A55" s="2">
        <v>403</v>
      </c>
      <c r="B55" s="110" t="s">
        <v>307</v>
      </c>
      <c r="C55" s="118">
        <v>31.92</v>
      </c>
      <c r="D55" s="148"/>
      <c r="E55" s="117">
        <f>SUM(C55:D55)</f>
        <v>31.92</v>
      </c>
      <c r="G55" s="92"/>
    </row>
    <row r="56" spans="1:9" x14ac:dyDescent="0.35">
      <c r="B56" s="108"/>
      <c r="C56" s="115"/>
      <c r="D56" s="115"/>
      <c r="E56" s="116">
        <f t="shared" si="1"/>
        <v>0</v>
      </c>
      <c r="G56" s="92"/>
    </row>
    <row r="57" spans="1:9" s="1" customFormat="1" x14ac:dyDescent="0.35">
      <c r="B57" s="111" t="s">
        <v>308</v>
      </c>
      <c r="C57" s="121">
        <f>+C49+C51+C53+C55</f>
        <v>72754.319999999992</v>
      </c>
      <c r="D57" s="121">
        <f>+D49+D51+D53+D55</f>
        <v>0</v>
      </c>
      <c r="E57" s="122">
        <f>SUM(C57:D57)</f>
        <v>72754.319999999992</v>
      </c>
      <c r="G57" s="5"/>
      <c r="I57" s="269"/>
    </row>
    <row r="58" spans="1:9" x14ac:dyDescent="0.35">
      <c r="B58" s="108"/>
      <c r="C58" s="115"/>
      <c r="D58" s="115"/>
      <c r="E58" s="115"/>
      <c r="G58" s="92"/>
    </row>
    <row r="59" spans="1:9" x14ac:dyDescent="0.35">
      <c r="A59" s="67"/>
      <c r="B59" s="109" t="s">
        <v>280</v>
      </c>
      <c r="C59" s="115"/>
      <c r="D59" s="115"/>
      <c r="E59" s="116">
        <f t="shared" si="1"/>
        <v>0</v>
      </c>
      <c r="G59" s="92"/>
    </row>
    <row r="60" spans="1:9" x14ac:dyDescent="0.35">
      <c r="A60" s="2">
        <v>403</v>
      </c>
      <c r="B60" s="107" t="s">
        <v>281</v>
      </c>
      <c r="C60" s="114">
        <v>29154</v>
      </c>
      <c r="D60" s="123">
        <v>1562.7900000000009</v>
      </c>
      <c r="E60" s="116">
        <f t="shared" si="1"/>
        <v>30716.79</v>
      </c>
      <c r="G60" s="92"/>
    </row>
    <row r="61" spans="1:9" x14ac:dyDescent="0.35">
      <c r="B61" s="107" t="s">
        <v>282</v>
      </c>
      <c r="C61" s="114">
        <v>219146.4</v>
      </c>
      <c r="D61" s="123">
        <v>114.97500000000582</v>
      </c>
      <c r="E61" s="116">
        <f t="shared" si="1"/>
        <v>219261.375</v>
      </c>
      <c r="G61" s="92"/>
    </row>
    <row r="62" spans="1:9" x14ac:dyDescent="0.35">
      <c r="B62" s="107" t="s">
        <v>283</v>
      </c>
      <c r="C62" s="114">
        <v>187370.95</v>
      </c>
      <c r="D62" s="123">
        <v>9190.3399999999965</v>
      </c>
      <c r="E62" s="116">
        <f t="shared" si="1"/>
        <v>196561.29</v>
      </c>
      <c r="G62" s="92"/>
    </row>
    <row r="63" spans="1:9" x14ac:dyDescent="0.35">
      <c r="B63" s="107" t="s">
        <v>284</v>
      </c>
      <c r="C63" s="114">
        <v>367940.46</v>
      </c>
      <c r="D63" s="123">
        <v>1428.2699999999604</v>
      </c>
      <c r="E63" s="116">
        <f t="shared" si="1"/>
        <v>369368.73</v>
      </c>
      <c r="G63" s="92"/>
    </row>
    <row r="64" spans="1:9" x14ac:dyDescent="0.35">
      <c r="B64" s="107" t="s">
        <v>285</v>
      </c>
      <c r="C64" s="114">
        <v>376624.5</v>
      </c>
      <c r="D64" s="123">
        <v>12995.640000000014</v>
      </c>
      <c r="E64" s="116">
        <f t="shared" si="1"/>
        <v>389620.14</v>
      </c>
      <c r="G64" s="92"/>
    </row>
    <row r="65" spans="1:9" x14ac:dyDescent="0.35">
      <c r="B65" s="107" t="s">
        <v>286</v>
      </c>
      <c r="C65" s="114">
        <v>557710.06999999995</v>
      </c>
      <c r="D65" s="123">
        <v>24609.415000000037</v>
      </c>
      <c r="E65" s="116">
        <f t="shared" si="1"/>
        <v>582319.48499999999</v>
      </c>
      <c r="G65" s="92"/>
    </row>
    <row r="66" spans="1:9" x14ac:dyDescent="0.35">
      <c r="B66" s="107" t="s">
        <v>287</v>
      </c>
      <c r="C66" s="114">
        <v>177951.37</v>
      </c>
      <c r="D66" s="123">
        <v>507.96499999999651</v>
      </c>
      <c r="E66" s="116">
        <f t="shared" si="1"/>
        <v>178459.33499999999</v>
      </c>
      <c r="G66" s="92"/>
    </row>
    <row r="67" spans="1:9" x14ac:dyDescent="0.35">
      <c r="B67" s="107" t="s">
        <v>288</v>
      </c>
      <c r="C67" s="114">
        <v>22303.59</v>
      </c>
      <c r="D67" s="123">
        <v>2760.4349999999977</v>
      </c>
      <c r="E67" s="116">
        <f t="shared" si="1"/>
        <v>25064.024999999998</v>
      </c>
      <c r="G67" s="92"/>
    </row>
    <row r="68" spans="1:9" x14ac:dyDescent="0.35">
      <c r="B68" s="107" t="s">
        <v>289</v>
      </c>
      <c r="C68" s="114">
        <v>86371.45</v>
      </c>
      <c r="D68" s="123">
        <v>25526.915000000008</v>
      </c>
      <c r="E68" s="116">
        <f t="shared" si="1"/>
        <v>111898.36500000001</v>
      </c>
      <c r="G68" s="92"/>
    </row>
    <row r="69" spans="1:9" x14ac:dyDescent="0.35">
      <c r="B69" s="107" t="s">
        <v>290</v>
      </c>
      <c r="C69" s="114">
        <v>7769.32</v>
      </c>
      <c r="D69" s="123">
        <v>275.39000000000124</v>
      </c>
      <c r="E69" s="116">
        <f t="shared" si="1"/>
        <v>8044.7100000000009</v>
      </c>
      <c r="G69" s="92"/>
    </row>
    <row r="70" spans="1:9" x14ac:dyDescent="0.35">
      <c r="B70" s="107" t="s">
        <v>291</v>
      </c>
      <c r="C70" s="114">
        <v>265857.93</v>
      </c>
      <c r="D70" s="123">
        <v>3507.2399999999907</v>
      </c>
      <c r="E70" s="116">
        <f t="shared" si="1"/>
        <v>269365.17</v>
      </c>
      <c r="G70" s="92"/>
    </row>
    <row r="71" spans="1:9" s="1" customFormat="1" x14ac:dyDescent="0.35">
      <c r="B71" s="111" t="s">
        <v>309</v>
      </c>
      <c r="C71" s="121">
        <f>SUM(C60:C70)</f>
        <v>2298200.04</v>
      </c>
      <c r="D71" s="121">
        <f>SUM(D60:D70)</f>
        <v>82479.375000000015</v>
      </c>
      <c r="E71" s="122">
        <f>SUM(C71:D71)</f>
        <v>2380679.415</v>
      </c>
      <c r="G71" s="5"/>
      <c r="I71" s="269"/>
    </row>
    <row r="72" spans="1:9" x14ac:dyDescent="0.35">
      <c r="B72" s="108"/>
      <c r="C72" s="115"/>
      <c r="D72" s="115"/>
      <c r="E72" s="116">
        <f t="shared" si="1"/>
        <v>0</v>
      </c>
      <c r="G72" s="92"/>
    </row>
    <row r="73" spans="1:9" x14ac:dyDescent="0.35">
      <c r="A73" s="67"/>
      <c r="B73" s="109" t="s">
        <v>292</v>
      </c>
      <c r="C73" s="115"/>
      <c r="D73" s="115"/>
      <c r="E73" s="116">
        <f t="shared" si="1"/>
        <v>0</v>
      </c>
      <c r="G73" s="92"/>
    </row>
    <row r="74" spans="1:9" x14ac:dyDescent="0.35">
      <c r="A74" s="2">
        <v>403</v>
      </c>
      <c r="B74" s="109" t="s">
        <v>310</v>
      </c>
      <c r="C74" s="115">
        <v>73781.679999999993</v>
      </c>
      <c r="D74" s="123">
        <v>534.08000000000175</v>
      </c>
      <c r="E74" s="116">
        <f t="shared" si="1"/>
        <v>74315.759999999995</v>
      </c>
      <c r="G74" s="92"/>
    </row>
    <row r="75" spans="1:9" x14ac:dyDescent="0.35">
      <c r="B75" s="109" t="s">
        <v>311</v>
      </c>
      <c r="C75" s="115">
        <v>118813.19</v>
      </c>
      <c r="D75" s="123">
        <v>7976.8899999999994</v>
      </c>
      <c r="E75" s="116">
        <f t="shared" ref="E75:E97" si="2">SUM(C75:D75)</f>
        <v>126790.08</v>
      </c>
      <c r="G75" s="92"/>
    </row>
    <row r="76" spans="1:9" x14ac:dyDescent="0.35">
      <c r="B76" s="109" t="s">
        <v>312</v>
      </c>
      <c r="C76" s="115">
        <v>1237.2</v>
      </c>
      <c r="D76" s="123">
        <v>38.850000000000136</v>
      </c>
      <c r="E76" s="116">
        <f t="shared" si="2"/>
        <v>1276.0500000000002</v>
      </c>
      <c r="G76" s="92"/>
    </row>
    <row r="77" spans="1:9" x14ac:dyDescent="0.35">
      <c r="B77" s="109" t="s">
        <v>313</v>
      </c>
      <c r="C77" s="123">
        <v>228684.77</v>
      </c>
      <c r="D77" s="123">
        <v>-6751.4900000000198</v>
      </c>
      <c r="E77" s="116">
        <f t="shared" si="2"/>
        <v>221933.27999999997</v>
      </c>
      <c r="G77" s="92"/>
    </row>
    <row r="78" spans="1:9" x14ac:dyDescent="0.35">
      <c r="B78" s="109" t="s">
        <v>314</v>
      </c>
      <c r="C78" s="123">
        <v>8378.59</v>
      </c>
      <c r="D78" s="123">
        <v>-5661.085</v>
      </c>
      <c r="E78" s="116">
        <f t="shared" si="2"/>
        <v>2717.5050000000001</v>
      </c>
      <c r="G78" s="92"/>
    </row>
    <row r="79" spans="1:9" x14ac:dyDescent="0.35">
      <c r="B79" s="109" t="s">
        <v>315</v>
      </c>
      <c r="C79" s="123">
        <v>2847.69</v>
      </c>
      <c r="D79" s="123">
        <v>-204.85500000000002</v>
      </c>
      <c r="E79" s="116">
        <f t="shared" si="2"/>
        <v>2642.835</v>
      </c>
      <c r="G79" s="92"/>
    </row>
    <row r="80" spans="1:9" x14ac:dyDescent="0.35">
      <c r="B80" s="109" t="s">
        <v>316</v>
      </c>
      <c r="C80" s="123">
        <v>32382.48</v>
      </c>
      <c r="D80" s="123">
        <v>359.54999999999927</v>
      </c>
      <c r="E80" s="116">
        <f t="shared" si="2"/>
        <v>32742.03</v>
      </c>
      <c r="G80" s="92"/>
    </row>
    <row r="81" spans="2:13" x14ac:dyDescent="0.35">
      <c r="B81" s="109" t="s">
        <v>317</v>
      </c>
      <c r="C81" s="123">
        <v>4157.67</v>
      </c>
      <c r="D81" s="123">
        <v>-702.51000000000022</v>
      </c>
      <c r="E81" s="116">
        <f t="shared" si="2"/>
        <v>3455.16</v>
      </c>
      <c r="G81" s="92"/>
    </row>
    <row r="82" spans="2:13" x14ac:dyDescent="0.35">
      <c r="B82" s="109" t="s">
        <v>318</v>
      </c>
      <c r="C82" s="123">
        <v>79656.34</v>
      </c>
      <c r="D82" s="123">
        <v>1519.1000000000058</v>
      </c>
      <c r="E82" s="116">
        <f t="shared" si="2"/>
        <v>81175.44</v>
      </c>
      <c r="G82" s="92"/>
    </row>
    <row r="83" spans="2:13" x14ac:dyDescent="0.35">
      <c r="B83" s="109" t="s">
        <v>319</v>
      </c>
      <c r="C83" s="123">
        <v>7959.79</v>
      </c>
      <c r="D83" s="123">
        <v>75.425000000000182</v>
      </c>
      <c r="E83" s="116">
        <f t="shared" si="2"/>
        <v>8035.2150000000001</v>
      </c>
      <c r="G83" s="92"/>
    </row>
    <row r="84" spans="2:13" x14ac:dyDescent="0.35">
      <c r="B84" s="109" t="s">
        <v>320</v>
      </c>
      <c r="C84" s="123">
        <v>313.16000000000003</v>
      </c>
      <c r="D84" s="123">
        <v>43.089999999999975</v>
      </c>
      <c r="E84" s="116">
        <f>SUM(C84:D84)</f>
        <v>356.25</v>
      </c>
      <c r="G84" s="92"/>
    </row>
    <row r="85" spans="2:13" x14ac:dyDescent="0.35">
      <c r="B85" s="112" t="s">
        <v>321</v>
      </c>
      <c r="C85" s="123">
        <v>-121909.81</v>
      </c>
      <c r="D85" s="123">
        <v>41163.804999999993</v>
      </c>
      <c r="E85" s="259">
        <f t="shared" si="2"/>
        <v>-80746.005000000005</v>
      </c>
      <c r="G85" s="92"/>
      <c r="H85" s="241"/>
    </row>
    <row r="86" spans="2:13" s="1" customFormat="1" x14ac:dyDescent="0.35">
      <c r="B86" s="111" t="s">
        <v>332</v>
      </c>
      <c r="C86" s="121">
        <f>SUM(C74:C85)</f>
        <v>436302.75000000006</v>
      </c>
      <c r="D86" s="121">
        <f>SUM(D74:D85)</f>
        <v>38390.849999999977</v>
      </c>
      <c r="E86" s="122">
        <f t="shared" si="2"/>
        <v>474693.60000000003</v>
      </c>
      <c r="G86" s="5"/>
      <c r="I86" s="269"/>
    </row>
    <row r="87" spans="2:13" x14ac:dyDescent="0.35">
      <c r="B87" s="108"/>
      <c r="C87" s="115"/>
      <c r="D87" s="115"/>
      <c r="E87" s="116">
        <f t="shared" si="2"/>
        <v>0</v>
      </c>
      <c r="G87" s="92"/>
    </row>
    <row r="88" spans="2:13" x14ac:dyDescent="0.35">
      <c r="B88" s="112" t="s">
        <v>323</v>
      </c>
      <c r="C88" s="115"/>
      <c r="D88" s="115"/>
      <c r="E88" s="116">
        <f t="shared" si="2"/>
        <v>0</v>
      </c>
      <c r="G88" s="92"/>
    </row>
    <row r="89" spans="2:13" x14ac:dyDescent="0.35">
      <c r="B89" s="107" t="s">
        <v>457</v>
      </c>
      <c r="C89" s="114">
        <v>-1104992.52</v>
      </c>
      <c r="D89" s="123"/>
      <c r="E89" s="116">
        <f>SUM(C89:D89)</f>
        <v>-1104992.52</v>
      </c>
      <c r="G89" s="92"/>
      <c r="H89" s="241"/>
    </row>
    <row r="90" spans="2:13" x14ac:dyDescent="0.35">
      <c r="B90" s="107" t="s">
        <v>293</v>
      </c>
      <c r="C90" s="114">
        <v>-416650.56</v>
      </c>
      <c r="D90" s="123"/>
      <c r="E90" s="116">
        <f t="shared" si="2"/>
        <v>-416650.56</v>
      </c>
      <c r="G90" s="92"/>
    </row>
    <row r="91" spans="2:13" s="1" customFormat="1" x14ac:dyDescent="0.35">
      <c r="B91" s="111" t="s">
        <v>322</v>
      </c>
      <c r="C91" s="121">
        <f>SUM(C89:C90)</f>
        <v>-1521643.08</v>
      </c>
      <c r="D91" s="121">
        <f>SUM(D89:D90)</f>
        <v>0</v>
      </c>
      <c r="E91" s="122">
        <f>SUM(C91:D91)</f>
        <v>-1521643.08</v>
      </c>
      <c r="G91" s="5"/>
      <c r="I91" s="269"/>
    </row>
    <row r="92" spans="2:13" x14ac:dyDescent="0.35">
      <c r="B92" s="108"/>
      <c r="C92" s="115"/>
      <c r="D92" s="115"/>
      <c r="E92" s="116">
        <f t="shared" si="2"/>
        <v>0</v>
      </c>
      <c r="G92" s="92"/>
      <c r="L92" s="115"/>
      <c r="M92" s="87"/>
    </row>
    <row r="93" spans="2:13" x14ac:dyDescent="0.35">
      <c r="B93" s="112" t="s">
        <v>324</v>
      </c>
      <c r="C93" s="115"/>
      <c r="D93" s="115"/>
      <c r="E93" s="116">
        <f t="shared" si="2"/>
        <v>0</v>
      </c>
      <c r="G93" s="92"/>
    </row>
    <row r="94" spans="2:13" x14ac:dyDescent="0.35">
      <c r="B94" s="107" t="s">
        <v>458</v>
      </c>
      <c r="C94" s="114">
        <v>2381677.75</v>
      </c>
      <c r="D94" s="123">
        <v>-552649.18000000017</v>
      </c>
      <c r="E94" s="116">
        <f t="shared" si="2"/>
        <v>1829028.5699999998</v>
      </c>
      <c r="G94" s="92"/>
    </row>
    <row r="95" spans="2:13" x14ac:dyDescent="0.35">
      <c r="B95" s="107" t="s">
        <v>294</v>
      </c>
      <c r="C95" s="114">
        <v>417018.72</v>
      </c>
      <c r="D95" s="123">
        <v>27977.455000000016</v>
      </c>
      <c r="E95" s="116">
        <f t="shared" si="2"/>
        <v>444996.17499999999</v>
      </c>
      <c r="G95" s="92"/>
    </row>
    <row r="96" spans="2:13" s="1" customFormat="1" x14ac:dyDescent="0.35">
      <c r="B96" s="111" t="s">
        <v>325</v>
      </c>
      <c r="C96" s="121">
        <f>SUM(C93:C95)</f>
        <v>2798696.4699999997</v>
      </c>
      <c r="D96" s="121">
        <f>SUM(D93:D95)</f>
        <v>-524671.72500000009</v>
      </c>
      <c r="E96" s="122">
        <f t="shared" si="2"/>
        <v>2274024.7449999996</v>
      </c>
      <c r="G96" s="5"/>
      <c r="I96" s="269"/>
    </row>
    <row r="97" spans="1:9" x14ac:dyDescent="0.35">
      <c r="B97" s="108"/>
      <c r="C97" s="115"/>
      <c r="D97" s="115"/>
      <c r="E97" s="116">
        <f t="shared" si="2"/>
        <v>0</v>
      </c>
      <c r="G97" s="92"/>
    </row>
    <row r="98" spans="1:9" s="1" customFormat="1" ht="16" thickBot="1" x14ac:dyDescent="0.4">
      <c r="B98" s="124" t="s">
        <v>326</v>
      </c>
      <c r="C98" s="125">
        <f>+C96+C91+C86+C71+C57+C46</f>
        <v>5557687.4299999997</v>
      </c>
      <c r="D98" s="125">
        <f>+D96+D91+D86+D71+D57+D46</f>
        <v>-373735.18000000023</v>
      </c>
      <c r="E98" s="126">
        <f>SUM(C98:D98)</f>
        <v>5183952.2499999991</v>
      </c>
      <c r="G98" s="5"/>
      <c r="I98" s="269"/>
    </row>
    <row r="99" spans="1:9" s="1" customFormat="1" ht="16" thickTop="1" x14ac:dyDescent="0.35">
      <c r="B99" s="348"/>
      <c r="C99" s="349"/>
      <c r="D99" s="349"/>
      <c r="E99" s="350"/>
      <c r="G99" s="5"/>
      <c r="I99" s="269"/>
    </row>
    <row r="100" spans="1:9" x14ac:dyDescent="0.35">
      <c r="A100" s="87" t="s">
        <v>87</v>
      </c>
      <c r="B100" s="87" t="s">
        <v>461</v>
      </c>
      <c r="C100" s="115"/>
      <c r="D100" s="115"/>
      <c r="E100" s="115"/>
      <c r="G100" s="92"/>
    </row>
    <row r="101" spans="1:9" x14ac:dyDescent="0.35">
      <c r="B101" s="108"/>
      <c r="C101" s="127"/>
      <c r="D101" s="127"/>
      <c r="E101" s="127"/>
      <c r="F101" s="108"/>
      <c r="G101" s="92"/>
    </row>
    <row r="102" spans="1:9" x14ac:dyDescent="0.35">
      <c r="B102" s="108"/>
      <c r="C102" s="127"/>
      <c r="D102" s="127"/>
      <c r="E102" s="127"/>
      <c r="F102" s="108"/>
      <c r="G102" s="92"/>
    </row>
    <row r="103" spans="1:9" x14ac:dyDescent="0.35">
      <c r="A103" s="1">
        <v>405</v>
      </c>
      <c r="B103" s="351" t="s">
        <v>546</v>
      </c>
      <c r="C103" s="127"/>
      <c r="D103" s="127"/>
      <c r="E103" s="127"/>
      <c r="F103" s="108"/>
      <c r="G103" s="92"/>
    </row>
    <row r="104" spans="1:9" x14ac:dyDescent="0.35">
      <c r="B104" s="107" t="s">
        <v>295</v>
      </c>
      <c r="C104" s="115">
        <v>280926.90999999997</v>
      </c>
      <c r="D104" s="123">
        <v>-22206.069999999978</v>
      </c>
      <c r="E104" s="116">
        <f t="shared" ref="E104:E117" si="3">SUM(C104:D104)</f>
        <v>258720.84</v>
      </c>
      <c r="G104" s="92"/>
    </row>
    <row r="105" spans="1:9" x14ac:dyDescent="0.35">
      <c r="B105" s="109" t="s">
        <v>422</v>
      </c>
      <c r="C105" s="115"/>
      <c r="D105" s="123"/>
      <c r="E105" s="116">
        <f t="shared" si="3"/>
        <v>0</v>
      </c>
      <c r="G105" s="92"/>
      <c r="H105" s="87"/>
    </row>
    <row r="106" spans="1:9" x14ac:dyDescent="0.35">
      <c r="B106" s="107" t="s">
        <v>296</v>
      </c>
      <c r="C106" s="115">
        <v>494.52</v>
      </c>
      <c r="D106" s="123"/>
      <c r="E106" s="116">
        <f t="shared" si="3"/>
        <v>494.52</v>
      </c>
      <c r="G106" s="92"/>
    </row>
    <row r="107" spans="1:9" s="1" customFormat="1" x14ac:dyDescent="0.35">
      <c r="B107" s="111" t="s">
        <v>333</v>
      </c>
      <c r="C107" s="121">
        <f>SUM(C103:C106)</f>
        <v>281421.43</v>
      </c>
      <c r="D107" s="121">
        <f>SUM(D102:D106)</f>
        <v>-22206.069999999978</v>
      </c>
      <c r="E107" s="122">
        <f t="shared" si="3"/>
        <v>259215.36000000002</v>
      </c>
      <c r="G107" s="5"/>
      <c r="I107" s="269"/>
    </row>
    <row r="108" spans="1:9" s="1" customFormat="1" x14ac:dyDescent="0.35">
      <c r="B108" s="348"/>
      <c r="C108" s="349"/>
      <c r="D108" s="349"/>
      <c r="E108" s="350"/>
      <c r="G108" s="5"/>
      <c r="I108" s="269"/>
    </row>
    <row r="109" spans="1:9" x14ac:dyDescent="0.35">
      <c r="A109" s="87" t="s">
        <v>87</v>
      </c>
      <c r="B109" s="87" t="s">
        <v>461</v>
      </c>
      <c r="C109" s="115"/>
      <c r="D109" s="115"/>
      <c r="E109" s="115"/>
      <c r="G109" s="92"/>
    </row>
    <row r="110" spans="1:9" x14ac:dyDescent="0.35">
      <c r="A110" s="87"/>
      <c r="B110" s="87"/>
      <c r="C110" s="115"/>
      <c r="D110" s="115"/>
      <c r="E110" s="115"/>
      <c r="G110" s="92"/>
    </row>
    <row r="111" spans="1:9" x14ac:dyDescent="0.35">
      <c r="B111" s="108"/>
      <c r="C111" s="115"/>
      <c r="D111" s="115"/>
      <c r="E111" s="115"/>
      <c r="G111" s="87"/>
    </row>
    <row r="112" spans="1:9" x14ac:dyDescent="0.35">
      <c r="A112" s="1">
        <v>407</v>
      </c>
      <c r="B112" s="351" t="s">
        <v>547</v>
      </c>
      <c r="C112" s="115"/>
      <c r="D112" s="115"/>
      <c r="E112" s="115"/>
      <c r="G112" s="87"/>
    </row>
    <row r="113" spans="1:9" x14ac:dyDescent="0.35">
      <c r="A113" s="253">
        <v>407.3</v>
      </c>
      <c r="B113" s="88" t="s">
        <v>542</v>
      </c>
      <c r="D113" s="96">
        <v>164344</v>
      </c>
      <c r="E113" s="18">
        <f>C113+D113</f>
        <v>164344</v>
      </c>
      <c r="G113" s="6">
        <v>1</v>
      </c>
    </row>
    <row r="114" spans="1:9" x14ac:dyDescent="0.35">
      <c r="A114" s="2">
        <v>407.11</v>
      </c>
      <c r="B114" s="107" t="s">
        <v>297</v>
      </c>
      <c r="C114" s="115">
        <v>509409.64</v>
      </c>
      <c r="D114" s="176">
        <v>12500</v>
      </c>
      <c r="E114" s="116">
        <f t="shared" si="3"/>
        <v>521909.64</v>
      </c>
      <c r="G114" s="92">
        <v>2</v>
      </c>
      <c r="H114" s="241"/>
      <c r="I114" s="183"/>
    </row>
    <row r="115" spans="1:9" x14ac:dyDescent="0.35">
      <c r="A115" s="87">
        <v>407.31</v>
      </c>
      <c r="B115" s="107" t="s">
        <v>424</v>
      </c>
      <c r="C115" s="115">
        <v>49038.6</v>
      </c>
      <c r="D115" s="123"/>
      <c r="E115" s="116">
        <f t="shared" si="3"/>
        <v>49038.6</v>
      </c>
      <c r="G115" s="92">
        <v>2</v>
      </c>
      <c r="H115" s="87"/>
      <c r="I115" s="218"/>
    </row>
    <row r="116" spans="1:9" s="1" customFormat="1" x14ac:dyDescent="0.35">
      <c r="B116" s="111" t="s">
        <v>334</v>
      </c>
      <c r="C116" s="121">
        <f>SUM(C111:C115)</f>
        <v>558448.24</v>
      </c>
      <c r="D116" s="121">
        <f>SUM(D111:D115)</f>
        <v>176844</v>
      </c>
      <c r="E116" s="121">
        <f>SUM(E111:E115)</f>
        <v>735292.24</v>
      </c>
      <c r="G116" s="5"/>
      <c r="I116" s="269"/>
    </row>
    <row r="117" spans="1:9" x14ac:dyDescent="0.35">
      <c r="B117" s="108"/>
      <c r="C117" s="115"/>
      <c r="D117" s="115"/>
      <c r="E117" s="116">
        <f t="shared" si="3"/>
        <v>0</v>
      </c>
      <c r="G117" s="92"/>
    </row>
    <row r="118" spans="1:9" s="1" customFormat="1" ht="16" thickBot="1" x14ac:dyDescent="0.4">
      <c r="B118" s="124" t="s">
        <v>335</v>
      </c>
      <c r="C118" s="125">
        <f>+C116+C107</f>
        <v>839869.66999999993</v>
      </c>
      <c r="D118" s="125">
        <f>+D116+D107</f>
        <v>154637.93000000002</v>
      </c>
      <c r="E118" s="125">
        <f>+E116+E107</f>
        <v>994507.6</v>
      </c>
      <c r="G118" s="92"/>
      <c r="I118" s="269"/>
    </row>
    <row r="119" spans="1:9" ht="16" thickTop="1" x14ac:dyDescent="0.35">
      <c r="C119" s="115"/>
      <c r="D119" s="115"/>
      <c r="E119" s="115"/>
      <c r="G119" s="92"/>
    </row>
    <row r="120" spans="1:9" x14ac:dyDescent="0.35">
      <c r="A120" s="2">
        <v>411</v>
      </c>
      <c r="B120" s="87" t="s">
        <v>374</v>
      </c>
      <c r="C120" s="115">
        <v>129309.86</v>
      </c>
      <c r="D120" s="115"/>
      <c r="E120" s="116">
        <f>SUM(C120:D120)</f>
        <v>129309.86</v>
      </c>
      <c r="G120" s="92"/>
      <c r="H120" s="87"/>
    </row>
    <row r="121" spans="1:9" x14ac:dyDescent="0.35">
      <c r="C121" s="115"/>
      <c r="D121" s="115"/>
      <c r="E121" s="115"/>
      <c r="G121" s="92"/>
    </row>
    <row r="122" spans="1:9" s="1" customFormat="1" ht="16" thickBot="1" x14ac:dyDescent="0.4">
      <c r="B122" s="15" t="s">
        <v>373</v>
      </c>
      <c r="C122" s="125">
        <f>+C118+C98+C120</f>
        <v>6526866.96</v>
      </c>
      <c r="D122" s="125">
        <f>+D118+D98+D120</f>
        <v>-219097.2500000002</v>
      </c>
      <c r="E122" s="125">
        <f>+E118+E98+E120</f>
        <v>6307769.709999999</v>
      </c>
      <c r="G122" s="5"/>
      <c r="I122" s="269"/>
    </row>
    <row r="123" spans="1:9" ht="16" thickTop="1" x14ac:dyDescent="0.35">
      <c r="C123" s="115"/>
      <c r="D123" s="115"/>
      <c r="E123" s="115"/>
      <c r="G123" s="92"/>
    </row>
    <row r="124" spans="1:9" x14ac:dyDescent="0.35">
      <c r="A124" s="87" t="s">
        <v>87</v>
      </c>
      <c r="C124" s="115"/>
      <c r="D124" s="115"/>
      <c r="E124" s="115"/>
      <c r="G124" s="92"/>
    </row>
    <row r="125" spans="1:9" ht="33" customHeight="1" x14ac:dyDescent="0.35">
      <c r="A125" s="2">
        <v>1</v>
      </c>
      <c r="B125" s="371" t="s">
        <v>543</v>
      </c>
      <c r="C125" s="371"/>
      <c r="D125" s="371"/>
      <c r="E125" s="371"/>
      <c r="G125" s="92"/>
    </row>
    <row r="126" spans="1:9" x14ac:dyDescent="0.35">
      <c r="A126" s="2">
        <v>2</v>
      </c>
      <c r="B126" s="87" t="s">
        <v>544</v>
      </c>
      <c r="C126" s="115"/>
      <c r="D126" s="115"/>
      <c r="E126" s="115"/>
      <c r="G126" s="92"/>
    </row>
    <row r="127" spans="1:9" x14ac:dyDescent="0.35">
      <c r="B127" s="87"/>
      <c r="C127" s="115"/>
      <c r="D127" s="115"/>
      <c r="E127" s="115"/>
      <c r="G127" s="92"/>
    </row>
    <row r="128" spans="1:9" x14ac:dyDescent="0.35">
      <c r="B128" s="87"/>
      <c r="C128" s="115"/>
      <c r="D128" s="115"/>
      <c r="E128" s="115"/>
      <c r="G128" s="92"/>
    </row>
    <row r="129" spans="2:7" x14ac:dyDescent="0.35">
      <c r="B129" s="87"/>
      <c r="C129" s="115"/>
      <c r="D129" s="115"/>
      <c r="E129" s="115"/>
      <c r="G129" s="92"/>
    </row>
    <row r="130" spans="2:7" x14ac:dyDescent="0.35">
      <c r="B130" s="87"/>
      <c r="C130" s="115"/>
      <c r="D130" s="115"/>
      <c r="E130" s="115"/>
      <c r="G130" s="92"/>
    </row>
    <row r="131" spans="2:7" ht="39" customHeight="1" x14ac:dyDescent="0.35">
      <c r="B131" s="361"/>
      <c r="C131" s="361"/>
      <c r="D131" s="361"/>
      <c r="E131" s="361"/>
      <c r="F131" s="361"/>
      <c r="G131" s="361"/>
    </row>
    <row r="132" spans="2:7" x14ac:dyDescent="0.35">
      <c r="C132" s="115"/>
      <c r="D132" s="115"/>
      <c r="E132" s="115"/>
      <c r="G132" s="92"/>
    </row>
    <row r="133" spans="2:7" x14ac:dyDescent="0.35">
      <c r="C133" s="115"/>
      <c r="D133" s="115"/>
      <c r="E133" s="115"/>
      <c r="G133" s="92"/>
    </row>
    <row r="134" spans="2:7" x14ac:dyDescent="0.35">
      <c r="C134" s="115"/>
      <c r="D134" s="115"/>
      <c r="E134" s="115"/>
      <c r="G134" s="92"/>
    </row>
    <row r="135" spans="2:7" x14ac:dyDescent="0.35">
      <c r="C135" s="115"/>
      <c r="D135" s="115"/>
      <c r="E135" s="115"/>
      <c r="G135" s="92"/>
    </row>
    <row r="136" spans="2:7" x14ac:dyDescent="0.35">
      <c r="C136" s="115"/>
      <c r="D136" s="115"/>
      <c r="E136" s="115"/>
      <c r="G136" s="92"/>
    </row>
    <row r="137" spans="2:7" x14ac:dyDescent="0.35">
      <c r="C137" s="115"/>
      <c r="D137" s="115"/>
      <c r="E137" s="115"/>
      <c r="G137" s="92"/>
    </row>
    <row r="138" spans="2:7" x14ac:dyDescent="0.35">
      <c r="C138" s="115"/>
      <c r="D138" s="115"/>
      <c r="E138" s="115"/>
      <c r="G138" s="92"/>
    </row>
    <row r="139" spans="2:7" x14ac:dyDescent="0.35">
      <c r="C139" s="115"/>
      <c r="D139" s="115"/>
      <c r="E139" s="115"/>
      <c r="G139" s="92"/>
    </row>
    <row r="140" spans="2:7" x14ac:dyDescent="0.35">
      <c r="C140" s="115"/>
      <c r="D140" s="115"/>
      <c r="E140" s="115"/>
      <c r="G140" s="92"/>
    </row>
    <row r="141" spans="2:7" x14ac:dyDescent="0.35">
      <c r="C141" s="115"/>
      <c r="D141" s="115"/>
      <c r="E141" s="115"/>
      <c r="G141" s="92"/>
    </row>
    <row r="142" spans="2:7" x14ac:dyDescent="0.35">
      <c r="C142" s="115"/>
      <c r="D142" s="115"/>
      <c r="E142" s="115"/>
      <c r="G142" s="92"/>
    </row>
    <row r="143" spans="2:7" x14ac:dyDescent="0.35">
      <c r="C143" s="115"/>
      <c r="D143" s="115"/>
      <c r="E143" s="115"/>
      <c r="G143" s="92"/>
    </row>
    <row r="144" spans="2:7" x14ac:dyDescent="0.35">
      <c r="C144" s="115"/>
      <c r="D144" s="115"/>
      <c r="E144" s="115"/>
      <c r="G144" s="92"/>
    </row>
    <row r="145" spans="3:7" x14ac:dyDescent="0.35">
      <c r="C145" s="115"/>
      <c r="D145" s="115"/>
      <c r="E145" s="115"/>
      <c r="G145" s="92"/>
    </row>
    <row r="146" spans="3:7" x14ac:dyDescent="0.35">
      <c r="C146" s="115"/>
      <c r="D146" s="115"/>
      <c r="E146" s="115"/>
      <c r="G146" s="92"/>
    </row>
    <row r="147" spans="3:7" x14ac:dyDescent="0.35">
      <c r="C147" s="115"/>
      <c r="D147" s="115"/>
      <c r="E147" s="115"/>
      <c r="G147" s="92"/>
    </row>
    <row r="148" spans="3:7" x14ac:dyDescent="0.35">
      <c r="C148" s="115"/>
      <c r="D148" s="115"/>
      <c r="E148" s="115"/>
      <c r="G148" s="92"/>
    </row>
    <row r="149" spans="3:7" x14ac:dyDescent="0.35">
      <c r="C149" s="115"/>
      <c r="D149" s="115"/>
      <c r="E149" s="115"/>
      <c r="G149" s="92"/>
    </row>
    <row r="150" spans="3:7" x14ac:dyDescent="0.35">
      <c r="C150" s="115"/>
      <c r="D150" s="115"/>
      <c r="E150" s="115"/>
      <c r="G150" s="92"/>
    </row>
    <row r="151" spans="3:7" x14ac:dyDescent="0.35">
      <c r="C151" s="115"/>
      <c r="D151" s="115"/>
      <c r="E151" s="115"/>
      <c r="G151" s="92"/>
    </row>
    <row r="152" spans="3:7" x14ac:dyDescent="0.35">
      <c r="C152" s="115"/>
      <c r="D152" s="115"/>
      <c r="E152" s="115"/>
      <c r="G152" s="92"/>
    </row>
    <row r="153" spans="3:7" x14ac:dyDescent="0.35">
      <c r="C153" s="115"/>
      <c r="D153" s="115"/>
      <c r="E153" s="115"/>
      <c r="G153" s="92"/>
    </row>
    <row r="154" spans="3:7" x14ac:dyDescent="0.35">
      <c r="C154" s="115"/>
      <c r="D154" s="115"/>
      <c r="E154" s="115"/>
      <c r="G154" s="92"/>
    </row>
    <row r="155" spans="3:7" x14ac:dyDescent="0.35">
      <c r="C155" s="115"/>
      <c r="D155" s="115"/>
      <c r="E155" s="115"/>
      <c r="G155" s="92"/>
    </row>
    <row r="156" spans="3:7" x14ac:dyDescent="0.35">
      <c r="C156" s="115"/>
      <c r="D156" s="115"/>
      <c r="E156" s="115"/>
      <c r="G156" s="92"/>
    </row>
    <row r="157" spans="3:7" x14ac:dyDescent="0.35">
      <c r="C157" s="115"/>
      <c r="D157" s="115"/>
      <c r="E157" s="115"/>
      <c r="G157" s="92"/>
    </row>
    <row r="158" spans="3:7" x14ac:dyDescent="0.35">
      <c r="C158" s="115"/>
      <c r="D158" s="115"/>
      <c r="E158" s="115"/>
      <c r="G158" s="92"/>
    </row>
    <row r="159" spans="3:7" x14ac:dyDescent="0.35">
      <c r="C159" s="115"/>
      <c r="D159" s="115"/>
      <c r="E159" s="115"/>
      <c r="G159" s="92"/>
    </row>
    <row r="160" spans="3:7" x14ac:dyDescent="0.35">
      <c r="C160" s="115"/>
      <c r="D160" s="115"/>
      <c r="E160" s="115"/>
      <c r="G160" s="92"/>
    </row>
    <row r="161" spans="3:5" x14ac:dyDescent="0.35">
      <c r="C161" s="115"/>
      <c r="D161" s="115"/>
      <c r="E161" s="115"/>
    </row>
    <row r="162" spans="3:5" x14ac:dyDescent="0.35">
      <c r="C162" s="115"/>
      <c r="D162" s="115"/>
      <c r="E162" s="115"/>
    </row>
    <row r="163" spans="3:5" x14ac:dyDescent="0.35">
      <c r="C163" s="115"/>
      <c r="D163" s="115"/>
      <c r="E163" s="115"/>
    </row>
    <row r="164" spans="3:5" x14ac:dyDescent="0.35">
      <c r="C164" s="115"/>
      <c r="D164" s="115"/>
      <c r="E164" s="115"/>
    </row>
    <row r="165" spans="3:5" x14ac:dyDescent="0.35">
      <c r="C165" s="115"/>
      <c r="D165" s="115"/>
      <c r="E165" s="115"/>
    </row>
    <row r="166" spans="3:5" x14ac:dyDescent="0.35">
      <c r="C166" s="115"/>
      <c r="D166" s="115"/>
      <c r="E166" s="115"/>
    </row>
    <row r="167" spans="3:5" x14ac:dyDescent="0.35">
      <c r="C167" s="115"/>
      <c r="D167" s="115"/>
      <c r="E167" s="115"/>
    </row>
    <row r="168" spans="3:5" x14ac:dyDescent="0.35">
      <c r="C168" s="115"/>
      <c r="D168" s="115"/>
      <c r="E168" s="115"/>
    </row>
    <row r="169" spans="3:5" x14ac:dyDescent="0.35">
      <c r="C169" s="115"/>
      <c r="D169" s="115"/>
      <c r="E169" s="115"/>
    </row>
    <row r="170" spans="3:5" x14ac:dyDescent="0.35">
      <c r="C170" s="115"/>
      <c r="D170" s="115"/>
      <c r="E170" s="115"/>
    </row>
    <row r="171" spans="3:5" x14ac:dyDescent="0.35">
      <c r="C171" s="115"/>
      <c r="D171" s="115"/>
      <c r="E171" s="115"/>
    </row>
    <row r="172" spans="3:5" x14ac:dyDescent="0.35">
      <c r="C172" s="115"/>
      <c r="D172" s="115"/>
      <c r="E172" s="115"/>
    </row>
    <row r="173" spans="3:5" x14ac:dyDescent="0.35">
      <c r="C173" s="115"/>
      <c r="D173" s="115"/>
      <c r="E173" s="115"/>
    </row>
  </sheetData>
  <mergeCells count="2">
    <mergeCell ref="B131:G131"/>
    <mergeCell ref="B125:E125"/>
  </mergeCells>
  <printOptions horizontalCentered="1"/>
  <pageMargins left="0.5" right="0" top="1" bottom="1" header="0.5" footer="0.5"/>
  <pageSetup scale="8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P35"/>
  <sheetViews>
    <sheetView topLeftCell="A26" zoomScale="130" zoomScaleNormal="130" workbookViewId="0">
      <selection activeCell="I36" sqref="I36"/>
    </sheetView>
  </sheetViews>
  <sheetFormatPr defaultColWidth="8.921875" defaultRowHeight="15.5" x14ac:dyDescent="0.35"/>
  <cols>
    <col min="1" max="1" width="5.921875" style="2" customWidth="1"/>
    <col min="2" max="2" width="45.921875" style="2" customWidth="1"/>
    <col min="3" max="5" width="13.921875" style="2" customWidth="1"/>
    <col min="6" max="6" width="2.921875" style="2" customWidth="1"/>
    <col min="7" max="7" width="4.921875" style="2" bestFit="1" customWidth="1"/>
    <col min="8" max="8" width="4.921875" style="9" customWidth="1"/>
    <col min="9" max="11" width="12.921875" style="2" customWidth="1"/>
    <col min="12" max="12" width="27.07421875" style="2" customWidth="1"/>
    <col min="13" max="13" width="12.921875" style="2" customWidth="1"/>
    <col min="14" max="15" width="11.53515625" style="2" bestFit="1" customWidth="1"/>
    <col min="16" max="16" width="12.07421875" style="2" bestFit="1" customWidth="1"/>
    <col min="17" max="16384" width="8.921875" style="2"/>
  </cols>
  <sheetData>
    <row r="1" spans="1:16" x14ac:dyDescent="0.35">
      <c r="A1" s="10" t="s">
        <v>104</v>
      </c>
      <c r="G1" s="8"/>
      <c r="H1" s="22" t="s">
        <v>157</v>
      </c>
    </row>
    <row r="2" spans="1:16" x14ac:dyDescent="0.35">
      <c r="A2" s="1" t="s">
        <v>117</v>
      </c>
    </row>
    <row r="3" spans="1:16" x14ac:dyDescent="0.35">
      <c r="A3" s="86" t="str">
        <f>+'COS Summary'!A2</f>
        <v>For the Test Year Ended June 30, 2024</v>
      </c>
    </row>
    <row r="5" spans="1:16" x14ac:dyDescent="0.35">
      <c r="L5" s="46"/>
      <c r="M5" s="46"/>
      <c r="N5" s="46"/>
      <c r="O5" s="46"/>
      <c r="P5" s="46"/>
    </row>
    <row r="6" spans="1:16" ht="18" x14ac:dyDescent="0.4">
      <c r="A6" s="12" t="s">
        <v>378</v>
      </c>
      <c r="B6" s="46"/>
      <c r="C6" s="46"/>
      <c r="D6" s="36"/>
      <c r="E6" s="36"/>
      <c r="F6" s="46"/>
      <c r="G6" s="46"/>
      <c r="L6" s="46"/>
      <c r="M6" s="46"/>
      <c r="N6" s="46"/>
      <c r="O6" s="46"/>
      <c r="P6" s="46"/>
    </row>
    <row r="7" spans="1:16" x14ac:dyDescent="0.35">
      <c r="C7" s="6"/>
      <c r="D7" s="6"/>
      <c r="E7" s="6"/>
      <c r="F7" s="6"/>
      <c r="G7" s="6"/>
      <c r="L7" s="46"/>
      <c r="M7" s="46"/>
      <c r="N7" s="46"/>
      <c r="O7" s="46"/>
      <c r="P7" s="46"/>
    </row>
    <row r="8" spans="1:16" x14ac:dyDescent="0.35">
      <c r="C8" s="6" t="s">
        <v>121</v>
      </c>
      <c r="D8" s="6" t="s">
        <v>4</v>
      </c>
      <c r="E8" s="6" t="s">
        <v>122</v>
      </c>
      <c r="F8" s="6"/>
      <c r="G8" s="6"/>
    </row>
    <row r="9" spans="1:16" ht="16" thickBot="1" x14ac:dyDescent="0.4">
      <c r="A9" s="11" t="s">
        <v>17</v>
      </c>
      <c r="B9" s="11" t="s">
        <v>1</v>
      </c>
      <c r="C9" s="4" t="str">
        <f>+'COS Summary'!D6</f>
        <v>7/1/23-6/30/24</v>
      </c>
      <c r="D9" s="11" t="s">
        <v>124</v>
      </c>
      <c r="E9" s="4" t="str">
        <f>+'COS Summary'!F6</f>
        <v>8/1/25-7/31/26</v>
      </c>
      <c r="F9" s="4"/>
      <c r="G9" s="134" t="s">
        <v>84</v>
      </c>
      <c r="P9" s="6"/>
    </row>
    <row r="10" spans="1:16" x14ac:dyDescent="0.35">
      <c r="C10" s="48"/>
      <c r="D10" s="48"/>
      <c r="E10" s="48"/>
      <c r="G10" s="9"/>
      <c r="N10" s="49"/>
      <c r="O10" s="49"/>
      <c r="P10" s="6"/>
    </row>
    <row r="11" spans="1:16" x14ac:dyDescent="0.35">
      <c r="B11" s="8" t="s">
        <v>114</v>
      </c>
      <c r="C11" s="18">
        <v>1456459.84</v>
      </c>
      <c r="D11" s="142">
        <v>243541</v>
      </c>
      <c r="E11" s="18">
        <f>SUM(C11:D11)</f>
        <v>1700000.84</v>
      </c>
      <c r="G11" s="9">
        <v>1</v>
      </c>
      <c r="I11" s="106"/>
      <c r="J11" s="87"/>
      <c r="M11" s="58"/>
      <c r="N11" s="58"/>
      <c r="O11" s="58"/>
    </row>
    <row r="12" spans="1:16" x14ac:dyDescent="0.35">
      <c r="B12" s="35" t="s">
        <v>115</v>
      </c>
      <c r="C12" s="18">
        <v>825401.44</v>
      </c>
      <c r="D12" s="142">
        <v>130844</v>
      </c>
      <c r="E12" s="18">
        <f>SUM(C12:D12)</f>
        <v>956245.44</v>
      </c>
      <c r="G12" s="9">
        <v>1</v>
      </c>
      <c r="I12" s="106"/>
      <c r="J12" s="87"/>
      <c r="M12" s="58"/>
      <c r="N12" s="58"/>
      <c r="O12" s="58"/>
    </row>
    <row r="13" spans="1:16" x14ac:dyDescent="0.35">
      <c r="B13" s="2" t="s">
        <v>193</v>
      </c>
      <c r="C13" s="59">
        <f>SUM(C11:C12)</f>
        <v>2281861.2800000003</v>
      </c>
      <c r="D13" s="59">
        <f>SUM(D11:D12)</f>
        <v>374385</v>
      </c>
      <c r="E13" s="59">
        <f>SUM(C13:D13)</f>
        <v>2656246.2800000003</v>
      </c>
      <c r="G13" s="9"/>
      <c r="L13" s="8"/>
      <c r="M13" s="58"/>
      <c r="N13" s="58"/>
      <c r="O13" s="58"/>
      <c r="P13" s="58"/>
    </row>
    <row r="14" spans="1:16" x14ac:dyDescent="0.35">
      <c r="C14" s="18"/>
      <c r="D14" s="18"/>
      <c r="E14" s="18"/>
      <c r="G14" s="9"/>
      <c r="L14" s="8"/>
      <c r="M14" s="58"/>
      <c r="N14" s="58"/>
      <c r="O14" s="58"/>
    </row>
    <row r="15" spans="1:16" x14ac:dyDescent="0.35">
      <c r="B15" s="8" t="s">
        <v>116</v>
      </c>
      <c r="C15" s="18">
        <v>-15920.16</v>
      </c>
      <c r="D15" s="18"/>
      <c r="E15" s="18">
        <f>SUM(C15:D15)</f>
        <v>-15920.16</v>
      </c>
      <c r="G15" s="9"/>
      <c r="L15" s="8"/>
      <c r="M15" s="58"/>
      <c r="N15" s="58"/>
      <c r="O15" s="58"/>
      <c r="P15" s="58"/>
    </row>
    <row r="16" spans="1:16" x14ac:dyDescent="0.35">
      <c r="B16" s="60"/>
      <c r="C16" s="18"/>
      <c r="D16" s="18"/>
      <c r="E16" s="18"/>
      <c r="G16" s="9"/>
      <c r="L16" s="8"/>
      <c r="M16" s="58"/>
      <c r="N16" s="58"/>
      <c r="O16" s="58"/>
    </row>
    <row r="17" spans="1:16" x14ac:dyDescent="0.35">
      <c r="B17" s="60" t="s">
        <v>194</v>
      </c>
      <c r="C17" s="50">
        <f>C15+C13</f>
        <v>2265941.12</v>
      </c>
      <c r="D17" s="50">
        <f>D15+D13</f>
        <v>374385</v>
      </c>
      <c r="E17" s="50">
        <f>SUM(C17:D17)</f>
        <v>2640326.12</v>
      </c>
      <c r="G17" s="9"/>
      <c r="L17" s="7"/>
      <c r="M17" s="58"/>
      <c r="N17" s="58"/>
      <c r="O17" s="58"/>
      <c r="P17" s="58"/>
    </row>
    <row r="18" spans="1:16" x14ac:dyDescent="0.35">
      <c r="C18" s="18"/>
      <c r="D18" s="18"/>
      <c r="E18" s="18"/>
      <c r="G18" s="9"/>
      <c r="J18" s="87"/>
      <c r="K18" s="87"/>
    </row>
    <row r="19" spans="1:16" x14ac:dyDescent="0.35">
      <c r="B19" s="8" t="s">
        <v>65</v>
      </c>
      <c r="C19" s="18">
        <v>336212.42</v>
      </c>
      <c r="D19" s="142">
        <f>'Sch 15-Revenue'!$D$17*0.00525+('Sch 15-Revenue'!E17*1.045-'Sch 15-Revenue'!E17)*0.00525+('Sch13-Other Inc (Exp)'!D20+'Sch13-Other Inc (Exp)'!D35)*0.00525</f>
        <v>38872.933654188892</v>
      </c>
      <c r="E19" s="18">
        <f>SUM(C19:D19)</f>
        <v>375085.35365418886</v>
      </c>
      <c r="G19" s="133">
        <v>2</v>
      </c>
      <c r="I19" s="228"/>
      <c r="J19" s="331"/>
      <c r="K19" s="331"/>
      <c r="L19" s="63"/>
    </row>
    <row r="20" spans="1:16" x14ac:dyDescent="0.35">
      <c r="B20" s="35" t="s">
        <v>66</v>
      </c>
      <c r="C20" s="18">
        <v>272004.28999999998</v>
      </c>
      <c r="D20" s="142">
        <f>'Sch 15-Revenue'!$D$17*0.005+('Sch 15-Revenue'!E17*1.045-'Sch 15-Revenue'!E17)*0.005</f>
        <v>30403.053904249966</v>
      </c>
      <c r="E20" s="18">
        <f>SUM(C20:D20)</f>
        <v>302407.34390424995</v>
      </c>
      <c r="G20" s="133">
        <v>3</v>
      </c>
      <c r="I20" s="345"/>
      <c r="J20" s="331"/>
      <c r="K20" s="331"/>
      <c r="L20" s="63"/>
    </row>
    <row r="21" spans="1:16" x14ac:dyDescent="0.35">
      <c r="B21" s="60" t="s">
        <v>195</v>
      </c>
      <c r="C21" s="50">
        <f>SUM(C19:C20)</f>
        <v>608216.71</v>
      </c>
      <c r="D21" s="50">
        <f>SUM(D19:D20)</f>
        <v>69275.98755843885</v>
      </c>
      <c r="E21" s="50">
        <f>SUM(C21:D21)</f>
        <v>677492.69755843887</v>
      </c>
      <c r="G21" s="9"/>
    </row>
    <row r="22" spans="1:16" x14ac:dyDescent="0.35">
      <c r="C22" s="18"/>
      <c r="D22" s="18"/>
      <c r="E22" s="18"/>
      <c r="G22" s="9"/>
    </row>
    <row r="23" spans="1:16" x14ac:dyDescent="0.35">
      <c r="B23" s="8" t="s">
        <v>67</v>
      </c>
      <c r="C23" s="18">
        <v>628752.47</v>
      </c>
      <c r="D23" s="18"/>
      <c r="E23" s="18">
        <f>SUM(C23:D23)</f>
        <v>628752.47</v>
      </c>
      <c r="G23" s="88"/>
      <c r="I23" s="95"/>
    </row>
    <row r="24" spans="1:16" x14ac:dyDescent="0.35">
      <c r="B24" s="8" t="s">
        <v>68</v>
      </c>
      <c r="C24" s="18">
        <v>157499.38</v>
      </c>
      <c r="D24" s="18"/>
      <c r="E24" s="18">
        <f>SUM(C24:D24)</f>
        <v>157499.38</v>
      </c>
      <c r="G24" s="88"/>
      <c r="I24" s="87"/>
    </row>
    <row r="25" spans="1:16" x14ac:dyDescent="0.35">
      <c r="B25" s="35" t="s">
        <v>69</v>
      </c>
      <c r="C25" s="18">
        <v>-772060.56</v>
      </c>
      <c r="D25" s="18"/>
      <c r="E25" s="18">
        <f>SUM(C25:D25)</f>
        <v>-772060.56</v>
      </c>
      <c r="G25" s="88"/>
      <c r="I25" s="87"/>
    </row>
    <row r="26" spans="1:16" x14ac:dyDescent="0.35">
      <c r="B26" s="60" t="s">
        <v>196</v>
      </c>
      <c r="C26" s="50">
        <f>SUM(C23:C25)</f>
        <v>14191.289999999921</v>
      </c>
      <c r="D26" s="50">
        <f>SUM(D23:D25)</f>
        <v>0</v>
      </c>
      <c r="E26" s="50">
        <f>SUM(C26:D26)</f>
        <v>14191.289999999921</v>
      </c>
      <c r="G26" s="88"/>
      <c r="I26" s="63"/>
      <c r="J26" s="63"/>
      <c r="K26" s="63"/>
    </row>
    <row r="27" spans="1:16" x14ac:dyDescent="0.35">
      <c r="C27" s="18"/>
      <c r="D27" s="18"/>
      <c r="E27" s="18"/>
      <c r="G27" s="9"/>
    </row>
    <row r="28" spans="1:16" x14ac:dyDescent="0.35">
      <c r="B28" s="91" t="s">
        <v>230</v>
      </c>
      <c r="C28" s="44">
        <v>507191</v>
      </c>
      <c r="D28" s="144">
        <v>-179199</v>
      </c>
      <c r="E28" s="44">
        <f>SUM(C28:D28)</f>
        <v>327992</v>
      </c>
      <c r="G28" s="9">
        <v>4</v>
      </c>
      <c r="I28" s="106"/>
      <c r="J28" s="87"/>
    </row>
    <row r="29" spans="1:16" ht="16" thickBot="1" x14ac:dyDescent="0.4">
      <c r="A29" s="6">
        <v>408</v>
      </c>
      <c r="B29" s="19" t="s">
        <v>70</v>
      </c>
      <c r="C29" s="17">
        <f>SUM(C28,C26,C21,C17)</f>
        <v>3395540.12</v>
      </c>
      <c r="D29" s="17">
        <f>SUM(D28,D26,D21,D17)</f>
        <v>264461.98755843885</v>
      </c>
      <c r="E29" s="17">
        <f>SUM(C29:D29)</f>
        <v>3660002.107558439</v>
      </c>
      <c r="G29" s="9"/>
    </row>
    <row r="30" spans="1:16" ht="16" thickTop="1" x14ac:dyDescent="0.35">
      <c r="C30" s="51"/>
      <c r="D30" s="51"/>
      <c r="E30" s="51"/>
    </row>
    <row r="31" spans="1:16" x14ac:dyDescent="0.35">
      <c r="A31" s="2" t="s">
        <v>87</v>
      </c>
      <c r="B31" s="9"/>
      <c r="C31" s="51"/>
      <c r="D31" s="51"/>
      <c r="E31" s="51"/>
    </row>
    <row r="32" spans="1:16" ht="36" customHeight="1" x14ac:dyDescent="0.35">
      <c r="A32" s="262">
        <v>1</v>
      </c>
      <c r="B32" s="370" t="s">
        <v>525</v>
      </c>
      <c r="C32" s="370"/>
      <c r="D32" s="370"/>
      <c r="E32" s="370"/>
    </row>
    <row r="33" spans="1:9" ht="48.65" customHeight="1" x14ac:dyDescent="0.35">
      <c r="A33" s="262">
        <v>2</v>
      </c>
      <c r="B33" s="370" t="s">
        <v>530</v>
      </c>
      <c r="C33" s="370"/>
      <c r="D33" s="370"/>
      <c r="E33" s="370"/>
      <c r="I33" s="52">
        <f>13587-(13587/4.5*4.33)</f>
        <v>513.28666666666504</v>
      </c>
    </row>
    <row r="34" spans="1:9" ht="51" customHeight="1" x14ac:dyDescent="0.35">
      <c r="A34" s="262">
        <v>3</v>
      </c>
      <c r="B34" s="370" t="s">
        <v>531</v>
      </c>
      <c r="C34" s="370"/>
      <c r="D34" s="370"/>
      <c r="E34" s="370"/>
      <c r="I34" s="52">
        <f>12940-(12940/4.5*4.33)</f>
        <v>488.84444444444307</v>
      </c>
    </row>
    <row r="35" spans="1:9" ht="18" customHeight="1" x14ac:dyDescent="0.35">
      <c r="A35" s="92">
        <v>4</v>
      </c>
      <c r="B35" s="361" t="s">
        <v>524</v>
      </c>
      <c r="C35" s="361"/>
      <c r="D35" s="361"/>
      <c r="E35" s="361"/>
      <c r="I35" s="184">
        <f>SUM(I33:I34)</f>
        <v>1002.1311111111081</v>
      </c>
    </row>
  </sheetData>
  <mergeCells count="4">
    <mergeCell ref="B33:E33"/>
    <mergeCell ref="B32:E32"/>
    <mergeCell ref="B35:E35"/>
    <mergeCell ref="B34:E34"/>
  </mergeCells>
  <phoneticPr fontId="0" type="noConversion"/>
  <printOptions horizontalCentered="1"/>
  <pageMargins left="0.5" right="0" top="1" bottom="1" header="0.5" footer="0.5"/>
  <pageSetup scale="81" orientation="portrait" r:id="rId1"/>
  <headerFooter alignWithMargins="0"/>
  <colBreaks count="1" manualBreakCount="1">
    <brk id="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V25"/>
  <sheetViews>
    <sheetView zoomScale="130" zoomScaleNormal="130" workbookViewId="0">
      <selection activeCell="B24" sqref="B24:E24"/>
    </sheetView>
  </sheetViews>
  <sheetFormatPr defaultColWidth="8.921875" defaultRowHeight="15.5" x14ac:dyDescent="0.35"/>
  <cols>
    <col min="1" max="1" width="5.921875" style="2" customWidth="1"/>
    <col min="2" max="2" width="45.921875" style="2" customWidth="1"/>
    <col min="3" max="5" width="13.921875" style="2" customWidth="1"/>
    <col min="6" max="6" width="2.921875" style="2" customWidth="1"/>
    <col min="7" max="7" width="4.921875" style="6" customWidth="1"/>
    <col min="8" max="18" width="8.921875" style="2"/>
    <col min="19" max="19" width="10.921875" style="2" bestFit="1" customWidth="1"/>
    <col min="20" max="16384" width="8.921875" style="2"/>
  </cols>
  <sheetData>
    <row r="1" spans="1:22" x14ac:dyDescent="0.35">
      <c r="A1" s="10" t="s">
        <v>104</v>
      </c>
      <c r="G1" s="22" t="s">
        <v>158</v>
      </c>
    </row>
    <row r="2" spans="1:22" x14ac:dyDescent="0.35">
      <c r="A2" s="1" t="s">
        <v>117</v>
      </c>
    </row>
    <row r="3" spans="1:22" x14ac:dyDescent="0.35">
      <c r="A3" s="86" t="str">
        <f>+'COS Summary'!A2</f>
        <v>For the Test Year Ended June 30, 2024</v>
      </c>
    </row>
    <row r="6" spans="1:22" ht="18" x14ac:dyDescent="0.4">
      <c r="A6" s="12" t="s">
        <v>12</v>
      </c>
      <c r="B6" s="46"/>
      <c r="C6" s="46"/>
      <c r="D6" s="36"/>
      <c r="E6" s="36"/>
      <c r="F6" s="46"/>
      <c r="G6" s="46"/>
    </row>
    <row r="7" spans="1:22" x14ac:dyDescent="0.35">
      <c r="C7" s="6"/>
      <c r="D7" s="6"/>
      <c r="E7" s="6"/>
      <c r="F7" s="6"/>
    </row>
    <row r="8" spans="1:22" x14ac:dyDescent="0.35">
      <c r="C8" s="6" t="s">
        <v>121</v>
      </c>
      <c r="D8" s="6" t="s">
        <v>4</v>
      </c>
      <c r="E8" s="6" t="s">
        <v>122</v>
      </c>
      <c r="F8" s="6"/>
    </row>
    <row r="9" spans="1:22" ht="16" thickBot="1" x14ac:dyDescent="0.4">
      <c r="A9" s="11" t="s">
        <v>17</v>
      </c>
      <c r="B9" s="11" t="s">
        <v>1</v>
      </c>
      <c r="C9" s="4" t="str">
        <f>+'COS Summary'!D6</f>
        <v>7/1/23-6/30/24</v>
      </c>
      <c r="D9" s="11" t="s">
        <v>124</v>
      </c>
      <c r="E9" s="4" t="str">
        <f>+'COS Summary'!F6</f>
        <v>8/1/25-7/31/26</v>
      </c>
      <c r="F9" s="4"/>
      <c r="G9" s="4" t="s">
        <v>84</v>
      </c>
    </row>
    <row r="10" spans="1:22" x14ac:dyDescent="0.35">
      <c r="C10" s="87"/>
      <c r="D10" s="87"/>
      <c r="E10" s="87"/>
      <c r="F10" s="87"/>
      <c r="G10" s="92"/>
      <c r="H10" s="87"/>
      <c r="I10" s="87"/>
      <c r="J10" s="87"/>
      <c r="K10" s="87"/>
      <c r="L10" s="87"/>
      <c r="M10" s="87"/>
      <c r="N10" s="87"/>
      <c r="O10" s="87"/>
      <c r="P10" s="87"/>
      <c r="Q10" s="87"/>
      <c r="R10" s="87"/>
      <c r="S10" s="87"/>
      <c r="T10" s="87"/>
    </row>
    <row r="11" spans="1:22" x14ac:dyDescent="0.35">
      <c r="B11" s="8" t="s">
        <v>72</v>
      </c>
      <c r="C11" s="96">
        <v>267848.39</v>
      </c>
      <c r="D11" s="142">
        <v>-46354.51</v>
      </c>
      <c r="E11" s="96">
        <f>SUM(C11:D11)</f>
        <v>221493.88</v>
      </c>
      <c r="F11" s="87"/>
      <c r="G11" s="92">
        <v>1</v>
      </c>
      <c r="H11" s="106"/>
      <c r="I11" s="106"/>
      <c r="J11" s="228"/>
      <c r="K11" s="87"/>
      <c r="L11" s="87"/>
      <c r="M11" s="87"/>
      <c r="N11" s="87"/>
      <c r="O11" s="87"/>
      <c r="P11" s="87"/>
      <c r="Q11" s="87"/>
      <c r="R11" s="265"/>
      <c r="S11" s="266"/>
      <c r="T11" s="266"/>
      <c r="U11" s="267"/>
      <c r="V11" s="87"/>
    </row>
    <row r="12" spans="1:22" x14ac:dyDescent="0.35">
      <c r="B12" s="91" t="s">
        <v>470</v>
      </c>
      <c r="C12" s="96">
        <v>55118.01</v>
      </c>
      <c r="D12" s="95">
        <f>53672-C12</f>
        <v>-1446.010000000002</v>
      </c>
      <c r="E12" s="96">
        <f t="shared" ref="E12:E16" si="0">SUM(C12:D12)</f>
        <v>53672</v>
      </c>
      <c r="F12" s="87"/>
      <c r="G12" s="92">
        <v>2</v>
      </c>
      <c r="H12" s="106"/>
      <c r="I12" s="106"/>
      <c r="J12" s="106"/>
      <c r="K12" s="87"/>
      <c r="L12" s="87"/>
      <c r="M12" s="87"/>
      <c r="N12" s="87"/>
      <c r="O12" s="87"/>
      <c r="P12" s="87"/>
      <c r="Q12" s="87"/>
      <c r="R12" s="87"/>
      <c r="S12" s="218"/>
      <c r="T12" s="87"/>
      <c r="U12" s="87"/>
      <c r="V12" s="87"/>
    </row>
    <row r="13" spans="1:22" x14ac:dyDescent="0.35">
      <c r="B13" s="91" t="s">
        <v>471</v>
      </c>
      <c r="C13" s="96">
        <v>61382.25</v>
      </c>
      <c r="D13" s="95">
        <f>72000-C13</f>
        <v>10617.75</v>
      </c>
      <c r="E13" s="96">
        <f t="shared" si="0"/>
        <v>72000</v>
      </c>
      <c r="F13" s="87"/>
      <c r="G13" s="92">
        <v>2</v>
      </c>
      <c r="H13" s="106"/>
      <c r="I13" s="106"/>
      <c r="J13" s="106"/>
      <c r="K13" s="87"/>
      <c r="L13" s="87"/>
      <c r="M13" s="87"/>
      <c r="N13" s="87"/>
      <c r="O13" s="87"/>
      <c r="P13" s="87"/>
      <c r="Q13" s="87"/>
      <c r="R13" s="87"/>
      <c r="S13" s="218"/>
      <c r="T13" s="87"/>
      <c r="U13" s="87"/>
      <c r="V13" s="87"/>
    </row>
    <row r="14" spans="1:22" x14ac:dyDescent="0.35">
      <c r="B14" s="91" t="s">
        <v>231</v>
      </c>
      <c r="C14" s="96">
        <v>39627.65</v>
      </c>
      <c r="D14" s="96">
        <f>36767.79/3*4-C14</f>
        <v>9396.07</v>
      </c>
      <c r="E14" s="96">
        <f t="shared" si="0"/>
        <v>49023.72</v>
      </c>
      <c r="F14" s="87"/>
      <c r="G14" s="92">
        <v>2</v>
      </c>
      <c r="H14" s="106"/>
      <c r="I14" s="106"/>
      <c r="J14" s="228"/>
      <c r="K14" s="87"/>
      <c r="L14" s="87"/>
      <c r="M14" s="87"/>
      <c r="N14" s="87"/>
      <c r="O14" s="87"/>
      <c r="P14" s="87"/>
      <c r="Q14" s="87"/>
      <c r="R14" s="87"/>
      <c r="S14" s="218"/>
      <c r="T14" s="87"/>
      <c r="U14" s="87"/>
      <c r="V14" s="87"/>
    </row>
    <row r="15" spans="1:22" x14ac:dyDescent="0.35">
      <c r="B15" s="91" t="s">
        <v>472</v>
      </c>
      <c r="C15" s="142">
        <v>368479.58</v>
      </c>
      <c r="D15" s="142">
        <f>21540+42090-C15</f>
        <v>-304849.58</v>
      </c>
      <c r="E15" s="96">
        <f t="shared" si="0"/>
        <v>63630</v>
      </c>
      <c r="F15" s="87"/>
      <c r="G15" s="92">
        <v>3</v>
      </c>
      <c r="H15" s="106"/>
      <c r="I15" s="106"/>
      <c r="J15" s="106"/>
      <c r="K15" s="87"/>
      <c r="L15" s="87"/>
      <c r="M15" s="87"/>
      <c r="N15" s="87"/>
      <c r="O15" s="87"/>
      <c r="P15" s="87"/>
      <c r="Q15" s="87"/>
      <c r="R15" s="87"/>
      <c r="S15" s="218"/>
      <c r="T15" s="87"/>
      <c r="U15" s="87"/>
      <c r="V15" s="87"/>
    </row>
    <row r="16" spans="1:22" x14ac:dyDescent="0.35">
      <c r="B16" s="8" t="s">
        <v>41</v>
      </c>
      <c r="C16" s="96">
        <v>19329.07</v>
      </c>
      <c r="D16" s="96"/>
      <c r="E16" s="96">
        <f t="shared" si="0"/>
        <v>19329.07</v>
      </c>
      <c r="F16" s="87"/>
      <c r="G16" s="87"/>
      <c r="H16" s="228"/>
      <c r="I16" s="87"/>
      <c r="J16" s="228"/>
      <c r="K16" s="87"/>
      <c r="L16" s="87"/>
      <c r="M16" s="87"/>
      <c r="N16" s="87"/>
      <c r="O16" s="87"/>
      <c r="P16" s="87"/>
      <c r="Q16" s="87"/>
      <c r="R16" s="87"/>
      <c r="S16" s="87"/>
      <c r="T16" s="87"/>
      <c r="U16" s="87"/>
      <c r="V16" s="87"/>
    </row>
    <row r="17" spans="1:22" x14ac:dyDescent="0.35">
      <c r="C17" s="18"/>
      <c r="D17" s="18"/>
      <c r="E17" s="18"/>
      <c r="G17" s="87"/>
      <c r="H17" s="228"/>
      <c r="I17" s="87"/>
      <c r="J17" s="228"/>
      <c r="K17" s="87"/>
      <c r="L17" s="87"/>
      <c r="M17" s="87"/>
      <c r="N17" s="87"/>
      <c r="O17" s="87"/>
      <c r="P17" s="87"/>
      <c r="Q17" s="87"/>
      <c r="R17" s="87"/>
      <c r="S17" s="87"/>
      <c r="T17" s="87"/>
      <c r="U17" s="87"/>
      <c r="V17" s="87"/>
    </row>
    <row r="18" spans="1:22" ht="16" thickBot="1" x14ac:dyDescent="0.4">
      <c r="A18" s="6">
        <v>419</v>
      </c>
      <c r="B18" s="61" t="s">
        <v>197</v>
      </c>
      <c r="C18" s="17">
        <f>SUM(C11:C17)</f>
        <v>811784.95000000007</v>
      </c>
      <c r="D18" s="17">
        <f>SUM(D11:D17)</f>
        <v>-332636.28000000003</v>
      </c>
      <c r="E18" s="17">
        <f>SUM(C18:D18)</f>
        <v>479148.67000000004</v>
      </c>
      <c r="G18" s="92"/>
      <c r="H18" s="228"/>
      <c r="I18" s="87"/>
      <c r="J18" s="228"/>
      <c r="K18" s="87"/>
      <c r="L18" s="87"/>
      <c r="M18" s="87"/>
      <c r="N18" s="87"/>
      <c r="O18" s="87"/>
      <c r="P18" s="87"/>
      <c r="Q18" s="87"/>
      <c r="R18" s="87"/>
      <c r="S18" s="87"/>
      <c r="T18" s="87"/>
      <c r="U18" s="87"/>
      <c r="V18" s="87"/>
    </row>
    <row r="19" spans="1:22" ht="16" thickTop="1" x14ac:dyDescent="0.35">
      <c r="C19" s="48"/>
      <c r="D19" s="48"/>
      <c r="E19" s="48"/>
      <c r="G19" s="92"/>
      <c r="H19" s="228"/>
      <c r="I19" s="87"/>
      <c r="J19" s="228"/>
      <c r="K19" s="87"/>
      <c r="L19" s="87"/>
      <c r="M19" s="87"/>
      <c r="N19" s="87"/>
      <c r="O19" s="87"/>
      <c r="P19" s="87"/>
      <c r="Q19" s="87"/>
      <c r="R19" s="87"/>
      <c r="S19" s="87"/>
      <c r="T19" s="87"/>
      <c r="U19" s="87"/>
      <c r="V19" s="87"/>
    </row>
    <row r="20" spans="1:22" x14ac:dyDescent="0.35">
      <c r="A20" s="2" t="s">
        <v>87</v>
      </c>
      <c r="B20" s="156"/>
    </row>
    <row r="21" spans="1:22" x14ac:dyDescent="0.35">
      <c r="C21" s="63"/>
    </row>
    <row r="22" spans="1:22" x14ac:dyDescent="0.35">
      <c r="A22" s="92">
        <v>1</v>
      </c>
      <c r="B22" s="88" t="s">
        <v>527</v>
      </c>
      <c r="H22" s="106"/>
    </row>
    <row r="23" spans="1:22" x14ac:dyDescent="0.35">
      <c r="A23" s="92">
        <v>2</v>
      </c>
      <c r="B23" s="87" t="s">
        <v>469</v>
      </c>
    </row>
    <row r="24" spans="1:22" ht="32.15" customHeight="1" x14ac:dyDescent="0.35">
      <c r="A24" s="92">
        <v>3</v>
      </c>
      <c r="B24" s="361" t="s">
        <v>579</v>
      </c>
      <c r="C24" s="361"/>
      <c r="D24" s="361"/>
      <c r="E24" s="361"/>
    </row>
    <row r="25" spans="1:22" x14ac:dyDescent="0.35">
      <c r="A25" s="87"/>
      <c r="B25" s="87"/>
    </row>
  </sheetData>
  <mergeCells count="1">
    <mergeCell ref="B24:E24"/>
  </mergeCells>
  <phoneticPr fontId="0" type="noConversion"/>
  <printOptions horizontalCentered="1"/>
  <pageMargins left="0.5" right="0" top="1" bottom="1" header="0.5" footer="0.5"/>
  <pageSetup scale="5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Q29"/>
  <sheetViews>
    <sheetView zoomScale="130" zoomScaleNormal="130" workbookViewId="0">
      <selection activeCell="B20" sqref="B20:E20"/>
    </sheetView>
  </sheetViews>
  <sheetFormatPr defaultColWidth="8.921875" defaultRowHeight="15.5" x14ac:dyDescent="0.35"/>
  <cols>
    <col min="1" max="1" width="5.921875" style="2" customWidth="1"/>
    <col min="2" max="2" width="45.921875" style="2" customWidth="1"/>
    <col min="3" max="5" width="14.921875" style="2" customWidth="1"/>
    <col min="6" max="6" width="3.921875" style="2" customWidth="1"/>
    <col min="7" max="7" width="5.921875" style="6" customWidth="1"/>
    <col min="8" max="8" width="9.07421875" style="2" customWidth="1"/>
    <col min="9" max="9" width="12.4609375" style="2" bestFit="1" customWidth="1"/>
    <col min="10" max="16384" width="8.921875" style="2"/>
  </cols>
  <sheetData>
    <row r="1" spans="1:17" x14ac:dyDescent="0.35">
      <c r="A1" s="10" t="s">
        <v>104</v>
      </c>
      <c r="C1" s="87"/>
      <c r="G1" s="22" t="s">
        <v>159</v>
      </c>
    </row>
    <row r="2" spans="1:17" x14ac:dyDescent="0.35">
      <c r="A2" s="1" t="s">
        <v>117</v>
      </c>
    </row>
    <row r="3" spans="1:17" x14ac:dyDescent="0.35">
      <c r="A3" s="86" t="str">
        <f>+'COS Summary'!A2</f>
        <v>For the Test Year Ended June 30, 2024</v>
      </c>
    </row>
    <row r="6" spans="1:17" ht="18" x14ac:dyDescent="0.4">
      <c r="A6" s="12" t="s">
        <v>73</v>
      </c>
      <c r="B6" s="46"/>
      <c r="C6" s="46"/>
      <c r="D6" s="36"/>
      <c r="E6" s="36"/>
      <c r="F6" s="46"/>
      <c r="G6" s="46"/>
    </row>
    <row r="7" spans="1:17" x14ac:dyDescent="0.35">
      <c r="C7" s="6"/>
      <c r="D7" s="6"/>
      <c r="E7" s="6"/>
      <c r="F7" s="6"/>
    </row>
    <row r="8" spans="1:17" x14ac:dyDescent="0.35">
      <c r="C8" s="6" t="s">
        <v>121</v>
      </c>
      <c r="D8" s="6" t="s">
        <v>4</v>
      </c>
      <c r="E8" s="6" t="s">
        <v>122</v>
      </c>
      <c r="F8" s="6"/>
      <c r="H8" s="157"/>
      <c r="I8" s="90"/>
    </row>
    <row r="9" spans="1:17" ht="16" thickBot="1" x14ac:dyDescent="0.4">
      <c r="A9" s="11" t="s">
        <v>17</v>
      </c>
      <c r="B9" s="11" t="s">
        <v>1</v>
      </c>
      <c r="C9" s="4" t="str">
        <f>+'COS Summary'!D6</f>
        <v>7/1/23-6/30/24</v>
      </c>
      <c r="D9" s="11" t="s">
        <v>124</v>
      </c>
      <c r="E9" s="4" t="str">
        <f>+'COS Summary'!F6</f>
        <v>8/1/25-7/31/26</v>
      </c>
      <c r="F9" s="4"/>
      <c r="G9" s="4" t="s">
        <v>84</v>
      </c>
    </row>
    <row r="10" spans="1:17" x14ac:dyDescent="0.35">
      <c r="C10" s="87"/>
      <c r="D10" s="87"/>
      <c r="E10" s="87"/>
      <c r="F10" s="87"/>
      <c r="G10" s="92"/>
      <c r="H10" s="87"/>
      <c r="I10" s="87"/>
      <c r="J10" s="87"/>
      <c r="K10" s="87"/>
      <c r="L10" s="87"/>
      <c r="M10" s="87"/>
      <c r="N10" s="87"/>
      <c r="O10" s="87"/>
      <c r="P10" s="87"/>
      <c r="Q10" s="87"/>
    </row>
    <row r="11" spans="1:17" x14ac:dyDescent="0.35">
      <c r="B11" s="8" t="s">
        <v>74</v>
      </c>
      <c r="C11" s="150">
        <v>166089.29999999999</v>
      </c>
      <c r="D11" s="151">
        <f>166232-C11</f>
        <v>142.70000000001164</v>
      </c>
      <c r="E11" s="151">
        <f>SUM(C11:D11)</f>
        <v>166232</v>
      </c>
      <c r="F11" s="87"/>
      <c r="G11" s="6">
        <v>1</v>
      </c>
      <c r="H11" s="234"/>
      <c r="I11" s="87"/>
      <c r="J11" s="87"/>
      <c r="K11" s="87"/>
      <c r="L11" s="87"/>
      <c r="M11" s="87"/>
      <c r="N11" s="87"/>
      <c r="O11" s="87"/>
      <c r="P11" s="87"/>
      <c r="Q11" s="87"/>
    </row>
    <row r="12" spans="1:17" x14ac:dyDescent="0.35">
      <c r="B12" s="8" t="s">
        <v>75</v>
      </c>
      <c r="C12" s="96">
        <v>1205.54</v>
      </c>
      <c r="D12" s="142">
        <f>896-C12</f>
        <v>-309.53999999999996</v>
      </c>
      <c r="E12" s="142">
        <f>SUM(C12:D12)</f>
        <v>896</v>
      </c>
      <c r="F12" s="87"/>
      <c r="G12" s="6">
        <v>1</v>
      </c>
      <c r="H12" s="234"/>
      <c r="I12" s="87"/>
      <c r="J12" s="87"/>
      <c r="K12" s="87"/>
      <c r="L12" s="87"/>
      <c r="M12" s="87"/>
      <c r="N12" s="87"/>
      <c r="O12" s="87"/>
      <c r="P12" s="87"/>
      <c r="Q12" s="87"/>
    </row>
    <row r="13" spans="1:17" x14ac:dyDescent="0.35">
      <c r="B13" s="8" t="s">
        <v>206</v>
      </c>
      <c r="C13" s="96">
        <f>1712667.4+2520932.56</f>
        <v>4233599.96</v>
      </c>
      <c r="D13" s="142">
        <f>4333541-C13</f>
        <v>99941.040000000037</v>
      </c>
      <c r="E13" s="142">
        <f>SUM(C13:D13)</f>
        <v>4333541</v>
      </c>
      <c r="F13" s="87"/>
      <c r="G13" s="6">
        <v>2</v>
      </c>
      <c r="H13" s="234"/>
      <c r="I13" s="228"/>
      <c r="J13" s="87"/>
      <c r="K13" s="87"/>
      <c r="L13" s="87"/>
      <c r="M13" s="87"/>
      <c r="N13" s="87"/>
      <c r="O13" s="87"/>
      <c r="P13" s="87"/>
      <c r="Q13" s="87"/>
    </row>
    <row r="14" spans="1:17" x14ac:dyDescent="0.35">
      <c r="B14" s="91" t="s">
        <v>13</v>
      </c>
      <c r="C14" s="96">
        <v>132097.45000000001</v>
      </c>
      <c r="D14" s="142">
        <v>-132097</v>
      </c>
      <c r="E14" s="142">
        <f>SUM(C14:D14)</f>
        <v>0.45000000001164153</v>
      </c>
      <c r="F14" s="87"/>
      <c r="G14" s="6">
        <v>3</v>
      </c>
      <c r="H14" s="234"/>
      <c r="I14" s="87"/>
      <c r="J14" s="87"/>
      <c r="K14" s="87"/>
      <c r="L14" s="87"/>
      <c r="M14" s="87"/>
      <c r="N14" s="87"/>
      <c r="O14" s="87"/>
      <c r="P14" s="87"/>
      <c r="Q14" s="87"/>
    </row>
    <row r="15" spans="1:17" x14ac:dyDescent="0.35">
      <c r="C15" s="18"/>
      <c r="D15" s="18"/>
      <c r="E15" s="18"/>
      <c r="H15" s="87"/>
      <c r="I15" s="87"/>
    </row>
    <row r="16" spans="1:17" ht="16" thickBot="1" x14ac:dyDescent="0.4">
      <c r="A16" s="6">
        <v>419</v>
      </c>
      <c r="B16" s="19" t="s">
        <v>93</v>
      </c>
      <c r="C16" s="17">
        <f>SUM(C11:C15)</f>
        <v>4532992.25</v>
      </c>
      <c r="D16" s="17">
        <f>SUM(D11:D15)</f>
        <v>-32322.799999999945</v>
      </c>
      <c r="E16" s="17">
        <f>SUM(C16:D16)</f>
        <v>4500669.45</v>
      </c>
    </row>
    <row r="17" spans="1:9" ht="16" thickTop="1" x14ac:dyDescent="0.35">
      <c r="C17" s="48"/>
      <c r="D17" s="48"/>
      <c r="E17" s="48"/>
    </row>
    <row r="18" spans="1:9" x14ac:dyDescent="0.35">
      <c r="A18" s="2" t="s">
        <v>112</v>
      </c>
    </row>
    <row r="19" spans="1:9" x14ac:dyDescent="0.35">
      <c r="A19" s="2">
        <v>1</v>
      </c>
      <c r="B19" s="87" t="s">
        <v>505</v>
      </c>
      <c r="C19" s="87"/>
      <c r="D19" s="87"/>
      <c r="E19" s="87"/>
      <c r="F19" s="87"/>
      <c r="G19" s="92"/>
    </row>
    <row r="20" spans="1:9" ht="46.4" customHeight="1" x14ac:dyDescent="0.35">
      <c r="A20" s="87">
        <f>A19+1</f>
        <v>2</v>
      </c>
      <c r="B20" s="361" t="s">
        <v>506</v>
      </c>
      <c r="C20" s="361"/>
      <c r="D20" s="361"/>
      <c r="E20" s="361"/>
    </row>
    <row r="21" spans="1:9" x14ac:dyDescent="0.35">
      <c r="A21" s="87">
        <f>A20+1</f>
        <v>3</v>
      </c>
      <c r="B21" s="87" t="s">
        <v>468</v>
      </c>
      <c r="C21" s="87"/>
      <c r="D21" s="87"/>
      <c r="E21" s="87"/>
      <c r="F21" s="87"/>
      <c r="G21" s="92"/>
      <c r="I21" s="90"/>
    </row>
    <row r="25" spans="1:9" x14ac:dyDescent="0.35">
      <c r="B25" s="87"/>
    </row>
    <row r="26" spans="1:9" x14ac:dyDescent="0.35">
      <c r="B26" s="2" t="s">
        <v>208</v>
      </c>
    </row>
    <row r="29" spans="1:9" x14ac:dyDescent="0.35">
      <c r="C29" s="63"/>
    </row>
  </sheetData>
  <mergeCells count="1">
    <mergeCell ref="B20:E20"/>
  </mergeCells>
  <phoneticPr fontId="0" type="noConversion"/>
  <printOptions horizontalCentered="1"/>
  <pageMargins left="0.5" right="0" top="1" bottom="1" header="0.5" footer="0.5"/>
  <pageSetup scale="8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O47"/>
  <sheetViews>
    <sheetView zoomScale="130" zoomScaleNormal="130" workbookViewId="0">
      <selection activeCell="H41" sqref="H41"/>
    </sheetView>
  </sheetViews>
  <sheetFormatPr defaultColWidth="8.921875" defaultRowHeight="15.5" x14ac:dyDescent="0.35"/>
  <cols>
    <col min="1" max="1" width="8.07421875" style="2" customWidth="1"/>
    <col min="2" max="2" width="45.921875" style="2" customWidth="1"/>
    <col min="3" max="5" width="13.921875" style="2" customWidth="1"/>
    <col min="6" max="6" width="2.921875" style="2" customWidth="1"/>
    <col min="7" max="7" width="5.07421875" style="9" customWidth="1"/>
    <col min="8" max="8" width="13" style="6" bestFit="1" customWidth="1"/>
    <col min="9" max="9" width="11.07421875" style="2" bestFit="1" customWidth="1"/>
    <col min="10" max="10" width="9.921875" style="2" bestFit="1" customWidth="1"/>
    <col min="11" max="16384" width="8.921875" style="2"/>
  </cols>
  <sheetData>
    <row r="1" spans="1:14" x14ac:dyDescent="0.35">
      <c r="A1" s="10" t="s">
        <v>104</v>
      </c>
      <c r="C1" s="87"/>
      <c r="G1" s="22" t="s">
        <v>160</v>
      </c>
    </row>
    <row r="2" spans="1:14" x14ac:dyDescent="0.35">
      <c r="A2" s="1" t="s">
        <v>117</v>
      </c>
    </row>
    <row r="3" spans="1:14" x14ac:dyDescent="0.35">
      <c r="A3" s="86" t="str">
        <f>+'COS Summary'!A2</f>
        <v>For the Test Year Ended June 30, 2024</v>
      </c>
    </row>
    <row r="6" spans="1:14" ht="18" x14ac:dyDescent="0.4">
      <c r="A6" s="12" t="s">
        <v>76</v>
      </c>
      <c r="B6" s="46"/>
      <c r="C6" s="46"/>
      <c r="D6" s="36"/>
      <c r="E6" s="36"/>
      <c r="F6" s="46"/>
    </row>
    <row r="7" spans="1:14" ht="15" customHeight="1" x14ac:dyDescent="0.35">
      <c r="C7" s="6"/>
      <c r="D7" s="6"/>
      <c r="E7" s="6"/>
      <c r="F7" s="6"/>
    </row>
    <row r="8" spans="1:14" x14ac:dyDescent="0.35">
      <c r="C8" s="6" t="s">
        <v>121</v>
      </c>
      <c r="D8" s="6" t="s">
        <v>4</v>
      </c>
      <c r="E8" s="6" t="s">
        <v>122</v>
      </c>
      <c r="F8" s="6"/>
    </row>
    <row r="9" spans="1:14" ht="16" thickBot="1" x14ac:dyDescent="0.4">
      <c r="A9" s="11" t="s">
        <v>17</v>
      </c>
      <c r="B9" s="11" t="s">
        <v>1</v>
      </c>
      <c r="C9" s="4" t="str">
        <f>+'COS Summary'!D6</f>
        <v>7/1/23-6/30/24</v>
      </c>
      <c r="D9" s="11" t="s">
        <v>124</v>
      </c>
      <c r="E9" s="4" t="str">
        <f>+'COS Summary'!F6</f>
        <v>8/1/25-7/31/26</v>
      </c>
      <c r="F9" s="4"/>
      <c r="G9" s="134" t="s">
        <v>84</v>
      </c>
    </row>
    <row r="11" spans="1:14" x14ac:dyDescent="0.35">
      <c r="B11" s="30" t="s">
        <v>148</v>
      </c>
    </row>
    <row r="12" spans="1:14" x14ac:dyDescent="0.35">
      <c r="A12" s="6" t="s">
        <v>178</v>
      </c>
      <c r="B12" s="8" t="s">
        <v>77</v>
      </c>
      <c r="C12" s="44">
        <v>-11672.28</v>
      </c>
      <c r="D12" s="64">
        <v>11672</v>
      </c>
      <c r="E12" s="44">
        <f>SUM(C12:D12)</f>
        <v>-0.28000000000065484</v>
      </c>
      <c r="F12" s="48"/>
      <c r="G12" s="6">
        <v>1</v>
      </c>
      <c r="H12" s="226"/>
    </row>
    <row r="13" spans="1:14" x14ac:dyDescent="0.35">
      <c r="A13" s="6">
        <v>421</v>
      </c>
      <c r="B13" s="8" t="s">
        <v>78</v>
      </c>
      <c r="C13" s="44">
        <f>+'Sch 13A-Misc Non-Op Inc detail'!C22</f>
        <v>1814146.66</v>
      </c>
      <c r="D13" s="44">
        <f>'Sch 13A-Misc Non-Op Inc detail'!D22</f>
        <v>-660545.68399999989</v>
      </c>
      <c r="E13" s="44">
        <f>SUM(C13:D13)</f>
        <v>1153600.976</v>
      </c>
      <c r="F13" s="48"/>
      <c r="G13" s="49">
        <v>2</v>
      </c>
      <c r="H13" s="132"/>
    </row>
    <row r="14" spans="1:14" x14ac:dyDescent="0.35">
      <c r="A14" s="6">
        <v>426</v>
      </c>
      <c r="B14" s="8" t="s">
        <v>79</v>
      </c>
      <c r="C14" s="153">
        <v>-21876.62</v>
      </c>
      <c r="D14" s="154"/>
      <c r="E14" s="154">
        <f>SUM(C14:D14)</f>
        <v>-21876.62</v>
      </c>
      <c r="F14" s="152"/>
      <c r="G14" s="149"/>
      <c r="H14" s="92"/>
      <c r="I14" s="87"/>
      <c r="J14" s="87"/>
      <c r="K14" s="87"/>
      <c r="L14" s="87"/>
      <c r="M14" s="87"/>
      <c r="N14" s="87"/>
    </row>
    <row r="15" spans="1:14" x14ac:dyDescent="0.35">
      <c r="A15" s="6"/>
      <c r="B15" s="62" t="s">
        <v>169</v>
      </c>
      <c r="C15" s="140">
        <f>SUM(C12:C14)</f>
        <v>1780597.7599999998</v>
      </c>
      <c r="D15" s="140">
        <f>SUM(D12:D14)</f>
        <v>-648873.68399999989</v>
      </c>
      <c r="E15" s="140">
        <f>SUM(C15:D15)</f>
        <v>1131724.0759999999</v>
      </c>
      <c r="F15" s="152"/>
      <c r="G15" s="149"/>
      <c r="H15" s="146"/>
      <c r="I15" s="87"/>
      <c r="J15" s="87"/>
      <c r="K15" s="87"/>
      <c r="L15" s="87"/>
      <c r="M15" s="87"/>
      <c r="N15" s="87"/>
    </row>
    <row r="16" spans="1:14" x14ac:dyDescent="0.35">
      <c r="A16" s="6"/>
      <c r="C16" s="141"/>
      <c r="D16" s="141"/>
      <c r="E16" s="141"/>
      <c r="F16" s="152"/>
      <c r="G16" s="149"/>
      <c r="H16" s="92"/>
      <c r="I16" s="87"/>
      <c r="J16" s="87"/>
      <c r="K16" s="87"/>
      <c r="L16" s="87"/>
      <c r="M16" s="87"/>
      <c r="N16" s="87"/>
    </row>
    <row r="17" spans="1:15" x14ac:dyDescent="0.35">
      <c r="A17" s="53"/>
      <c r="B17" s="30" t="s">
        <v>146</v>
      </c>
      <c r="C17" s="96"/>
      <c r="D17" s="96"/>
      <c r="E17" s="96"/>
      <c r="F17" s="152"/>
      <c r="G17" s="149"/>
      <c r="H17" s="92"/>
      <c r="I17" s="87"/>
      <c r="J17" s="87"/>
      <c r="K17" s="87"/>
      <c r="L17" s="87"/>
      <c r="M17" s="87"/>
      <c r="N17" s="87"/>
    </row>
    <row r="18" spans="1:15" x14ac:dyDescent="0.35">
      <c r="A18" s="149">
        <v>454</v>
      </c>
      <c r="B18" s="91" t="s">
        <v>209</v>
      </c>
      <c r="C18" s="96">
        <v>69700.66</v>
      </c>
      <c r="D18" s="96"/>
      <c r="E18" s="96">
        <f>SUM(C18:D18)</f>
        <v>69700.66</v>
      </c>
      <c r="F18" s="152"/>
      <c r="G18" s="149"/>
      <c r="H18" s="182"/>
      <c r="I18" s="87"/>
      <c r="J18" s="87"/>
      <c r="K18" s="87"/>
      <c r="L18" s="87"/>
      <c r="M18" s="87"/>
      <c r="N18" s="87"/>
    </row>
    <row r="19" spans="1:15" s="87" customFormat="1" ht="17.899999999999999" customHeight="1" x14ac:dyDescent="0.35">
      <c r="A19" s="149">
        <v>454</v>
      </c>
      <c r="B19" s="91" t="s">
        <v>210</v>
      </c>
      <c r="C19" s="96">
        <v>26282.74</v>
      </c>
      <c r="D19" s="142">
        <v>51476</v>
      </c>
      <c r="E19" s="96">
        <f>SUM(C19:D19)</f>
        <v>77758.740000000005</v>
      </c>
      <c r="F19" s="152"/>
      <c r="G19" s="149">
        <v>3</v>
      </c>
      <c r="H19" s="332"/>
    </row>
    <row r="20" spans="1:15" x14ac:dyDescent="0.35">
      <c r="A20" s="6"/>
      <c r="B20" s="62" t="s">
        <v>168</v>
      </c>
      <c r="C20" s="50">
        <f>SUM(C18:C19)</f>
        <v>95983.400000000009</v>
      </c>
      <c r="D20" s="50">
        <f>SUM(D18:D19)</f>
        <v>51476</v>
      </c>
      <c r="E20" s="50">
        <f>SUM(C20:D20)</f>
        <v>147459.40000000002</v>
      </c>
      <c r="F20" s="48"/>
      <c r="G20" s="49"/>
    </row>
    <row r="21" spans="1:15" x14ac:dyDescent="0.35">
      <c r="C21" s="18"/>
      <c r="D21" s="18"/>
      <c r="E21" s="18"/>
      <c r="F21" s="48"/>
      <c r="G21" s="6"/>
      <c r="K21" s="63"/>
    </row>
    <row r="22" spans="1:15" x14ac:dyDescent="0.35">
      <c r="B22" s="30" t="s">
        <v>147</v>
      </c>
      <c r="C22" s="96"/>
      <c r="D22" s="96"/>
      <c r="E22" s="96"/>
      <c r="F22" s="152"/>
      <c r="G22" s="92"/>
      <c r="H22" s="92"/>
      <c r="I22" s="87"/>
      <c r="J22" s="87"/>
      <c r="K22" s="87"/>
      <c r="L22" s="87"/>
      <c r="M22" s="87"/>
      <c r="N22" s="87"/>
      <c r="O22" s="87"/>
    </row>
    <row r="23" spans="1:15" x14ac:dyDescent="0.35">
      <c r="A23" s="6">
        <v>450</v>
      </c>
      <c r="B23" s="8" t="s">
        <v>211</v>
      </c>
      <c r="C23" s="141">
        <v>54550.27</v>
      </c>
      <c r="D23" s="144"/>
      <c r="E23" s="144">
        <f>SUM(C23:D23)</f>
        <v>54550.27</v>
      </c>
      <c r="F23" s="152"/>
      <c r="G23" s="149"/>
      <c r="H23" s="226"/>
      <c r="I23" s="87"/>
      <c r="J23" s="87"/>
      <c r="K23" s="87"/>
      <c r="L23" s="87"/>
      <c r="M23" s="87"/>
      <c r="N23" s="87"/>
      <c r="O23" s="87"/>
    </row>
    <row r="24" spans="1:15" x14ac:dyDescent="0.35">
      <c r="A24" s="6">
        <v>451</v>
      </c>
      <c r="B24" s="8" t="s">
        <v>99</v>
      </c>
      <c r="C24" s="141">
        <f>173084.61+4475+1860+670+3400</f>
        <v>183489.61</v>
      </c>
      <c r="D24" s="141"/>
      <c r="E24" s="144">
        <f>SUM(C24:D24)</f>
        <v>183489.61</v>
      </c>
      <c r="F24" s="152"/>
      <c r="G24" s="149"/>
      <c r="H24" s="182"/>
      <c r="I24" s="87"/>
      <c r="J24" s="87"/>
      <c r="K24" s="87"/>
      <c r="L24" s="87"/>
      <c r="M24" s="87"/>
      <c r="N24" s="87"/>
      <c r="O24" s="87"/>
    </row>
    <row r="25" spans="1:15" x14ac:dyDescent="0.35">
      <c r="A25" s="6">
        <v>456</v>
      </c>
      <c r="B25" s="91" t="s">
        <v>496</v>
      </c>
      <c r="C25" s="141">
        <v>706.47</v>
      </c>
      <c r="D25" s="141"/>
      <c r="E25" s="141">
        <f t="shared" ref="E25:E26" si="0">SUM(C25:D25)</f>
        <v>706.47</v>
      </c>
      <c r="F25" s="152"/>
      <c r="G25" s="149"/>
      <c r="H25" s="182"/>
      <c r="I25" s="87"/>
      <c r="J25" s="87"/>
      <c r="K25" s="87"/>
      <c r="L25" s="87"/>
      <c r="M25" s="87"/>
      <c r="N25" s="87"/>
      <c r="O25" s="87"/>
    </row>
    <row r="26" spans="1:15" x14ac:dyDescent="0.35">
      <c r="A26" s="6">
        <v>456</v>
      </c>
      <c r="B26" s="91" t="s">
        <v>497</v>
      </c>
      <c r="C26" s="141">
        <v>32707.51</v>
      </c>
      <c r="D26" s="141">
        <v>-15679.34</v>
      </c>
      <c r="E26" s="141">
        <f t="shared" si="0"/>
        <v>17028.169999999998</v>
      </c>
      <c r="F26" s="152"/>
      <c r="G26" s="149">
        <v>4</v>
      </c>
      <c r="H26" s="332"/>
      <c r="I26" s="87"/>
      <c r="J26" s="87"/>
      <c r="K26" s="87"/>
      <c r="L26" s="87"/>
      <c r="M26" s="87"/>
      <c r="N26" s="87"/>
      <c r="O26" s="87"/>
    </row>
    <row r="27" spans="1:15" x14ac:dyDescent="0.35">
      <c r="A27" s="6">
        <v>456</v>
      </c>
      <c r="B27" s="8" t="s">
        <v>100</v>
      </c>
      <c r="C27" s="96">
        <v>2926075.01</v>
      </c>
      <c r="D27" s="96"/>
      <c r="E27" s="141">
        <f>SUM(C27:D27)</f>
        <v>2926075.01</v>
      </c>
      <c r="F27" s="152"/>
      <c r="G27" s="92"/>
      <c r="H27" s="146"/>
      <c r="I27" s="87"/>
      <c r="J27" s="87"/>
      <c r="K27" s="87"/>
      <c r="L27" s="87"/>
      <c r="M27" s="87"/>
      <c r="N27" s="87"/>
      <c r="O27" s="87"/>
    </row>
    <row r="28" spans="1:15" x14ac:dyDescent="0.35">
      <c r="A28" s="6">
        <v>456</v>
      </c>
      <c r="B28" s="91" t="s">
        <v>232</v>
      </c>
      <c r="C28" s="96">
        <v>20016</v>
      </c>
      <c r="D28" s="96"/>
      <c r="E28" s="144">
        <f>SUM(C28:D28)</f>
        <v>20016</v>
      </c>
      <c r="F28" s="152"/>
      <c r="G28" s="92"/>
      <c r="H28" s="92"/>
      <c r="I28" s="87"/>
      <c r="J28" s="87"/>
      <c r="K28" s="87"/>
      <c r="L28" s="87"/>
      <c r="M28" s="87"/>
      <c r="N28" s="87"/>
      <c r="O28" s="87"/>
    </row>
    <row r="29" spans="1:15" hidden="1" x14ac:dyDescent="0.35">
      <c r="A29" s="92">
        <v>456</v>
      </c>
      <c r="B29" s="91" t="s">
        <v>399</v>
      </c>
      <c r="C29" s="65"/>
      <c r="D29" s="65"/>
      <c r="E29" s="64">
        <f t="shared" ref="E29:E34" si="1">SUM(C29:D29)</f>
        <v>0</v>
      </c>
      <c r="F29" s="48"/>
      <c r="G29" s="92"/>
    </row>
    <row r="30" spans="1:15" x14ac:dyDescent="0.35">
      <c r="A30" s="92">
        <v>456</v>
      </c>
      <c r="B30" s="91" t="s">
        <v>261</v>
      </c>
      <c r="C30" s="18">
        <v>3157978.25</v>
      </c>
      <c r="D30" s="65">
        <v>614257.39528278261</v>
      </c>
      <c r="E30" s="64">
        <f t="shared" si="1"/>
        <v>3772235.6452827826</v>
      </c>
      <c r="F30" s="48"/>
      <c r="G30" s="92">
        <v>5</v>
      </c>
      <c r="H30" s="346"/>
    </row>
    <row r="31" spans="1:15" x14ac:dyDescent="0.35">
      <c r="A31" s="92">
        <v>456</v>
      </c>
      <c r="B31" s="91" t="s">
        <v>260</v>
      </c>
      <c r="C31" s="18">
        <v>2437682.5</v>
      </c>
      <c r="D31" s="65">
        <v>890457.26696982235</v>
      </c>
      <c r="E31" s="64">
        <f t="shared" si="1"/>
        <v>3328139.7669698223</v>
      </c>
      <c r="F31" s="48"/>
      <c r="G31" s="92">
        <v>5</v>
      </c>
      <c r="H31" s="226"/>
    </row>
    <row r="32" spans="1:15" x14ac:dyDescent="0.35">
      <c r="A32" s="92">
        <v>456</v>
      </c>
      <c r="B32" s="91" t="s">
        <v>421</v>
      </c>
      <c r="C32" s="18">
        <v>1007220</v>
      </c>
      <c r="D32" s="65">
        <v>-201235.05146470072</v>
      </c>
      <c r="E32" s="64">
        <f t="shared" si="1"/>
        <v>805984.94853529928</v>
      </c>
      <c r="F32" s="48"/>
      <c r="G32" s="92">
        <v>5</v>
      </c>
      <c r="H32" s="226"/>
    </row>
    <row r="33" spans="1:10" x14ac:dyDescent="0.35">
      <c r="A33" s="92">
        <v>456</v>
      </c>
      <c r="B33" s="91" t="s">
        <v>259</v>
      </c>
      <c r="C33" s="18">
        <v>175382.5</v>
      </c>
      <c r="D33" s="65">
        <v>-15518.736554299423</v>
      </c>
      <c r="E33" s="64">
        <f t="shared" si="1"/>
        <v>159863.76344570058</v>
      </c>
      <c r="F33" s="48"/>
      <c r="G33" s="92">
        <v>5</v>
      </c>
      <c r="H33" s="226"/>
    </row>
    <row r="34" spans="1:10" x14ac:dyDescent="0.35">
      <c r="B34" s="8"/>
      <c r="C34" s="18"/>
      <c r="D34" s="18"/>
      <c r="E34" s="44">
        <f t="shared" si="1"/>
        <v>0</v>
      </c>
      <c r="F34" s="48"/>
      <c r="I34" s="63"/>
      <c r="J34" s="58"/>
    </row>
    <row r="35" spans="1:10" x14ac:dyDescent="0.35">
      <c r="B35" s="34" t="s">
        <v>101</v>
      </c>
      <c r="C35" s="50">
        <f>SUM(C23:C34)</f>
        <v>9995808.1199999992</v>
      </c>
      <c r="D35" s="50">
        <f>SUM(D23:D34)</f>
        <v>1272281.534233605</v>
      </c>
      <c r="E35" s="50">
        <f>SUM(C35:D35)</f>
        <v>11268089.654233605</v>
      </c>
      <c r="F35" s="48"/>
      <c r="H35" s="66"/>
      <c r="J35" s="63"/>
    </row>
    <row r="36" spans="1:10" x14ac:dyDescent="0.35">
      <c r="C36" s="18"/>
      <c r="D36" s="18"/>
      <c r="E36" s="18"/>
      <c r="F36" s="48"/>
    </row>
    <row r="37" spans="1:10" x14ac:dyDescent="0.35">
      <c r="C37" s="18"/>
      <c r="D37" s="18"/>
      <c r="E37" s="18"/>
      <c r="F37" s="48"/>
      <c r="H37" s="66"/>
    </row>
    <row r="38" spans="1:10" ht="16" thickBot="1" x14ac:dyDescent="0.4">
      <c r="B38" s="15" t="s">
        <v>198</v>
      </c>
      <c r="C38" s="17">
        <f>SUM(C35,C20,C15)</f>
        <v>11872389.279999999</v>
      </c>
      <c r="D38" s="17">
        <f>SUM(D35,D20,D15)</f>
        <v>674883.85023360513</v>
      </c>
      <c r="E38" s="17">
        <f>SUM(C38:D38)</f>
        <v>12547273.130233604</v>
      </c>
      <c r="F38" s="48"/>
      <c r="H38" s="93"/>
    </row>
    <row r="39" spans="1:10" ht="16" thickTop="1" x14ac:dyDescent="0.35">
      <c r="C39" s="48"/>
      <c r="D39" s="48"/>
      <c r="E39" s="48"/>
      <c r="F39" s="48"/>
    </row>
    <row r="40" spans="1:10" x14ac:dyDescent="0.35">
      <c r="A40" s="2" t="s">
        <v>87</v>
      </c>
      <c r="B40" s="156"/>
      <c r="C40" s="48"/>
      <c r="D40" s="48"/>
      <c r="E40" s="48"/>
      <c r="F40" s="48"/>
    </row>
    <row r="41" spans="1:10" x14ac:dyDescent="0.35">
      <c r="A41" s="262">
        <v>1</v>
      </c>
      <c r="B41" s="359" t="s">
        <v>466</v>
      </c>
      <c r="C41" s="360"/>
      <c r="D41" s="360"/>
      <c r="E41" s="360"/>
      <c r="F41" s="360"/>
      <c r="G41" s="360"/>
    </row>
    <row r="42" spans="1:10" ht="35.15" customHeight="1" x14ac:dyDescent="0.35">
      <c r="A42" s="262">
        <v>2</v>
      </c>
      <c r="B42" s="359" t="s">
        <v>467</v>
      </c>
      <c r="C42" s="360"/>
      <c r="D42" s="360"/>
      <c r="E42" s="360"/>
      <c r="F42" s="360"/>
      <c r="G42" s="360"/>
    </row>
    <row r="43" spans="1:10" ht="32.15" customHeight="1" x14ac:dyDescent="0.35">
      <c r="A43" s="6">
        <v>3</v>
      </c>
      <c r="B43" s="361" t="s">
        <v>478</v>
      </c>
      <c r="C43" s="361"/>
      <c r="D43" s="361"/>
      <c r="E43" s="361"/>
      <c r="F43" s="361"/>
      <c r="G43" s="130"/>
    </row>
    <row r="44" spans="1:10" x14ac:dyDescent="0.35">
      <c r="A44" s="6">
        <v>4</v>
      </c>
      <c r="B44" s="88" t="s">
        <v>503</v>
      </c>
      <c r="C44" s="239"/>
      <c r="D44" s="239"/>
      <c r="E44" s="239"/>
      <c r="F44" s="239"/>
      <c r="G44" s="130"/>
    </row>
    <row r="45" spans="1:10" ht="45" customHeight="1" x14ac:dyDescent="0.35">
      <c r="A45" s="262">
        <v>5</v>
      </c>
      <c r="B45" s="372" t="s">
        <v>566</v>
      </c>
      <c r="C45" s="372"/>
      <c r="D45" s="372"/>
      <c r="E45" s="372"/>
      <c r="F45" s="372"/>
      <c r="G45" s="88"/>
    </row>
    <row r="46" spans="1:10" ht="56.4" customHeight="1" x14ac:dyDescent="0.35">
      <c r="A46" s="219"/>
    </row>
    <row r="47" spans="1:10" ht="49.4" customHeight="1" x14ac:dyDescent="0.35">
      <c r="A47" s="219"/>
      <c r="B47" s="359"/>
      <c r="C47" s="359"/>
      <c r="D47" s="359"/>
      <c r="E47" s="359"/>
      <c r="F47" s="130"/>
      <c r="G47" s="130"/>
    </row>
  </sheetData>
  <mergeCells count="5">
    <mergeCell ref="B47:E47"/>
    <mergeCell ref="B45:F45"/>
    <mergeCell ref="B43:F43"/>
    <mergeCell ref="B41:G41"/>
    <mergeCell ref="B42:G42"/>
  </mergeCells>
  <phoneticPr fontId="0" type="noConversion"/>
  <printOptions horizontalCentered="1"/>
  <pageMargins left="0.5" right="0.25" top="1" bottom="1" header="0.5" footer="0.5"/>
  <pageSetup scale="80" orientation="portrait" r:id="rId1"/>
  <headerFooter alignWithMargins="0"/>
  <colBreaks count="1" manualBreakCount="1">
    <brk id="7"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N30"/>
  <sheetViews>
    <sheetView zoomScale="130" zoomScaleNormal="130" workbookViewId="0">
      <selection activeCell="B28" sqref="B28:E28"/>
    </sheetView>
  </sheetViews>
  <sheetFormatPr defaultColWidth="8.921875" defaultRowHeight="15.5" x14ac:dyDescent="0.35"/>
  <cols>
    <col min="1" max="1" width="8.07421875" style="2" customWidth="1"/>
    <col min="2" max="2" width="45.921875" style="2" customWidth="1"/>
    <col min="3" max="5" width="13.921875" style="2" customWidth="1"/>
    <col min="6" max="6" width="2.921875" style="2" customWidth="1"/>
    <col min="7" max="7" width="4.921875" style="9" customWidth="1"/>
    <col min="8" max="8" width="24.3828125" style="6" customWidth="1"/>
    <col min="9" max="9" width="12.921875" style="2" bestFit="1" customWidth="1"/>
    <col min="10" max="10" width="9.4609375" style="2" bestFit="1" customWidth="1"/>
    <col min="11" max="11" width="11.3828125" style="2" bestFit="1" customWidth="1"/>
    <col min="12" max="16384" width="8.921875" style="2"/>
  </cols>
  <sheetData>
    <row r="1" spans="1:14" x14ac:dyDescent="0.35">
      <c r="A1" s="10" t="s">
        <v>104</v>
      </c>
      <c r="G1" s="7" t="s">
        <v>167</v>
      </c>
    </row>
    <row r="2" spans="1:14" x14ac:dyDescent="0.35">
      <c r="A2" s="1" t="s">
        <v>117</v>
      </c>
    </row>
    <row r="3" spans="1:14" x14ac:dyDescent="0.35">
      <c r="A3" s="86" t="str">
        <f>+'COS Summary'!A2</f>
        <v>For the Test Year Ended June 30, 2024</v>
      </c>
      <c r="C3" s="87"/>
    </row>
    <row r="6" spans="1:14" ht="18" x14ac:dyDescent="0.4">
      <c r="A6" s="12" t="s">
        <v>78</v>
      </c>
      <c r="B6" s="46"/>
      <c r="C6" s="46"/>
      <c r="D6" s="36"/>
      <c r="E6" s="36"/>
      <c r="F6" s="46"/>
    </row>
    <row r="7" spans="1:14" ht="15" customHeight="1" x14ac:dyDescent="0.35">
      <c r="C7" s="6"/>
      <c r="D7" s="6"/>
      <c r="E7" s="6"/>
      <c r="F7" s="6"/>
    </row>
    <row r="8" spans="1:14" x14ac:dyDescent="0.35">
      <c r="C8" s="6" t="s">
        <v>121</v>
      </c>
      <c r="D8" s="6" t="s">
        <v>4</v>
      </c>
      <c r="E8" s="6" t="s">
        <v>122</v>
      </c>
      <c r="F8" s="6"/>
    </row>
    <row r="9" spans="1:14" ht="16" thickBot="1" x14ac:dyDescent="0.4">
      <c r="A9" s="11" t="s">
        <v>17</v>
      </c>
      <c r="B9" s="11" t="s">
        <v>1</v>
      </c>
      <c r="C9" s="4" t="str">
        <f>+'COS Summary'!D6</f>
        <v>7/1/23-6/30/24</v>
      </c>
      <c r="D9" s="11" t="s">
        <v>124</v>
      </c>
      <c r="E9" s="4" t="str">
        <f>+'COS Summary'!F6</f>
        <v>8/1/25-7/31/26</v>
      </c>
      <c r="F9" s="4"/>
      <c r="G9" s="134" t="s">
        <v>84</v>
      </c>
    </row>
    <row r="10" spans="1:14" x14ac:dyDescent="0.35">
      <c r="D10" s="87"/>
      <c r="E10" s="87"/>
      <c r="F10" s="87"/>
      <c r="G10" s="88"/>
      <c r="H10" s="92"/>
      <c r="I10" s="87"/>
      <c r="J10" s="196"/>
      <c r="K10" s="87"/>
      <c r="L10" s="87"/>
      <c r="M10" s="87"/>
      <c r="N10" s="87"/>
    </row>
    <row r="11" spans="1:14" x14ac:dyDescent="0.35">
      <c r="B11" s="8" t="s">
        <v>201</v>
      </c>
      <c r="C11" s="18">
        <v>633230.25</v>
      </c>
      <c r="D11" s="144">
        <v>-213617.78399999987</v>
      </c>
      <c r="E11" s="141">
        <f>SUM(C11:D11)</f>
        <v>419612.46600000013</v>
      </c>
      <c r="F11" s="87"/>
      <c r="G11" s="88">
        <v>1</v>
      </c>
      <c r="H11" s="234"/>
      <c r="I11" s="228"/>
      <c r="J11" s="87"/>
      <c r="K11" s="87"/>
      <c r="L11" s="87"/>
      <c r="M11" s="87"/>
      <c r="N11" s="87"/>
    </row>
    <row r="12" spans="1:14" hidden="1" x14ac:dyDescent="0.35">
      <c r="B12" s="91" t="s">
        <v>233</v>
      </c>
      <c r="C12" s="18"/>
      <c r="D12" s="144"/>
      <c r="E12" s="141">
        <f>SUM(C12:D12)</f>
        <v>0</v>
      </c>
      <c r="F12" s="87"/>
      <c r="G12" s="88"/>
      <c r="H12" s="92"/>
      <c r="I12" s="228"/>
      <c r="J12" s="87"/>
      <c r="K12" s="87"/>
      <c r="L12" s="87"/>
      <c r="M12" s="87"/>
      <c r="N12" s="87"/>
    </row>
    <row r="13" spans="1:14" x14ac:dyDescent="0.35">
      <c r="B13" s="8" t="s">
        <v>162</v>
      </c>
      <c r="C13" s="18">
        <v>74846.63</v>
      </c>
      <c r="D13" s="144"/>
      <c r="E13" s="144">
        <f>SUM(C13:D13)</f>
        <v>74846.63</v>
      </c>
      <c r="F13" s="152"/>
      <c r="G13" s="133"/>
      <c r="H13" s="92"/>
      <c r="I13" s="268"/>
      <c r="J13" s="87"/>
      <c r="K13" s="87"/>
      <c r="L13" s="87"/>
      <c r="M13" s="87"/>
      <c r="N13" s="87"/>
    </row>
    <row r="14" spans="1:14" x14ac:dyDescent="0.35">
      <c r="B14" s="8" t="s">
        <v>163</v>
      </c>
      <c r="C14" s="18">
        <v>19000</v>
      </c>
      <c r="D14" s="142">
        <f>7500*4-C14</f>
        <v>11000</v>
      </c>
      <c r="E14" s="141">
        <f>SUM(C14:D14)</f>
        <v>30000</v>
      </c>
      <c r="F14" s="87"/>
      <c r="G14" s="88">
        <v>2</v>
      </c>
      <c r="H14" s="92"/>
      <c r="I14" s="87"/>
      <c r="J14" s="155"/>
      <c r="K14" s="87"/>
      <c r="L14" s="87"/>
      <c r="M14" s="87"/>
      <c r="N14" s="87"/>
    </row>
    <row r="15" spans="1:14" hidden="1" x14ac:dyDescent="0.35">
      <c r="B15" s="8" t="s">
        <v>164</v>
      </c>
      <c r="C15" s="18"/>
      <c r="D15" s="142"/>
      <c r="E15" s="141">
        <f t="shared" ref="E15:E21" si="0">SUM(C15:D15)</f>
        <v>0</v>
      </c>
      <c r="F15" s="87"/>
      <c r="G15" s="88"/>
      <c r="H15" s="92"/>
      <c r="I15" s="87"/>
      <c r="J15" s="87"/>
      <c r="K15" s="87"/>
      <c r="L15" s="87"/>
      <c r="M15" s="87"/>
      <c r="N15" s="87"/>
    </row>
    <row r="16" spans="1:14" hidden="1" x14ac:dyDescent="0.35">
      <c r="B16" s="8" t="s">
        <v>165</v>
      </c>
      <c r="C16" s="18"/>
      <c r="D16" s="142"/>
      <c r="E16" s="141">
        <f t="shared" si="0"/>
        <v>0</v>
      </c>
      <c r="F16" s="87"/>
      <c r="G16" s="88"/>
      <c r="H16" s="92"/>
      <c r="I16" s="87"/>
      <c r="J16" s="87"/>
      <c r="K16" s="87"/>
      <c r="L16" s="87"/>
      <c r="M16" s="87"/>
      <c r="N16" s="87"/>
    </row>
    <row r="17" spans="1:14" hidden="1" x14ac:dyDescent="0.35">
      <c r="B17" s="91" t="s">
        <v>435</v>
      </c>
      <c r="C17" s="18"/>
      <c r="D17" s="142"/>
      <c r="E17" s="141">
        <f t="shared" si="0"/>
        <v>0</v>
      </c>
      <c r="F17" s="87"/>
      <c r="G17" s="88"/>
      <c r="H17" s="92"/>
      <c r="I17" s="87"/>
      <c r="J17" s="87"/>
      <c r="K17" s="87"/>
      <c r="L17" s="87"/>
      <c r="M17" s="87"/>
      <c r="N17" s="87"/>
    </row>
    <row r="18" spans="1:14" x14ac:dyDescent="0.35">
      <c r="B18" s="8" t="s">
        <v>166</v>
      </c>
      <c r="C18" s="18">
        <v>33611.54</v>
      </c>
      <c r="D18" s="142"/>
      <c r="E18" s="144">
        <f t="shared" si="0"/>
        <v>33611.54</v>
      </c>
      <c r="F18" s="87"/>
      <c r="G18" s="88"/>
      <c r="H18" s="88"/>
      <c r="I18" s="87"/>
      <c r="J18" s="87"/>
      <c r="K18" s="87"/>
      <c r="L18" s="87"/>
      <c r="M18" s="87"/>
      <c r="N18" s="87"/>
    </row>
    <row r="19" spans="1:14" x14ac:dyDescent="0.35">
      <c r="B19" s="91" t="s">
        <v>234</v>
      </c>
      <c r="C19" s="18">
        <v>650060.73</v>
      </c>
      <c r="D19" s="142">
        <f>63782+441699-C19</f>
        <v>-144579.72999999998</v>
      </c>
      <c r="E19" s="144">
        <f t="shared" si="0"/>
        <v>505481</v>
      </c>
      <c r="F19" s="87"/>
      <c r="G19" s="88">
        <v>3</v>
      </c>
      <c r="H19" s="92"/>
      <c r="I19" s="228"/>
      <c r="J19" s="87"/>
      <c r="K19" s="87"/>
      <c r="L19" s="87"/>
      <c r="M19" s="87"/>
      <c r="N19" s="87"/>
    </row>
    <row r="20" spans="1:14" x14ac:dyDescent="0.35">
      <c r="B20" s="91" t="s">
        <v>41</v>
      </c>
      <c r="C20" s="18">
        <v>25.34</v>
      </c>
      <c r="D20" s="142"/>
      <c r="E20" s="144">
        <f t="shared" si="0"/>
        <v>25.34</v>
      </c>
      <c r="F20" s="87"/>
      <c r="G20" s="88"/>
      <c r="H20" s="87"/>
      <c r="I20" s="87"/>
      <c r="J20" s="155"/>
      <c r="K20" s="87"/>
      <c r="L20" s="87"/>
      <c r="M20" s="87"/>
      <c r="N20" s="87"/>
    </row>
    <row r="21" spans="1:14" x14ac:dyDescent="0.35">
      <c r="B21" s="91" t="s">
        <v>165</v>
      </c>
      <c r="C21" s="18">
        <v>403372.17</v>
      </c>
      <c r="D21" s="142">
        <f>90024-C21</f>
        <v>-313348.17</v>
      </c>
      <c r="E21" s="144">
        <f t="shared" si="0"/>
        <v>90024</v>
      </c>
      <c r="F21" s="87"/>
      <c r="G21" s="9">
        <v>4</v>
      </c>
      <c r="H21" s="234"/>
      <c r="I21" s="87"/>
      <c r="J21" s="155"/>
      <c r="K21" s="87"/>
      <c r="L21" s="87"/>
      <c r="M21" s="87"/>
      <c r="N21" s="87"/>
    </row>
    <row r="22" spans="1:14" x14ac:dyDescent="0.35">
      <c r="A22" s="6">
        <v>421</v>
      </c>
      <c r="B22" s="34" t="s">
        <v>179</v>
      </c>
      <c r="C22" s="50">
        <f>SUM(C10:C21)</f>
        <v>1814146.66</v>
      </c>
      <c r="D22" s="140">
        <f>SUM(D10:D21)</f>
        <v>-660545.68399999989</v>
      </c>
      <c r="E22" s="140">
        <f>SUM(C22:D22)</f>
        <v>1153600.976</v>
      </c>
      <c r="F22" s="152"/>
      <c r="G22" s="133"/>
      <c r="H22" s="92"/>
      <c r="I22" s="218"/>
      <c r="J22" s="87"/>
      <c r="K22" s="87"/>
      <c r="L22" s="87"/>
      <c r="M22" s="87"/>
      <c r="N22" s="87"/>
    </row>
    <row r="23" spans="1:14" x14ac:dyDescent="0.35">
      <c r="A23" s="6"/>
      <c r="C23" s="44"/>
      <c r="D23" s="44"/>
      <c r="E23" s="44"/>
      <c r="F23" s="48"/>
      <c r="G23" s="28"/>
      <c r="I23" s="52"/>
      <c r="K23" s="87"/>
    </row>
    <row r="24" spans="1:14" x14ac:dyDescent="0.35">
      <c r="A24" s="6"/>
      <c r="C24" s="44"/>
      <c r="D24" s="44"/>
      <c r="E24" s="44"/>
      <c r="F24" s="48"/>
      <c r="G24" s="28"/>
      <c r="I24" s="52"/>
    </row>
    <row r="25" spans="1:14" x14ac:dyDescent="0.35">
      <c r="A25" s="2" t="s">
        <v>87</v>
      </c>
      <c r="B25" s="156"/>
      <c r="C25" s="48"/>
      <c r="D25" s="48"/>
      <c r="E25" s="48"/>
      <c r="F25" s="48"/>
    </row>
    <row r="26" spans="1:14" x14ac:dyDescent="0.35">
      <c r="A26" s="262">
        <v>1</v>
      </c>
      <c r="B26" s="88" t="s">
        <v>502</v>
      </c>
    </row>
    <row r="27" spans="1:14" x14ac:dyDescent="0.35">
      <c r="A27" s="262">
        <v>2</v>
      </c>
      <c r="B27" s="87" t="s">
        <v>580</v>
      </c>
    </row>
    <row r="28" spans="1:14" ht="47.15" customHeight="1" x14ac:dyDescent="0.35">
      <c r="A28" s="262">
        <v>3</v>
      </c>
      <c r="B28" s="370" t="s">
        <v>581</v>
      </c>
      <c r="C28" s="370"/>
      <c r="D28" s="370"/>
      <c r="E28" s="370"/>
    </row>
    <row r="29" spans="1:14" x14ac:dyDescent="0.35">
      <c r="A29" s="262">
        <v>4</v>
      </c>
      <c r="B29" s="88" t="s">
        <v>504</v>
      </c>
    </row>
    <row r="30" spans="1:14" x14ac:dyDescent="0.35">
      <c r="A30" s="87"/>
      <c r="B30" s="87"/>
    </row>
  </sheetData>
  <mergeCells count="1">
    <mergeCell ref="B28:E28"/>
  </mergeCells>
  <phoneticPr fontId="6" type="noConversion"/>
  <pageMargins left="0.5" right="0.25" top="1" bottom="1" header="0.5" footer="0.5"/>
  <pageSetup scale="8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52157-5327-4EF6-BA97-9ED6E36E0E57}">
  <dimension ref="A1:L416"/>
  <sheetViews>
    <sheetView zoomScale="130" zoomScaleNormal="130" workbookViewId="0">
      <selection activeCell="C27" sqref="C27"/>
    </sheetView>
  </sheetViews>
  <sheetFormatPr defaultColWidth="8.921875" defaultRowHeight="15.5" x14ac:dyDescent="0.35"/>
  <cols>
    <col min="1" max="1" width="7.921875" style="87" customWidth="1"/>
    <col min="2" max="2" width="39.921875" style="87" bestFit="1" customWidth="1"/>
    <col min="3" max="3" width="13.921875" style="87" customWidth="1"/>
    <col min="4" max="4" width="12.07421875" style="87" bestFit="1" customWidth="1"/>
    <col min="5" max="5" width="12.921875" style="87" bestFit="1" customWidth="1"/>
    <col min="6" max="6" width="2.921875" style="87" customWidth="1"/>
    <col min="7" max="7" width="6.921875" style="87" customWidth="1"/>
    <col min="8" max="8" width="12.4609375" style="87" bestFit="1" customWidth="1"/>
    <col min="9" max="9" width="15.07421875" style="87" bestFit="1" customWidth="1"/>
    <col min="10" max="13" width="12.07421875" style="87" customWidth="1"/>
    <col min="14" max="14" width="13.4609375" style="87" customWidth="1"/>
    <col min="15" max="16384" width="8.921875" style="87"/>
  </cols>
  <sheetData>
    <row r="1" spans="1:10" x14ac:dyDescent="0.35">
      <c r="A1" s="10" t="s">
        <v>104</v>
      </c>
      <c r="G1" s="22" t="s">
        <v>161</v>
      </c>
    </row>
    <row r="2" spans="1:10" x14ac:dyDescent="0.35">
      <c r="A2" s="1" t="s">
        <v>117</v>
      </c>
    </row>
    <row r="3" spans="1:10" x14ac:dyDescent="0.35">
      <c r="A3" s="86" t="str">
        <f>+'COS Summary'!A2</f>
        <v>For the Test Year Ended June 30, 2024</v>
      </c>
    </row>
    <row r="6" spans="1:10" ht="18" x14ac:dyDescent="0.4">
      <c r="A6" s="12" t="s">
        <v>81</v>
      </c>
      <c r="B6" s="136"/>
      <c r="C6" s="136"/>
      <c r="D6" s="36"/>
      <c r="E6" s="36"/>
    </row>
    <row r="7" spans="1:10" x14ac:dyDescent="0.35">
      <c r="C7" s="92"/>
      <c r="D7" s="92"/>
      <c r="E7" s="92"/>
    </row>
    <row r="8" spans="1:10" x14ac:dyDescent="0.35">
      <c r="C8" s="92" t="s">
        <v>121</v>
      </c>
      <c r="D8" s="92" t="s">
        <v>4</v>
      </c>
      <c r="E8" s="92" t="s">
        <v>122</v>
      </c>
    </row>
    <row r="9" spans="1:10" ht="16" thickBot="1" x14ac:dyDescent="0.4">
      <c r="B9" s="137" t="s">
        <v>1</v>
      </c>
      <c r="C9" s="138" t="str">
        <f>+'COS Summary'!D6</f>
        <v>7/1/23-6/30/24</v>
      </c>
      <c r="D9" s="139" t="s">
        <v>124</v>
      </c>
      <c r="E9" s="138" t="str">
        <f>+'COS Summary'!F6</f>
        <v>8/1/25-7/31/26</v>
      </c>
      <c r="F9" s="246"/>
      <c r="G9" s="246" t="s">
        <v>84</v>
      </c>
      <c r="H9" s="106"/>
    </row>
    <row r="10" spans="1:10" x14ac:dyDescent="0.35">
      <c r="B10" s="3"/>
    </row>
    <row r="11" spans="1:10" x14ac:dyDescent="0.35">
      <c r="A11" s="87">
        <v>427</v>
      </c>
      <c r="B11" s="30" t="s">
        <v>80</v>
      </c>
      <c r="C11" s="96"/>
      <c r="D11" s="96"/>
      <c r="E11" s="96"/>
      <c r="H11" s="92"/>
    </row>
    <row r="12" spans="1:10" x14ac:dyDescent="0.35">
      <c r="B12" s="88" t="s">
        <v>371</v>
      </c>
      <c r="C12" s="142">
        <v>2000997.78</v>
      </c>
      <c r="D12" s="142">
        <v>-248386.15</v>
      </c>
      <c r="E12" s="142">
        <f>SUM(C12:D12)</f>
        <v>1752611.6300000001</v>
      </c>
      <c r="H12" s="230"/>
      <c r="I12" s="218"/>
    </row>
    <row r="13" spans="1:10" x14ac:dyDescent="0.35">
      <c r="B13" s="88" t="s">
        <v>498</v>
      </c>
      <c r="C13" s="142"/>
      <c r="D13" s="142">
        <v>100000</v>
      </c>
      <c r="E13" s="142">
        <f>SUM(C13:D13)</f>
        <v>100000</v>
      </c>
      <c r="H13" s="226"/>
      <c r="I13" s="218"/>
    </row>
    <row r="14" spans="1:10" x14ac:dyDescent="0.35">
      <c r="B14" s="204" t="s">
        <v>338</v>
      </c>
      <c r="C14" s="334">
        <f>SUM(C12:C13)</f>
        <v>2000997.78</v>
      </c>
      <c r="D14" s="334">
        <f>SUM(D12:D13)</f>
        <v>-148386.15</v>
      </c>
      <c r="E14" s="334">
        <f>SUM(E12:E13)</f>
        <v>1852611.6300000001</v>
      </c>
    </row>
    <row r="15" spans="1:10" x14ac:dyDescent="0.35">
      <c r="C15" s="144"/>
      <c r="D15" s="144"/>
      <c r="E15" s="144"/>
      <c r="H15" s="92"/>
      <c r="I15" s="218"/>
    </row>
    <row r="16" spans="1:10" x14ac:dyDescent="0.35">
      <c r="A16" s="87">
        <v>427</v>
      </c>
      <c r="B16" s="29" t="s">
        <v>202</v>
      </c>
      <c r="C16" s="335"/>
      <c r="D16" s="335"/>
      <c r="E16" s="335"/>
      <c r="H16" s="92"/>
      <c r="I16" s="218"/>
      <c r="J16" s="98"/>
    </row>
    <row r="17" spans="1:10" x14ac:dyDescent="0.35">
      <c r="B17" s="88" t="s">
        <v>246</v>
      </c>
      <c r="C17" s="142">
        <v>297156.26</v>
      </c>
      <c r="D17" s="142">
        <v>-53978.91</v>
      </c>
      <c r="E17" s="142">
        <f>+C17+D17</f>
        <v>243177.35</v>
      </c>
      <c r="H17" s="238"/>
      <c r="I17" s="52"/>
    </row>
    <row r="18" spans="1:10" x14ac:dyDescent="0.35">
      <c r="B18" s="88" t="s">
        <v>247</v>
      </c>
      <c r="C18" s="142">
        <v>26600</v>
      </c>
      <c r="D18" s="142">
        <v>-26600</v>
      </c>
      <c r="E18" s="142">
        <f>+C18+D18</f>
        <v>0</v>
      </c>
      <c r="G18" s="87">
        <v>1</v>
      </c>
      <c r="H18" s="92"/>
      <c r="I18" s="52"/>
      <c r="J18" s="98"/>
    </row>
    <row r="19" spans="1:10" x14ac:dyDescent="0.35">
      <c r="B19" s="88" t="s">
        <v>248</v>
      </c>
      <c r="C19" s="142">
        <v>164000</v>
      </c>
      <c r="D19" s="142">
        <v>-34104.17</v>
      </c>
      <c r="E19" s="142">
        <f t="shared" ref="E19:E21" si="0">+C19+D19</f>
        <v>129895.83</v>
      </c>
      <c r="H19" s="92"/>
      <c r="I19" s="52"/>
    </row>
    <row r="20" spans="1:10" x14ac:dyDescent="0.35">
      <c r="B20" s="88" t="s">
        <v>249</v>
      </c>
      <c r="C20" s="142">
        <v>128272.5</v>
      </c>
      <c r="D20" s="142">
        <v>-28068.83</v>
      </c>
      <c r="E20" s="142">
        <f t="shared" si="0"/>
        <v>100203.67</v>
      </c>
      <c r="H20" s="92"/>
      <c r="I20" s="52"/>
    </row>
    <row r="21" spans="1:10" x14ac:dyDescent="0.35">
      <c r="B21" s="88" t="s">
        <v>427</v>
      </c>
      <c r="C21" s="142">
        <v>902250</v>
      </c>
      <c r="D21" s="142"/>
      <c r="E21" s="142">
        <f t="shared" si="0"/>
        <v>902250</v>
      </c>
      <c r="H21" s="238"/>
      <c r="I21" s="52"/>
    </row>
    <row r="22" spans="1:10" x14ac:dyDescent="0.35">
      <c r="B22" s="202" t="s">
        <v>339</v>
      </c>
      <c r="C22" s="334">
        <f>SUM(C17:C21)</f>
        <v>1518278.76</v>
      </c>
      <c r="D22" s="334">
        <f>SUM(D17:D21)</f>
        <v>-142751.91</v>
      </c>
      <c r="E22" s="334">
        <f>SUM(E17:E21)</f>
        <v>1375526.85</v>
      </c>
      <c r="H22" s="92"/>
      <c r="I22" s="218"/>
    </row>
    <row r="23" spans="1:10" ht="15.75" customHeight="1" x14ac:dyDescent="0.35">
      <c r="B23" s="143"/>
      <c r="C23" s="144"/>
      <c r="D23" s="144"/>
      <c r="E23" s="144"/>
      <c r="H23" s="92"/>
    </row>
    <row r="24" spans="1:10" x14ac:dyDescent="0.35">
      <c r="B24" s="204" t="s">
        <v>341</v>
      </c>
      <c r="C24" s="233">
        <f>+C22+C14</f>
        <v>3519276.54</v>
      </c>
      <c r="D24" s="233">
        <f>+D22+D14</f>
        <v>-291138.06</v>
      </c>
      <c r="E24" s="233">
        <f>+E22+E14</f>
        <v>3228138.4800000004</v>
      </c>
      <c r="H24" s="92"/>
    </row>
    <row r="25" spans="1:10" ht="15.75" customHeight="1" x14ac:dyDescent="0.35">
      <c r="C25" s="144"/>
      <c r="D25" s="144"/>
      <c r="E25" s="144"/>
      <c r="H25" s="92"/>
    </row>
    <row r="26" spans="1:10" ht="15.75" customHeight="1" x14ac:dyDescent="0.35">
      <c r="A26" s="87">
        <v>428</v>
      </c>
      <c r="B26" s="30" t="s">
        <v>342</v>
      </c>
      <c r="C26" s="144"/>
      <c r="D26" s="144"/>
      <c r="E26" s="144"/>
      <c r="H26" s="92"/>
    </row>
    <row r="27" spans="1:10" ht="15.75" customHeight="1" x14ac:dyDescent="0.35">
      <c r="B27" s="88" t="s">
        <v>343</v>
      </c>
      <c r="C27" s="144">
        <v>67581.919999999998</v>
      </c>
      <c r="D27" s="144">
        <v>5214.58</v>
      </c>
      <c r="E27" s="142">
        <f>+D27+C27</f>
        <v>72796.5</v>
      </c>
      <c r="G27" s="336"/>
      <c r="H27" s="92"/>
    </row>
    <row r="28" spans="1:10" x14ac:dyDescent="0.35">
      <c r="B28" s="88" t="s">
        <v>432</v>
      </c>
      <c r="C28" s="144">
        <v>23641</v>
      </c>
      <c r="D28" s="144">
        <v>8294.7000000000007</v>
      </c>
      <c r="E28" s="142">
        <f>+C28+D28</f>
        <v>31935.7</v>
      </c>
      <c r="G28" s="336"/>
      <c r="H28" s="92"/>
    </row>
    <row r="29" spans="1:10" ht="15.75" customHeight="1" x14ac:dyDescent="0.35">
      <c r="B29" s="88" t="s">
        <v>248</v>
      </c>
      <c r="C29" s="144">
        <v>42719.040000000001</v>
      </c>
      <c r="D29" s="144">
        <v>3926.08</v>
      </c>
      <c r="E29" s="142">
        <f>+C29+D29</f>
        <v>46645.120000000003</v>
      </c>
      <c r="G29" s="336"/>
      <c r="H29" s="92"/>
    </row>
    <row r="30" spans="1:10" ht="15.75" customHeight="1" x14ac:dyDescent="0.35">
      <c r="B30" s="204" t="s">
        <v>344</v>
      </c>
      <c r="C30" s="233">
        <f>SUM(C27:C29)</f>
        <v>133941.96</v>
      </c>
      <c r="D30" s="233">
        <f>SUM(D27:D29)</f>
        <v>17435.36</v>
      </c>
      <c r="E30" s="233">
        <f>SUM(E27:E29)</f>
        <v>151377.32</v>
      </c>
      <c r="H30" s="92"/>
    </row>
    <row r="31" spans="1:10" ht="15.75" customHeight="1" x14ac:dyDescent="0.35">
      <c r="C31" s="144"/>
      <c r="D31" s="144"/>
      <c r="E31" s="144"/>
      <c r="H31" s="92"/>
    </row>
    <row r="32" spans="1:10" x14ac:dyDescent="0.35">
      <c r="A32" s="87">
        <v>428</v>
      </c>
      <c r="B32" s="30" t="s">
        <v>465</v>
      </c>
      <c r="C32" s="144"/>
      <c r="D32" s="144"/>
      <c r="E32" s="144"/>
      <c r="H32" s="92"/>
    </row>
    <row r="33" spans="1:8" ht="15.75" customHeight="1" x14ac:dyDescent="0.35">
      <c r="B33" s="88" t="s">
        <v>426</v>
      </c>
      <c r="C33" s="144">
        <v>46499.743999999999</v>
      </c>
      <c r="D33" s="144">
        <v>-1543</v>
      </c>
      <c r="E33" s="142">
        <f>+D33+C33</f>
        <v>44956.743999999999</v>
      </c>
      <c r="G33" s="337"/>
      <c r="H33" s="92"/>
    </row>
    <row r="34" spans="1:8" ht="15.75" customHeight="1" x14ac:dyDescent="0.35">
      <c r="B34" s="204" t="s">
        <v>344</v>
      </c>
      <c r="C34" s="233">
        <f>+C33</f>
        <v>46499.743999999999</v>
      </c>
      <c r="D34" s="233">
        <f>+D33</f>
        <v>-1543</v>
      </c>
      <c r="E34" s="233">
        <f>+E33</f>
        <v>44956.743999999999</v>
      </c>
      <c r="H34" s="92"/>
    </row>
    <row r="35" spans="1:8" ht="15.75" customHeight="1" x14ac:dyDescent="0.35">
      <c r="C35" s="144"/>
      <c r="D35" s="144"/>
      <c r="E35" s="144"/>
      <c r="H35" s="92"/>
    </row>
    <row r="36" spans="1:8" ht="15.75" customHeight="1" x14ac:dyDescent="0.35">
      <c r="A36" s="87">
        <v>429</v>
      </c>
      <c r="B36" s="30" t="s">
        <v>345</v>
      </c>
      <c r="C36" s="144"/>
      <c r="D36" s="144"/>
      <c r="E36" s="144"/>
      <c r="H36" s="92"/>
    </row>
    <row r="37" spans="1:8" ht="15.75" customHeight="1" x14ac:dyDescent="0.35">
      <c r="B37" s="88" t="s">
        <v>346</v>
      </c>
      <c r="C37" s="144">
        <v>-392</v>
      </c>
      <c r="D37" s="144">
        <v>-39</v>
      </c>
      <c r="E37" s="142">
        <f>+D37+C37</f>
        <v>-431</v>
      </c>
      <c r="G37" s="336"/>
      <c r="H37" s="92"/>
    </row>
    <row r="38" spans="1:8" ht="15.75" customHeight="1" x14ac:dyDescent="0.35">
      <c r="B38" s="88" t="s">
        <v>347</v>
      </c>
      <c r="C38" s="144">
        <v>-169062</v>
      </c>
      <c r="D38" s="144">
        <v>5606.87</v>
      </c>
      <c r="E38" s="142">
        <f t="shared" ref="E38:E48" si="1">+D38+C38</f>
        <v>-163455.13</v>
      </c>
      <c r="G38" s="336"/>
      <c r="H38" s="92"/>
    </row>
    <row r="39" spans="1:8" ht="15.75" customHeight="1" x14ac:dyDescent="0.35">
      <c r="B39" s="88" t="s">
        <v>348</v>
      </c>
      <c r="C39" s="144">
        <v>-19943.96</v>
      </c>
      <c r="D39" s="144">
        <v>-1661.54</v>
      </c>
      <c r="E39" s="142">
        <f t="shared" si="1"/>
        <v>-21605.5</v>
      </c>
      <c r="G39" s="336"/>
      <c r="H39" s="92"/>
    </row>
    <row r="40" spans="1:8" ht="15.75" customHeight="1" x14ac:dyDescent="0.35">
      <c r="B40" s="88" t="s">
        <v>349</v>
      </c>
      <c r="C40" s="144">
        <v>-51455.96</v>
      </c>
      <c r="D40" s="144">
        <v>-6200.92</v>
      </c>
      <c r="E40" s="142">
        <f t="shared" si="1"/>
        <v>-57656.88</v>
      </c>
      <c r="G40" s="336"/>
      <c r="H40" s="92"/>
    </row>
    <row r="41" spans="1:8" ht="15.75" customHeight="1" x14ac:dyDescent="0.35">
      <c r="B41" s="88" t="s">
        <v>350</v>
      </c>
      <c r="C41" s="144">
        <v>-18144.8</v>
      </c>
      <c r="D41" s="144">
        <v>-1643.46</v>
      </c>
      <c r="E41" s="142">
        <f t="shared" si="1"/>
        <v>-19788.259999999998</v>
      </c>
      <c r="G41" s="336"/>
      <c r="H41" s="92"/>
    </row>
    <row r="42" spans="1:8" ht="15.75" customHeight="1" x14ac:dyDescent="0.35">
      <c r="B42" s="88" t="s">
        <v>351</v>
      </c>
      <c r="C42" s="144">
        <v>-12022.56</v>
      </c>
      <c r="D42" s="144">
        <v>-1138.06</v>
      </c>
      <c r="E42" s="142">
        <f t="shared" si="1"/>
        <v>-13160.619999999999</v>
      </c>
      <c r="G42" s="336"/>
      <c r="H42" s="92"/>
    </row>
    <row r="43" spans="1:8" ht="15.75" customHeight="1" x14ac:dyDescent="0.35">
      <c r="B43" s="88" t="s">
        <v>372</v>
      </c>
      <c r="C43" s="144">
        <v>-19295.16</v>
      </c>
      <c r="D43" s="144">
        <v>-1990.98</v>
      </c>
      <c r="E43" s="142">
        <f t="shared" si="1"/>
        <v>-21286.14</v>
      </c>
      <c r="G43" s="336"/>
      <c r="H43" s="92"/>
    </row>
    <row r="44" spans="1:8" ht="15.75" customHeight="1" x14ac:dyDescent="0.35">
      <c r="B44" s="88" t="s">
        <v>428</v>
      </c>
      <c r="C44" s="144">
        <v>-15350.4</v>
      </c>
      <c r="D44" s="144">
        <v>-924</v>
      </c>
      <c r="E44" s="142">
        <f t="shared" si="1"/>
        <v>-16274.4</v>
      </c>
      <c r="G44" s="336"/>
      <c r="H44" s="92"/>
    </row>
    <row r="45" spans="1:8" ht="15.75" customHeight="1" x14ac:dyDescent="0.35">
      <c r="B45" s="88" t="s">
        <v>473</v>
      </c>
      <c r="C45" s="144">
        <v>-12364.32</v>
      </c>
      <c r="D45" s="144">
        <v>-1610</v>
      </c>
      <c r="E45" s="142">
        <f t="shared" si="1"/>
        <v>-13974.32</v>
      </c>
      <c r="H45" s="92"/>
    </row>
    <row r="46" spans="1:8" ht="15.75" customHeight="1" x14ac:dyDescent="0.35">
      <c r="B46" s="88" t="s">
        <v>474</v>
      </c>
      <c r="C46" s="144"/>
      <c r="D46" s="144">
        <v>-9567.9599999999991</v>
      </c>
      <c r="E46" s="142">
        <f t="shared" si="1"/>
        <v>-9567.9599999999991</v>
      </c>
      <c r="H46" s="92"/>
    </row>
    <row r="47" spans="1:8" ht="15.75" customHeight="1" x14ac:dyDescent="0.35">
      <c r="B47" s="88" t="s">
        <v>475</v>
      </c>
      <c r="C47" s="144"/>
      <c r="D47" s="144">
        <v>-10547.38</v>
      </c>
      <c r="E47" s="142">
        <f t="shared" si="1"/>
        <v>-10547.38</v>
      </c>
      <c r="H47" s="92"/>
    </row>
    <row r="48" spans="1:8" ht="15.75" customHeight="1" x14ac:dyDescent="0.35">
      <c r="B48" s="88" t="s">
        <v>500</v>
      </c>
      <c r="C48" s="144"/>
      <c r="D48" s="144">
        <v>-11744.12</v>
      </c>
      <c r="E48" s="142">
        <f t="shared" si="1"/>
        <v>-11744.12</v>
      </c>
      <c r="H48" s="92"/>
    </row>
    <row r="49" spans="1:12" ht="15.75" customHeight="1" x14ac:dyDescent="0.35">
      <c r="B49" s="231" t="s">
        <v>352</v>
      </c>
      <c r="C49" s="334">
        <f>SUM(C37:C47)</f>
        <v>-318031.15999999997</v>
      </c>
      <c r="D49" s="334">
        <f>SUM(D37:D48)</f>
        <v>-41460.550000000003</v>
      </c>
      <c r="E49" s="334">
        <f>SUM(E37:E48)</f>
        <v>-359491.71000000008</v>
      </c>
      <c r="G49" s="337"/>
      <c r="H49" s="92"/>
    </row>
    <row r="50" spans="1:12" ht="15.75" customHeight="1" x14ac:dyDescent="0.35">
      <c r="B50" s="88"/>
      <c r="C50" s="144"/>
      <c r="D50" s="144"/>
      <c r="E50" s="144"/>
      <c r="H50" s="92"/>
    </row>
    <row r="51" spans="1:12" x14ac:dyDescent="0.35">
      <c r="B51" s="88" t="s">
        <v>353</v>
      </c>
      <c r="C51" s="144">
        <v>-14758</v>
      </c>
      <c r="D51" s="144">
        <v>-1409</v>
      </c>
      <c r="E51" s="142">
        <f>+D51+C51</f>
        <v>-16167</v>
      </c>
      <c r="G51" s="336"/>
      <c r="H51" s="92"/>
    </row>
    <row r="52" spans="1:12" ht="15.75" customHeight="1" x14ac:dyDescent="0.35">
      <c r="B52" s="88" t="s">
        <v>354</v>
      </c>
      <c r="C52" s="144">
        <v>-31712</v>
      </c>
      <c r="D52" s="144">
        <v>31712</v>
      </c>
      <c r="E52" s="142">
        <f>+D52+C52</f>
        <v>0</v>
      </c>
      <c r="G52" s="336">
        <v>1</v>
      </c>
      <c r="H52" s="92"/>
    </row>
    <row r="53" spans="1:12" x14ac:dyDescent="0.35">
      <c r="B53" s="231" t="s">
        <v>355</v>
      </c>
      <c r="C53" s="334">
        <f>SUM(C51:C52)</f>
        <v>-46470</v>
      </c>
      <c r="D53" s="334">
        <f>SUM(D51:D52)</f>
        <v>30303</v>
      </c>
      <c r="E53" s="334">
        <f>SUM(E51:E52)</f>
        <v>-16167</v>
      </c>
      <c r="G53" s="337"/>
      <c r="H53" s="92"/>
    </row>
    <row r="54" spans="1:12" x14ac:dyDescent="0.35">
      <c r="B54" s="88"/>
      <c r="C54" s="144"/>
      <c r="D54" s="144"/>
      <c r="E54" s="142"/>
      <c r="H54" s="92"/>
      <c r="L54" s="145"/>
    </row>
    <row r="55" spans="1:12" x14ac:dyDescent="0.35">
      <c r="B55" s="204" t="s">
        <v>344</v>
      </c>
      <c r="C55" s="233">
        <f>+C53+C49</f>
        <v>-364501.16</v>
      </c>
      <c r="D55" s="233">
        <f>+D53+D49</f>
        <v>-11157.550000000003</v>
      </c>
      <c r="E55" s="233">
        <f>+E53+E49</f>
        <v>-375658.71000000008</v>
      </c>
      <c r="H55" s="92"/>
    </row>
    <row r="56" spans="1:12" s="1" customFormat="1" x14ac:dyDescent="0.35">
      <c r="A56" s="87"/>
      <c r="B56" s="87"/>
      <c r="C56" s="144"/>
      <c r="D56" s="144"/>
      <c r="E56" s="144"/>
      <c r="F56" s="87"/>
      <c r="G56" s="87"/>
      <c r="H56" s="92"/>
      <c r="I56" s="87"/>
    </row>
    <row r="57" spans="1:12" x14ac:dyDescent="0.35">
      <c r="A57" s="87">
        <v>431</v>
      </c>
      <c r="B57" s="30" t="s">
        <v>356</v>
      </c>
      <c r="C57" s="144"/>
      <c r="D57" s="144"/>
      <c r="E57" s="144"/>
      <c r="H57" s="92"/>
    </row>
    <row r="58" spans="1:12" ht="15.75" customHeight="1" x14ac:dyDescent="0.35">
      <c r="A58" s="1"/>
      <c r="B58" s="88" t="s">
        <v>401</v>
      </c>
      <c r="C58" s="144">
        <v>2592.77</v>
      </c>
      <c r="D58" s="141">
        <v>-2593</v>
      </c>
      <c r="E58" s="141">
        <f>SUM(C58:D58)</f>
        <v>-0.23000000000001819</v>
      </c>
      <c r="G58" s="87">
        <v>2</v>
      </c>
      <c r="H58" s="92"/>
      <c r="I58" s="1"/>
    </row>
    <row r="59" spans="1:12" ht="15.75" customHeight="1" x14ac:dyDescent="0.35">
      <c r="A59" s="1"/>
      <c r="B59" s="88" t="s">
        <v>439</v>
      </c>
      <c r="C59" s="144">
        <v>7200.83</v>
      </c>
      <c r="D59" s="144">
        <v>-2452.34</v>
      </c>
      <c r="E59" s="144">
        <f>SUM(C59:D59)</f>
        <v>4748.49</v>
      </c>
      <c r="H59" s="88"/>
      <c r="I59" s="1"/>
    </row>
    <row r="60" spans="1:12" x14ac:dyDescent="0.35">
      <c r="B60" s="232" t="s">
        <v>337</v>
      </c>
      <c r="C60" s="233">
        <f>SUM(C58:C59)</f>
        <v>9793.6</v>
      </c>
      <c r="D60" s="233">
        <f>SUM(D58:D59)</f>
        <v>-5045.34</v>
      </c>
      <c r="E60" s="233">
        <f>SUM(E58:E59)</f>
        <v>4748.26</v>
      </c>
      <c r="F60" s="1"/>
      <c r="G60" s="1"/>
      <c r="H60" s="32"/>
    </row>
    <row r="61" spans="1:12" x14ac:dyDescent="0.35">
      <c r="C61" s="141"/>
      <c r="D61" s="141"/>
      <c r="E61" s="141"/>
      <c r="H61" s="146"/>
    </row>
    <row r="62" spans="1:12" x14ac:dyDescent="0.35">
      <c r="C62" s="141"/>
      <c r="D62" s="141"/>
      <c r="E62" s="141"/>
      <c r="H62" s="92"/>
    </row>
    <row r="63" spans="1:12" ht="16" thickBot="1" x14ac:dyDescent="0.4">
      <c r="B63" s="15" t="s">
        <v>203</v>
      </c>
      <c r="C63" s="33">
        <f>+C60+C55+C34+C30+C24</f>
        <v>3345010.6839999999</v>
      </c>
      <c r="D63" s="33">
        <f>+D60+D55+D34+D30+D24</f>
        <v>-291448.59000000003</v>
      </c>
      <c r="E63" s="33">
        <f>+E60+E55+E34+E30+E24</f>
        <v>3053562.0940000005</v>
      </c>
      <c r="H63" s="92"/>
    </row>
    <row r="64" spans="1:12" ht="16" thickTop="1" x14ac:dyDescent="0.35">
      <c r="H64" s="92"/>
    </row>
    <row r="65" spans="1:8" x14ac:dyDescent="0.35">
      <c r="C65" s="95"/>
      <c r="H65" s="92"/>
    </row>
    <row r="66" spans="1:8" x14ac:dyDescent="0.35">
      <c r="H66" s="92"/>
    </row>
    <row r="67" spans="1:8" x14ac:dyDescent="0.35">
      <c r="A67" s="87">
        <v>1</v>
      </c>
      <c r="B67" s="87" t="s">
        <v>499</v>
      </c>
      <c r="H67" s="92"/>
    </row>
    <row r="68" spans="1:8" x14ac:dyDescent="0.35">
      <c r="A68" s="87">
        <v>2</v>
      </c>
      <c r="B68" s="87" t="s">
        <v>501</v>
      </c>
      <c r="H68" s="92"/>
    </row>
    <row r="69" spans="1:8" x14ac:dyDescent="0.35">
      <c r="H69" s="92"/>
    </row>
    <row r="70" spans="1:8" x14ac:dyDescent="0.35">
      <c r="H70" s="92"/>
    </row>
    <row r="71" spans="1:8" x14ac:dyDescent="0.35">
      <c r="H71" s="92"/>
    </row>
    <row r="72" spans="1:8" x14ac:dyDescent="0.35">
      <c r="H72" s="92"/>
    </row>
    <row r="73" spans="1:8" x14ac:dyDescent="0.35">
      <c r="H73" s="92"/>
    </row>
    <row r="74" spans="1:8" x14ac:dyDescent="0.35">
      <c r="H74" s="92"/>
    </row>
    <row r="75" spans="1:8" x14ac:dyDescent="0.35">
      <c r="H75" s="92"/>
    </row>
    <row r="76" spans="1:8" x14ac:dyDescent="0.35">
      <c r="H76" s="92"/>
    </row>
    <row r="77" spans="1:8" x14ac:dyDescent="0.35">
      <c r="H77" s="92"/>
    </row>
    <row r="78" spans="1:8" x14ac:dyDescent="0.35">
      <c r="H78" s="92"/>
    </row>
    <row r="79" spans="1:8" x14ac:dyDescent="0.35">
      <c r="H79" s="92"/>
    </row>
    <row r="80" spans="1:8" x14ac:dyDescent="0.35">
      <c r="H80" s="92"/>
    </row>
    <row r="81" spans="8:8" x14ac:dyDescent="0.35">
      <c r="H81" s="92"/>
    </row>
    <row r="82" spans="8:8" x14ac:dyDescent="0.35">
      <c r="H82" s="92"/>
    </row>
    <row r="83" spans="8:8" x14ac:dyDescent="0.35">
      <c r="H83" s="92"/>
    </row>
    <row r="84" spans="8:8" x14ac:dyDescent="0.35">
      <c r="H84" s="92"/>
    </row>
    <row r="85" spans="8:8" x14ac:dyDescent="0.35">
      <c r="H85" s="92"/>
    </row>
    <row r="86" spans="8:8" x14ac:dyDescent="0.35">
      <c r="H86" s="92"/>
    </row>
    <row r="87" spans="8:8" x14ac:dyDescent="0.35">
      <c r="H87" s="92"/>
    </row>
    <row r="88" spans="8:8" x14ac:dyDescent="0.35">
      <c r="H88" s="92"/>
    </row>
    <row r="89" spans="8:8" x14ac:dyDescent="0.35">
      <c r="H89" s="92"/>
    </row>
    <row r="90" spans="8:8" x14ac:dyDescent="0.35">
      <c r="H90" s="92"/>
    </row>
    <row r="91" spans="8:8" x14ac:dyDescent="0.35">
      <c r="H91" s="92"/>
    </row>
    <row r="92" spans="8:8" x14ac:dyDescent="0.35">
      <c r="H92" s="92"/>
    </row>
    <row r="93" spans="8:8" x14ac:dyDescent="0.35">
      <c r="H93" s="92"/>
    </row>
    <row r="94" spans="8:8" x14ac:dyDescent="0.35">
      <c r="H94" s="92"/>
    </row>
    <row r="95" spans="8:8" x14ac:dyDescent="0.35">
      <c r="H95" s="92"/>
    </row>
    <row r="96" spans="8:8" x14ac:dyDescent="0.35">
      <c r="H96" s="92"/>
    </row>
    <row r="97" spans="8:8" x14ac:dyDescent="0.35">
      <c r="H97" s="92"/>
    </row>
    <row r="98" spans="8:8" x14ac:dyDescent="0.35">
      <c r="H98" s="92"/>
    </row>
    <row r="99" spans="8:8" x14ac:dyDescent="0.35">
      <c r="H99" s="92"/>
    </row>
    <row r="100" spans="8:8" x14ac:dyDescent="0.35">
      <c r="H100" s="92"/>
    </row>
    <row r="101" spans="8:8" x14ac:dyDescent="0.35">
      <c r="H101" s="92"/>
    </row>
    <row r="102" spans="8:8" x14ac:dyDescent="0.35">
      <c r="H102" s="92"/>
    </row>
    <row r="103" spans="8:8" x14ac:dyDescent="0.35">
      <c r="H103" s="92"/>
    </row>
    <row r="104" spans="8:8" x14ac:dyDescent="0.35">
      <c r="H104" s="92"/>
    </row>
    <row r="105" spans="8:8" x14ac:dyDescent="0.35">
      <c r="H105" s="92"/>
    </row>
    <row r="106" spans="8:8" x14ac:dyDescent="0.35">
      <c r="H106" s="92"/>
    </row>
    <row r="107" spans="8:8" x14ac:dyDescent="0.35">
      <c r="H107" s="92"/>
    </row>
    <row r="108" spans="8:8" x14ac:dyDescent="0.35">
      <c r="H108" s="92"/>
    </row>
    <row r="109" spans="8:8" x14ac:dyDescent="0.35">
      <c r="H109" s="92"/>
    </row>
    <row r="110" spans="8:8" x14ac:dyDescent="0.35">
      <c r="H110" s="92"/>
    </row>
    <row r="111" spans="8:8" x14ac:dyDescent="0.35">
      <c r="H111" s="92"/>
    </row>
    <row r="112" spans="8:8" x14ac:dyDescent="0.35">
      <c r="H112" s="92"/>
    </row>
    <row r="113" spans="8:8" x14ac:dyDescent="0.35">
      <c r="H113" s="92"/>
    </row>
    <row r="114" spans="8:8" x14ac:dyDescent="0.35">
      <c r="H114" s="92"/>
    </row>
    <row r="115" spans="8:8" x14ac:dyDescent="0.35">
      <c r="H115" s="92"/>
    </row>
    <row r="116" spans="8:8" x14ac:dyDescent="0.35">
      <c r="H116" s="92"/>
    </row>
    <row r="117" spans="8:8" x14ac:dyDescent="0.35">
      <c r="H117" s="92"/>
    </row>
    <row r="118" spans="8:8" x14ac:dyDescent="0.35">
      <c r="H118" s="92"/>
    </row>
    <row r="119" spans="8:8" x14ac:dyDescent="0.35">
      <c r="H119" s="92"/>
    </row>
    <row r="120" spans="8:8" x14ac:dyDescent="0.35">
      <c r="H120" s="92"/>
    </row>
    <row r="121" spans="8:8" x14ac:dyDescent="0.35">
      <c r="H121" s="92"/>
    </row>
    <row r="122" spans="8:8" x14ac:dyDescent="0.35">
      <c r="H122" s="92"/>
    </row>
    <row r="123" spans="8:8" x14ac:dyDescent="0.35">
      <c r="H123" s="92"/>
    </row>
    <row r="124" spans="8:8" x14ac:dyDescent="0.35">
      <c r="H124" s="92"/>
    </row>
    <row r="125" spans="8:8" x14ac:dyDescent="0.35">
      <c r="H125" s="92"/>
    </row>
    <row r="126" spans="8:8" x14ac:dyDescent="0.35">
      <c r="H126" s="92"/>
    </row>
    <row r="127" spans="8:8" x14ac:dyDescent="0.35">
      <c r="H127" s="92"/>
    </row>
    <row r="128" spans="8:8" x14ac:dyDescent="0.35">
      <c r="H128" s="92"/>
    </row>
    <row r="129" spans="8:8" x14ac:dyDescent="0.35">
      <c r="H129" s="92"/>
    </row>
    <row r="130" spans="8:8" x14ac:dyDescent="0.35">
      <c r="H130" s="92"/>
    </row>
    <row r="131" spans="8:8" x14ac:dyDescent="0.35">
      <c r="H131" s="92"/>
    </row>
    <row r="132" spans="8:8" x14ac:dyDescent="0.35">
      <c r="H132" s="92"/>
    </row>
    <row r="133" spans="8:8" x14ac:dyDescent="0.35">
      <c r="H133" s="92"/>
    </row>
    <row r="134" spans="8:8" x14ac:dyDescent="0.35">
      <c r="H134" s="92"/>
    </row>
    <row r="135" spans="8:8" x14ac:dyDescent="0.35">
      <c r="H135" s="92"/>
    </row>
    <row r="136" spans="8:8" x14ac:dyDescent="0.35">
      <c r="H136" s="92"/>
    </row>
    <row r="137" spans="8:8" x14ac:dyDescent="0.35">
      <c r="H137" s="92"/>
    </row>
    <row r="138" spans="8:8" x14ac:dyDescent="0.35">
      <c r="H138" s="92"/>
    </row>
    <row r="139" spans="8:8" x14ac:dyDescent="0.35">
      <c r="H139" s="92"/>
    </row>
    <row r="140" spans="8:8" x14ac:dyDescent="0.35">
      <c r="H140" s="92"/>
    </row>
    <row r="141" spans="8:8" x14ac:dyDescent="0.35">
      <c r="H141" s="92"/>
    </row>
    <row r="142" spans="8:8" x14ac:dyDescent="0.35">
      <c r="H142" s="92"/>
    </row>
    <row r="143" spans="8:8" x14ac:dyDescent="0.35">
      <c r="H143" s="92"/>
    </row>
    <row r="144" spans="8:8" x14ac:dyDescent="0.35">
      <c r="H144" s="92"/>
    </row>
    <row r="145" spans="8:8" x14ac:dyDescent="0.35">
      <c r="H145" s="92"/>
    </row>
    <row r="146" spans="8:8" x14ac:dyDescent="0.35">
      <c r="H146" s="92"/>
    </row>
    <row r="147" spans="8:8" x14ac:dyDescent="0.35">
      <c r="H147" s="92"/>
    </row>
    <row r="148" spans="8:8" x14ac:dyDescent="0.35">
      <c r="H148" s="92"/>
    </row>
    <row r="149" spans="8:8" x14ac:dyDescent="0.35">
      <c r="H149" s="92"/>
    </row>
    <row r="150" spans="8:8" x14ac:dyDescent="0.35">
      <c r="H150" s="92"/>
    </row>
    <row r="151" spans="8:8" x14ac:dyDescent="0.35">
      <c r="H151" s="92"/>
    </row>
    <row r="152" spans="8:8" x14ac:dyDescent="0.35">
      <c r="H152" s="92"/>
    </row>
    <row r="153" spans="8:8" x14ac:dyDescent="0.35">
      <c r="H153" s="92"/>
    </row>
    <row r="154" spans="8:8" x14ac:dyDescent="0.35">
      <c r="H154" s="92"/>
    </row>
    <row r="155" spans="8:8" x14ac:dyDescent="0.35">
      <c r="H155" s="92"/>
    </row>
    <row r="156" spans="8:8" x14ac:dyDescent="0.35">
      <c r="H156" s="92"/>
    </row>
    <row r="157" spans="8:8" x14ac:dyDescent="0.35">
      <c r="H157" s="92"/>
    </row>
    <row r="158" spans="8:8" x14ac:dyDescent="0.35">
      <c r="H158" s="92"/>
    </row>
    <row r="159" spans="8:8" x14ac:dyDescent="0.35">
      <c r="H159" s="92"/>
    </row>
    <row r="160" spans="8:8" x14ac:dyDescent="0.35">
      <c r="H160" s="92"/>
    </row>
    <row r="161" spans="8:8" x14ac:dyDescent="0.35">
      <c r="H161" s="92"/>
    </row>
    <row r="162" spans="8:8" x14ac:dyDescent="0.35">
      <c r="H162" s="92"/>
    </row>
    <row r="163" spans="8:8" x14ac:dyDescent="0.35">
      <c r="H163" s="92"/>
    </row>
    <row r="164" spans="8:8" x14ac:dyDescent="0.35">
      <c r="H164" s="92"/>
    </row>
    <row r="165" spans="8:8" x14ac:dyDescent="0.35">
      <c r="H165" s="92"/>
    </row>
    <row r="166" spans="8:8" x14ac:dyDescent="0.35">
      <c r="H166" s="92"/>
    </row>
    <row r="167" spans="8:8" x14ac:dyDescent="0.35">
      <c r="H167" s="92"/>
    </row>
    <row r="168" spans="8:8" x14ac:dyDescent="0.35">
      <c r="H168" s="92"/>
    </row>
    <row r="169" spans="8:8" x14ac:dyDescent="0.35">
      <c r="H169" s="92"/>
    </row>
    <row r="170" spans="8:8" x14ac:dyDescent="0.35">
      <c r="H170" s="92"/>
    </row>
    <row r="171" spans="8:8" x14ac:dyDescent="0.35">
      <c r="H171" s="92"/>
    </row>
    <row r="172" spans="8:8" x14ac:dyDescent="0.35">
      <c r="H172" s="92"/>
    </row>
    <row r="173" spans="8:8" x14ac:dyDescent="0.35">
      <c r="H173" s="92"/>
    </row>
    <row r="174" spans="8:8" x14ac:dyDescent="0.35">
      <c r="H174" s="92"/>
    </row>
    <row r="175" spans="8:8" x14ac:dyDescent="0.35">
      <c r="H175" s="92"/>
    </row>
    <row r="176" spans="8:8" x14ac:dyDescent="0.35">
      <c r="H176" s="92"/>
    </row>
    <row r="177" spans="8:8" x14ac:dyDescent="0.35">
      <c r="H177" s="92"/>
    </row>
    <row r="178" spans="8:8" x14ac:dyDescent="0.35">
      <c r="H178" s="92"/>
    </row>
    <row r="179" spans="8:8" x14ac:dyDescent="0.35">
      <c r="H179" s="92"/>
    </row>
    <row r="180" spans="8:8" x14ac:dyDescent="0.35">
      <c r="H180" s="92"/>
    </row>
    <row r="181" spans="8:8" x14ac:dyDescent="0.35">
      <c r="H181" s="92"/>
    </row>
    <row r="182" spans="8:8" x14ac:dyDescent="0.35">
      <c r="H182" s="92"/>
    </row>
    <row r="183" spans="8:8" x14ac:dyDescent="0.35">
      <c r="H183" s="92"/>
    </row>
    <row r="184" spans="8:8" x14ac:dyDescent="0.35">
      <c r="H184" s="92"/>
    </row>
    <row r="185" spans="8:8" x14ac:dyDescent="0.35">
      <c r="H185" s="92"/>
    </row>
    <row r="186" spans="8:8" x14ac:dyDescent="0.35">
      <c r="H186" s="92"/>
    </row>
    <row r="187" spans="8:8" x14ac:dyDescent="0.35">
      <c r="H187" s="92"/>
    </row>
    <row r="188" spans="8:8" x14ac:dyDescent="0.35">
      <c r="H188" s="92"/>
    </row>
    <row r="189" spans="8:8" x14ac:dyDescent="0.35">
      <c r="H189" s="92"/>
    </row>
    <row r="190" spans="8:8" x14ac:dyDescent="0.35">
      <c r="H190" s="92"/>
    </row>
    <row r="191" spans="8:8" x14ac:dyDescent="0.35">
      <c r="H191" s="92"/>
    </row>
    <row r="192" spans="8:8" x14ac:dyDescent="0.35">
      <c r="H192" s="92"/>
    </row>
    <row r="193" spans="8:8" x14ac:dyDescent="0.35">
      <c r="H193" s="92"/>
    </row>
    <row r="194" spans="8:8" x14ac:dyDescent="0.35">
      <c r="H194" s="92"/>
    </row>
    <row r="195" spans="8:8" x14ac:dyDescent="0.35">
      <c r="H195" s="92"/>
    </row>
    <row r="196" spans="8:8" x14ac:dyDescent="0.35">
      <c r="H196" s="92"/>
    </row>
    <row r="197" spans="8:8" x14ac:dyDescent="0.35">
      <c r="H197" s="92"/>
    </row>
    <row r="198" spans="8:8" x14ac:dyDescent="0.35">
      <c r="H198" s="92"/>
    </row>
    <row r="199" spans="8:8" x14ac:dyDescent="0.35">
      <c r="H199" s="92"/>
    </row>
    <row r="200" spans="8:8" x14ac:dyDescent="0.35">
      <c r="H200" s="92"/>
    </row>
    <row r="201" spans="8:8" x14ac:dyDescent="0.35">
      <c r="H201" s="92"/>
    </row>
    <row r="202" spans="8:8" x14ac:dyDescent="0.35">
      <c r="H202" s="92"/>
    </row>
    <row r="203" spans="8:8" x14ac:dyDescent="0.35">
      <c r="H203" s="92"/>
    </row>
    <row r="204" spans="8:8" x14ac:dyDescent="0.35">
      <c r="H204" s="92"/>
    </row>
    <row r="205" spans="8:8" x14ac:dyDescent="0.35">
      <c r="H205" s="92"/>
    </row>
    <row r="206" spans="8:8" x14ac:dyDescent="0.35">
      <c r="H206" s="92"/>
    </row>
    <row r="207" spans="8:8" x14ac:dyDescent="0.35">
      <c r="H207" s="92"/>
    </row>
    <row r="208" spans="8:8" x14ac:dyDescent="0.35">
      <c r="H208" s="92"/>
    </row>
    <row r="209" spans="8:8" x14ac:dyDescent="0.35">
      <c r="H209" s="92"/>
    </row>
    <row r="210" spans="8:8" x14ac:dyDescent="0.35">
      <c r="H210" s="92"/>
    </row>
    <row r="211" spans="8:8" x14ac:dyDescent="0.35">
      <c r="H211" s="92"/>
    </row>
    <row r="212" spans="8:8" x14ac:dyDescent="0.35">
      <c r="H212" s="92"/>
    </row>
    <row r="213" spans="8:8" x14ac:dyDescent="0.35">
      <c r="H213" s="92"/>
    </row>
    <row r="214" spans="8:8" x14ac:dyDescent="0.35">
      <c r="H214" s="92"/>
    </row>
    <row r="215" spans="8:8" x14ac:dyDescent="0.35">
      <c r="H215" s="92"/>
    </row>
    <row r="216" spans="8:8" x14ac:dyDescent="0.35">
      <c r="H216" s="92"/>
    </row>
    <row r="217" spans="8:8" x14ac:dyDescent="0.35">
      <c r="H217" s="92"/>
    </row>
    <row r="218" spans="8:8" x14ac:dyDescent="0.35">
      <c r="H218" s="92"/>
    </row>
    <row r="219" spans="8:8" x14ac:dyDescent="0.35">
      <c r="H219" s="92"/>
    </row>
    <row r="220" spans="8:8" x14ac:dyDescent="0.35">
      <c r="H220" s="92"/>
    </row>
    <row r="221" spans="8:8" x14ac:dyDescent="0.35">
      <c r="H221" s="92"/>
    </row>
    <row r="222" spans="8:8" x14ac:dyDescent="0.35">
      <c r="H222" s="92"/>
    </row>
    <row r="223" spans="8:8" x14ac:dyDescent="0.35">
      <c r="H223" s="92"/>
    </row>
    <row r="224" spans="8:8" x14ac:dyDescent="0.35">
      <c r="H224" s="92"/>
    </row>
    <row r="225" spans="8:8" x14ac:dyDescent="0.35">
      <c r="H225" s="92"/>
    </row>
    <row r="226" spans="8:8" x14ac:dyDescent="0.35">
      <c r="H226" s="92"/>
    </row>
    <row r="227" spans="8:8" x14ac:dyDescent="0.35">
      <c r="H227" s="92"/>
    </row>
    <row r="228" spans="8:8" x14ac:dyDescent="0.35">
      <c r="H228" s="92"/>
    </row>
    <row r="229" spans="8:8" x14ac:dyDescent="0.35">
      <c r="H229" s="92"/>
    </row>
    <row r="230" spans="8:8" x14ac:dyDescent="0.35">
      <c r="H230" s="92"/>
    </row>
    <row r="231" spans="8:8" x14ac:dyDescent="0.35">
      <c r="H231" s="92"/>
    </row>
    <row r="232" spans="8:8" x14ac:dyDescent="0.35">
      <c r="H232" s="92"/>
    </row>
    <row r="233" spans="8:8" x14ac:dyDescent="0.35">
      <c r="H233" s="92"/>
    </row>
    <row r="234" spans="8:8" x14ac:dyDescent="0.35">
      <c r="H234" s="92"/>
    </row>
    <row r="235" spans="8:8" x14ac:dyDescent="0.35">
      <c r="H235" s="92"/>
    </row>
    <row r="236" spans="8:8" x14ac:dyDescent="0.35">
      <c r="H236" s="92"/>
    </row>
    <row r="237" spans="8:8" x14ac:dyDescent="0.35">
      <c r="H237" s="92"/>
    </row>
    <row r="238" spans="8:8" x14ac:dyDescent="0.35">
      <c r="H238" s="92"/>
    </row>
    <row r="239" spans="8:8" x14ac:dyDescent="0.35">
      <c r="H239" s="92"/>
    </row>
    <row r="240" spans="8:8" x14ac:dyDescent="0.35">
      <c r="H240" s="92"/>
    </row>
    <row r="241" spans="8:8" x14ac:dyDescent="0.35">
      <c r="H241" s="92"/>
    </row>
    <row r="242" spans="8:8" x14ac:dyDescent="0.35">
      <c r="H242" s="92"/>
    </row>
    <row r="243" spans="8:8" x14ac:dyDescent="0.35">
      <c r="H243" s="92"/>
    </row>
    <row r="244" spans="8:8" x14ac:dyDescent="0.35">
      <c r="H244" s="92"/>
    </row>
    <row r="245" spans="8:8" x14ac:dyDescent="0.35">
      <c r="H245" s="92"/>
    </row>
    <row r="246" spans="8:8" x14ac:dyDescent="0.35">
      <c r="H246" s="92"/>
    </row>
    <row r="247" spans="8:8" x14ac:dyDescent="0.35">
      <c r="H247" s="92"/>
    </row>
    <row r="248" spans="8:8" x14ac:dyDescent="0.35">
      <c r="H248" s="92"/>
    </row>
    <row r="249" spans="8:8" x14ac:dyDescent="0.35">
      <c r="H249" s="92"/>
    </row>
    <row r="250" spans="8:8" x14ac:dyDescent="0.35">
      <c r="H250" s="92"/>
    </row>
    <row r="251" spans="8:8" x14ac:dyDescent="0.35">
      <c r="H251" s="92"/>
    </row>
    <row r="252" spans="8:8" x14ac:dyDescent="0.35">
      <c r="H252" s="92"/>
    </row>
    <row r="253" spans="8:8" x14ac:dyDescent="0.35">
      <c r="H253" s="92"/>
    </row>
    <row r="254" spans="8:8" x14ac:dyDescent="0.35">
      <c r="H254" s="92"/>
    </row>
    <row r="255" spans="8:8" x14ac:dyDescent="0.35">
      <c r="H255" s="92"/>
    </row>
    <row r="256" spans="8:8" x14ac:dyDescent="0.35">
      <c r="H256" s="92"/>
    </row>
    <row r="257" spans="8:8" x14ac:dyDescent="0.35">
      <c r="H257" s="92"/>
    </row>
    <row r="258" spans="8:8" x14ac:dyDescent="0.35">
      <c r="H258" s="92"/>
    </row>
    <row r="259" spans="8:8" x14ac:dyDescent="0.35">
      <c r="H259" s="92"/>
    </row>
    <row r="260" spans="8:8" x14ac:dyDescent="0.35">
      <c r="H260" s="92"/>
    </row>
    <row r="261" spans="8:8" x14ac:dyDescent="0.35">
      <c r="H261" s="92"/>
    </row>
    <row r="262" spans="8:8" x14ac:dyDescent="0.35">
      <c r="H262" s="92"/>
    </row>
    <row r="263" spans="8:8" x14ac:dyDescent="0.35">
      <c r="H263" s="92"/>
    </row>
    <row r="264" spans="8:8" x14ac:dyDescent="0.35">
      <c r="H264" s="92"/>
    </row>
    <row r="265" spans="8:8" x14ac:dyDescent="0.35">
      <c r="H265" s="92"/>
    </row>
    <row r="266" spans="8:8" x14ac:dyDescent="0.35">
      <c r="H266" s="92"/>
    </row>
    <row r="267" spans="8:8" x14ac:dyDescent="0.35">
      <c r="H267" s="92"/>
    </row>
    <row r="268" spans="8:8" x14ac:dyDescent="0.35">
      <c r="H268" s="92"/>
    </row>
    <row r="269" spans="8:8" x14ac:dyDescent="0.35">
      <c r="H269" s="92"/>
    </row>
    <row r="270" spans="8:8" x14ac:dyDescent="0.35">
      <c r="H270" s="92"/>
    </row>
    <row r="271" spans="8:8" x14ac:dyDescent="0.35">
      <c r="H271" s="92"/>
    </row>
    <row r="272" spans="8:8" x14ac:dyDescent="0.35">
      <c r="H272" s="92"/>
    </row>
    <row r="273" spans="8:8" x14ac:dyDescent="0.35">
      <c r="H273" s="92"/>
    </row>
    <row r="274" spans="8:8" x14ac:dyDescent="0.35">
      <c r="H274" s="92"/>
    </row>
    <row r="275" spans="8:8" x14ac:dyDescent="0.35">
      <c r="H275" s="92"/>
    </row>
    <row r="276" spans="8:8" x14ac:dyDescent="0.35">
      <c r="H276" s="92"/>
    </row>
    <row r="277" spans="8:8" x14ac:dyDescent="0.35">
      <c r="H277" s="92"/>
    </row>
    <row r="278" spans="8:8" x14ac:dyDescent="0.35">
      <c r="H278" s="92"/>
    </row>
    <row r="279" spans="8:8" x14ac:dyDescent="0.35">
      <c r="H279" s="92"/>
    </row>
    <row r="280" spans="8:8" x14ac:dyDescent="0.35">
      <c r="H280" s="92"/>
    </row>
    <row r="281" spans="8:8" x14ac:dyDescent="0.35">
      <c r="H281" s="92"/>
    </row>
    <row r="282" spans="8:8" x14ac:dyDescent="0.35">
      <c r="H282" s="92"/>
    </row>
    <row r="283" spans="8:8" x14ac:dyDescent="0.35">
      <c r="H283" s="92"/>
    </row>
    <row r="284" spans="8:8" x14ac:dyDescent="0.35">
      <c r="H284" s="92"/>
    </row>
    <row r="285" spans="8:8" x14ac:dyDescent="0.35">
      <c r="H285" s="92"/>
    </row>
    <row r="286" spans="8:8" x14ac:dyDescent="0.35">
      <c r="H286" s="92"/>
    </row>
    <row r="287" spans="8:8" x14ac:dyDescent="0.35">
      <c r="H287" s="92"/>
    </row>
    <row r="288" spans="8:8" x14ac:dyDescent="0.35">
      <c r="H288" s="92"/>
    </row>
    <row r="289" spans="8:8" x14ac:dyDescent="0.35">
      <c r="H289" s="92"/>
    </row>
    <row r="290" spans="8:8" x14ac:dyDescent="0.35">
      <c r="H290" s="92"/>
    </row>
    <row r="291" spans="8:8" x14ac:dyDescent="0.35">
      <c r="H291" s="92"/>
    </row>
    <row r="292" spans="8:8" x14ac:dyDescent="0.35">
      <c r="H292" s="92"/>
    </row>
    <row r="293" spans="8:8" x14ac:dyDescent="0.35">
      <c r="H293" s="92"/>
    </row>
    <row r="294" spans="8:8" x14ac:dyDescent="0.35">
      <c r="H294" s="92"/>
    </row>
    <row r="295" spans="8:8" x14ac:dyDescent="0.35">
      <c r="H295" s="92"/>
    </row>
    <row r="296" spans="8:8" x14ac:dyDescent="0.35">
      <c r="H296" s="92"/>
    </row>
    <row r="297" spans="8:8" x14ac:dyDescent="0.35">
      <c r="H297" s="92"/>
    </row>
    <row r="298" spans="8:8" x14ac:dyDescent="0.35">
      <c r="H298" s="92"/>
    </row>
    <row r="299" spans="8:8" x14ac:dyDescent="0.35">
      <c r="H299" s="92"/>
    </row>
    <row r="300" spans="8:8" x14ac:dyDescent="0.35">
      <c r="H300" s="92"/>
    </row>
    <row r="301" spans="8:8" x14ac:dyDescent="0.35">
      <c r="H301" s="92"/>
    </row>
    <row r="302" spans="8:8" x14ac:dyDescent="0.35">
      <c r="H302" s="92"/>
    </row>
    <row r="303" spans="8:8" x14ac:dyDescent="0.35">
      <c r="H303" s="92"/>
    </row>
    <row r="304" spans="8:8" x14ac:dyDescent="0.35">
      <c r="H304" s="92"/>
    </row>
    <row r="305" spans="8:8" x14ac:dyDescent="0.35">
      <c r="H305" s="92"/>
    </row>
    <row r="306" spans="8:8" x14ac:dyDescent="0.35">
      <c r="H306" s="92"/>
    </row>
    <row r="307" spans="8:8" x14ac:dyDescent="0.35">
      <c r="H307" s="92"/>
    </row>
    <row r="308" spans="8:8" x14ac:dyDescent="0.35">
      <c r="H308" s="92"/>
    </row>
    <row r="309" spans="8:8" x14ac:dyDescent="0.35">
      <c r="H309" s="92"/>
    </row>
    <row r="310" spans="8:8" x14ac:dyDescent="0.35">
      <c r="H310" s="92"/>
    </row>
    <row r="311" spans="8:8" x14ac:dyDescent="0.35">
      <c r="H311" s="92"/>
    </row>
    <row r="312" spans="8:8" x14ac:dyDescent="0.35">
      <c r="H312" s="92"/>
    </row>
    <row r="313" spans="8:8" x14ac:dyDescent="0.35">
      <c r="H313" s="92"/>
    </row>
    <row r="314" spans="8:8" x14ac:dyDescent="0.35">
      <c r="H314" s="92"/>
    </row>
    <row r="315" spans="8:8" x14ac:dyDescent="0.35">
      <c r="H315" s="92"/>
    </row>
    <row r="316" spans="8:8" x14ac:dyDescent="0.35">
      <c r="H316" s="92"/>
    </row>
    <row r="317" spans="8:8" x14ac:dyDescent="0.35">
      <c r="H317" s="92"/>
    </row>
    <row r="318" spans="8:8" x14ac:dyDescent="0.35">
      <c r="H318" s="92"/>
    </row>
    <row r="319" spans="8:8" x14ac:dyDescent="0.35">
      <c r="H319" s="92"/>
    </row>
    <row r="320" spans="8:8" x14ac:dyDescent="0.35">
      <c r="H320" s="92"/>
    </row>
    <row r="321" spans="8:8" x14ac:dyDescent="0.35">
      <c r="H321" s="92"/>
    </row>
    <row r="322" spans="8:8" x14ac:dyDescent="0.35">
      <c r="H322" s="92"/>
    </row>
    <row r="323" spans="8:8" x14ac:dyDescent="0.35">
      <c r="H323" s="92"/>
    </row>
    <row r="324" spans="8:8" x14ac:dyDescent="0.35">
      <c r="H324" s="92"/>
    </row>
    <row r="325" spans="8:8" x14ac:dyDescent="0.35">
      <c r="H325" s="92"/>
    </row>
    <row r="326" spans="8:8" x14ac:dyDescent="0.35">
      <c r="H326" s="92"/>
    </row>
    <row r="327" spans="8:8" x14ac:dyDescent="0.35">
      <c r="H327" s="92"/>
    </row>
    <row r="328" spans="8:8" x14ac:dyDescent="0.35">
      <c r="H328" s="92"/>
    </row>
    <row r="329" spans="8:8" x14ac:dyDescent="0.35">
      <c r="H329" s="92"/>
    </row>
    <row r="330" spans="8:8" x14ac:dyDescent="0.35">
      <c r="H330" s="92"/>
    </row>
    <row r="331" spans="8:8" x14ac:dyDescent="0.35">
      <c r="H331" s="92"/>
    </row>
    <row r="332" spans="8:8" x14ac:dyDescent="0.35">
      <c r="H332" s="92"/>
    </row>
    <row r="333" spans="8:8" x14ac:dyDescent="0.35">
      <c r="H333" s="92"/>
    </row>
    <row r="334" spans="8:8" x14ac:dyDescent="0.35">
      <c r="H334" s="92"/>
    </row>
    <row r="335" spans="8:8" x14ac:dyDescent="0.35">
      <c r="H335" s="92"/>
    </row>
    <row r="336" spans="8:8" x14ac:dyDescent="0.35">
      <c r="H336" s="92"/>
    </row>
    <row r="337" spans="8:8" x14ac:dyDescent="0.35">
      <c r="H337" s="92"/>
    </row>
    <row r="338" spans="8:8" x14ac:dyDescent="0.35">
      <c r="H338" s="92"/>
    </row>
    <row r="339" spans="8:8" x14ac:dyDescent="0.35">
      <c r="H339" s="92"/>
    </row>
    <row r="340" spans="8:8" x14ac:dyDescent="0.35">
      <c r="H340" s="92"/>
    </row>
    <row r="341" spans="8:8" x14ac:dyDescent="0.35">
      <c r="H341" s="92"/>
    </row>
    <row r="342" spans="8:8" x14ac:dyDescent="0.35">
      <c r="H342" s="92"/>
    </row>
    <row r="343" spans="8:8" x14ac:dyDescent="0.35">
      <c r="H343" s="92"/>
    </row>
    <row r="344" spans="8:8" x14ac:dyDescent="0.35">
      <c r="H344" s="92"/>
    </row>
    <row r="345" spans="8:8" x14ac:dyDescent="0.35">
      <c r="H345" s="92"/>
    </row>
    <row r="346" spans="8:8" x14ac:dyDescent="0.35">
      <c r="H346" s="92"/>
    </row>
    <row r="347" spans="8:8" x14ac:dyDescent="0.35">
      <c r="H347" s="92"/>
    </row>
    <row r="348" spans="8:8" x14ac:dyDescent="0.35">
      <c r="H348" s="92"/>
    </row>
    <row r="349" spans="8:8" x14ac:dyDescent="0.35">
      <c r="H349" s="92"/>
    </row>
    <row r="350" spans="8:8" x14ac:dyDescent="0.35">
      <c r="H350" s="92"/>
    </row>
    <row r="351" spans="8:8" x14ac:dyDescent="0.35">
      <c r="H351" s="92"/>
    </row>
    <row r="352" spans="8:8" x14ac:dyDescent="0.35">
      <c r="H352" s="92"/>
    </row>
    <row r="353" spans="8:8" x14ac:dyDescent="0.35">
      <c r="H353" s="92"/>
    </row>
    <row r="354" spans="8:8" x14ac:dyDescent="0.35">
      <c r="H354" s="92"/>
    </row>
    <row r="355" spans="8:8" x14ac:dyDescent="0.35">
      <c r="H355" s="92"/>
    </row>
    <row r="356" spans="8:8" x14ac:dyDescent="0.35">
      <c r="H356" s="92"/>
    </row>
    <row r="357" spans="8:8" x14ac:dyDescent="0.35">
      <c r="H357" s="92"/>
    </row>
    <row r="358" spans="8:8" x14ac:dyDescent="0.35">
      <c r="H358" s="92"/>
    </row>
    <row r="359" spans="8:8" x14ac:dyDescent="0.35">
      <c r="H359" s="92"/>
    </row>
    <row r="360" spans="8:8" x14ac:dyDescent="0.35">
      <c r="H360" s="92"/>
    </row>
    <row r="361" spans="8:8" x14ac:dyDescent="0.35">
      <c r="H361" s="92"/>
    </row>
    <row r="362" spans="8:8" x14ac:dyDescent="0.35">
      <c r="H362" s="92"/>
    </row>
    <row r="363" spans="8:8" x14ac:dyDescent="0.35">
      <c r="H363" s="92"/>
    </row>
    <row r="364" spans="8:8" x14ac:dyDescent="0.35">
      <c r="H364" s="92"/>
    </row>
    <row r="365" spans="8:8" x14ac:dyDescent="0.35">
      <c r="H365" s="92"/>
    </row>
    <row r="366" spans="8:8" x14ac:dyDescent="0.35">
      <c r="H366" s="92"/>
    </row>
    <row r="367" spans="8:8" x14ac:dyDescent="0.35">
      <c r="H367" s="92"/>
    </row>
    <row r="368" spans="8:8" x14ac:dyDescent="0.35">
      <c r="H368" s="92"/>
    </row>
    <row r="369" spans="8:8" x14ac:dyDescent="0.35">
      <c r="H369" s="92"/>
    </row>
    <row r="370" spans="8:8" x14ac:dyDescent="0.35">
      <c r="H370" s="92"/>
    </row>
    <row r="371" spans="8:8" x14ac:dyDescent="0.35">
      <c r="H371" s="92"/>
    </row>
    <row r="372" spans="8:8" x14ac:dyDescent="0.35">
      <c r="H372" s="92"/>
    </row>
    <row r="373" spans="8:8" x14ac:dyDescent="0.35">
      <c r="H373" s="92"/>
    </row>
    <row r="374" spans="8:8" x14ac:dyDescent="0.35">
      <c r="H374" s="92"/>
    </row>
    <row r="375" spans="8:8" x14ac:dyDescent="0.35">
      <c r="H375" s="92"/>
    </row>
    <row r="376" spans="8:8" x14ac:dyDescent="0.35">
      <c r="H376" s="92"/>
    </row>
    <row r="377" spans="8:8" x14ac:dyDescent="0.35">
      <c r="H377" s="92"/>
    </row>
    <row r="378" spans="8:8" x14ac:dyDescent="0.35">
      <c r="H378" s="92"/>
    </row>
    <row r="379" spans="8:8" x14ac:dyDescent="0.35">
      <c r="H379" s="92"/>
    </row>
    <row r="380" spans="8:8" x14ac:dyDescent="0.35">
      <c r="H380" s="92"/>
    </row>
    <row r="381" spans="8:8" x14ac:dyDescent="0.35">
      <c r="H381" s="92"/>
    </row>
    <row r="382" spans="8:8" x14ac:dyDescent="0.35">
      <c r="H382" s="92"/>
    </row>
    <row r="383" spans="8:8" x14ac:dyDescent="0.35">
      <c r="H383" s="92"/>
    </row>
    <row r="384" spans="8:8" x14ac:dyDescent="0.35">
      <c r="H384" s="92"/>
    </row>
    <row r="385" spans="8:8" x14ac:dyDescent="0.35">
      <c r="H385" s="92"/>
    </row>
    <row r="386" spans="8:8" x14ac:dyDescent="0.35">
      <c r="H386" s="92"/>
    </row>
    <row r="387" spans="8:8" x14ac:dyDescent="0.35">
      <c r="H387" s="92"/>
    </row>
    <row r="388" spans="8:8" x14ac:dyDescent="0.35">
      <c r="H388" s="92"/>
    </row>
    <row r="389" spans="8:8" x14ac:dyDescent="0.35">
      <c r="H389" s="92"/>
    </row>
    <row r="390" spans="8:8" x14ac:dyDescent="0.35">
      <c r="H390" s="92"/>
    </row>
    <row r="391" spans="8:8" x14ac:dyDescent="0.35">
      <c r="H391" s="92"/>
    </row>
    <row r="392" spans="8:8" x14ac:dyDescent="0.35">
      <c r="H392" s="92"/>
    </row>
    <row r="393" spans="8:8" x14ac:dyDescent="0.35">
      <c r="H393" s="92"/>
    </row>
    <row r="394" spans="8:8" x14ac:dyDescent="0.35">
      <c r="H394" s="92"/>
    </row>
    <row r="395" spans="8:8" x14ac:dyDescent="0.35">
      <c r="H395" s="92"/>
    </row>
    <row r="396" spans="8:8" x14ac:dyDescent="0.35">
      <c r="H396" s="92"/>
    </row>
    <row r="397" spans="8:8" x14ac:dyDescent="0.35">
      <c r="H397" s="92"/>
    </row>
    <row r="398" spans="8:8" x14ac:dyDescent="0.35">
      <c r="H398" s="92"/>
    </row>
    <row r="399" spans="8:8" x14ac:dyDescent="0.35">
      <c r="H399" s="92"/>
    </row>
    <row r="400" spans="8:8" x14ac:dyDescent="0.35">
      <c r="H400" s="92"/>
    </row>
    <row r="401" spans="8:8" x14ac:dyDescent="0.35">
      <c r="H401" s="92"/>
    </row>
    <row r="402" spans="8:8" x14ac:dyDescent="0.35">
      <c r="H402" s="92"/>
    </row>
    <row r="403" spans="8:8" x14ac:dyDescent="0.35">
      <c r="H403" s="92"/>
    </row>
    <row r="404" spans="8:8" x14ac:dyDescent="0.35">
      <c r="H404" s="92"/>
    </row>
    <row r="405" spans="8:8" x14ac:dyDescent="0.35">
      <c r="H405" s="92"/>
    </row>
    <row r="406" spans="8:8" x14ac:dyDescent="0.35">
      <c r="H406" s="92"/>
    </row>
    <row r="407" spans="8:8" x14ac:dyDescent="0.35">
      <c r="H407" s="92"/>
    </row>
    <row r="408" spans="8:8" x14ac:dyDescent="0.35">
      <c r="H408" s="92"/>
    </row>
    <row r="409" spans="8:8" x14ac:dyDescent="0.35">
      <c r="H409" s="92"/>
    </row>
    <row r="410" spans="8:8" x14ac:dyDescent="0.35">
      <c r="H410" s="92"/>
    </row>
    <row r="411" spans="8:8" x14ac:dyDescent="0.35">
      <c r="H411" s="92"/>
    </row>
    <row r="412" spans="8:8" x14ac:dyDescent="0.35">
      <c r="H412" s="92"/>
    </row>
    <row r="413" spans="8:8" x14ac:dyDescent="0.35">
      <c r="H413" s="92"/>
    </row>
    <row r="414" spans="8:8" x14ac:dyDescent="0.35">
      <c r="H414" s="92"/>
    </row>
    <row r="415" spans="8:8" x14ac:dyDescent="0.35">
      <c r="H415" s="92"/>
    </row>
    <row r="416" spans="8:8" x14ac:dyDescent="0.35">
      <c r="H416" s="92"/>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I21"/>
  <sheetViews>
    <sheetView zoomScale="115" zoomScaleNormal="115" workbookViewId="0">
      <selection activeCell="D23" sqref="D23"/>
    </sheetView>
  </sheetViews>
  <sheetFormatPr defaultColWidth="8.921875" defaultRowHeight="15.5" x14ac:dyDescent="0.35"/>
  <cols>
    <col min="1" max="1" width="6.921875" style="2" customWidth="1"/>
    <col min="2" max="2" width="45.921875" style="2" customWidth="1"/>
    <col min="3" max="5" width="13.921875" style="2" customWidth="1"/>
    <col min="6" max="6" width="2.921875" style="2" customWidth="1"/>
    <col min="7" max="7" width="4.921875" style="6" customWidth="1"/>
    <col min="8" max="8" width="8.921875" style="2"/>
    <col min="9" max="9" width="13.921875" style="2" customWidth="1"/>
    <col min="10" max="16384" width="8.921875" style="2"/>
  </cols>
  <sheetData>
    <row r="1" spans="1:9" x14ac:dyDescent="0.35">
      <c r="A1" s="10" t="s">
        <v>104</v>
      </c>
      <c r="C1" s="87"/>
      <c r="G1" s="7" t="s">
        <v>149</v>
      </c>
    </row>
    <row r="2" spans="1:9" x14ac:dyDescent="0.35">
      <c r="A2" s="1" t="s">
        <v>117</v>
      </c>
      <c r="C2" s="87"/>
    </row>
    <row r="3" spans="1:9" x14ac:dyDescent="0.35">
      <c r="A3" s="86" t="str">
        <f>+'COS Summary'!A2</f>
        <v>For the Test Year Ended June 30, 2024</v>
      </c>
    </row>
    <row r="6" spans="1:9" ht="18" x14ac:dyDescent="0.4">
      <c r="A6" s="12" t="s">
        <v>16</v>
      </c>
      <c r="B6" s="46"/>
      <c r="C6" s="46"/>
      <c r="D6" s="36"/>
      <c r="E6" s="36"/>
      <c r="F6" s="46"/>
      <c r="G6" s="46"/>
    </row>
    <row r="7" spans="1:9" ht="15" customHeight="1" x14ac:dyDescent="0.35">
      <c r="C7" s="6"/>
      <c r="D7" s="6"/>
      <c r="E7" s="6"/>
      <c r="F7" s="6"/>
    </row>
    <row r="8" spans="1:9" x14ac:dyDescent="0.35">
      <c r="C8" s="6" t="s">
        <v>121</v>
      </c>
      <c r="D8" s="6" t="s">
        <v>4</v>
      </c>
      <c r="E8" s="6" t="s">
        <v>122</v>
      </c>
      <c r="F8" s="6"/>
    </row>
    <row r="9" spans="1:9" ht="16" thickBot="1" x14ac:dyDescent="0.4">
      <c r="A9" s="11" t="s">
        <v>17</v>
      </c>
      <c r="B9" s="11" t="s">
        <v>1</v>
      </c>
      <c r="C9" s="4" t="str">
        <f>+'COS Summary'!D6</f>
        <v>7/1/23-6/30/24</v>
      </c>
      <c r="D9" s="57" t="s">
        <v>124</v>
      </c>
      <c r="E9" s="4" t="str">
        <f>+'COS Summary'!F6</f>
        <v>8/1/25-7/31/26</v>
      </c>
      <c r="F9" s="4"/>
      <c r="G9" s="4" t="s">
        <v>84</v>
      </c>
      <c r="H9" s="106"/>
    </row>
    <row r="11" spans="1:9" x14ac:dyDescent="0.35">
      <c r="A11" s="6">
        <v>440</v>
      </c>
      <c r="B11" s="8" t="s">
        <v>94</v>
      </c>
      <c r="C11" s="18">
        <v>16265985.390000001</v>
      </c>
      <c r="D11" s="18">
        <f>1062111-76907</f>
        <v>985204</v>
      </c>
      <c r="E11" s="18">
        <f t="shared" ref="E11:E16" si="0">C11+D11</f>
        <v>17251189.390000001</v>
      </c>
      <c r="F11" s="48"/>
      <c r="G11" s="92">
        <v>1</v>
      </c>
      <c r="H11" s="226"/>
      <c r="I11" s="90"/>
    </row>
    <row r="12" spans="1:9" x14ac:dyDescent="0.35">
      <c r="A12" s="6">
        <v>442.1</v>
      </c>
      <c r="B12" s="8" t="s">
        <v>95</v>
      </c>
      <c r="C12" s="18">
        <v>3266294.5</v>
      </c>
      <c r="D12" s="18">
        <v>199284</v>
      </c>
      <c r="E12" s="18">
        <f t="shared" si="0"/>
        <v>3465578.5</v>
      </c>
      <c r="F12" s="48"/>
      <c r="G12" s="88"/>
      <c r="H12" s="226"/>
      <c r="I12" s="90"/>
    </row>
    <row r="13" spans="1:9" x14ac:dyDescent="0.35">
      <c r="A13" s="6">
        <v>442.2</v>
      </c>
      <c r="B13" s="8" t="s">
        <v>96</v>
      </c>
      <c r="C13" s="18">
        <v>24831828.010000002</v>
      </c>
      <c r="D13" s="18">
        <v>1650570</v>
      </c>
      <c r="E13" s="18">
        <f t="shared" si="0"/>
        <v>26482398.010000002</v>
      </c>
      <c r="F13" s="48"/>
      <c r="G13" s="88"/>
      <c r="H13" s="226"/>
      <c r="I13" s="90"/>
    </row>
    <row r="14" spans="1:9" x14ac:dyDescent="0.35">
      <c r="A14" s="6">
        <v>442.3</v>
      </c>
      <c r="B14" s="8" t="s">
        <v>97</v>
      </c>
      <c r="C14" s="18">
        <v>8795834.7200000007</v>
      </c>
      <c r="D14" s="18">
        <v>602272</v>
      </c>
      <c r="E14" s="18">
        <f t="shared" si="0"/>
        <v>9398106.7200000007</v>
      </c>
      <c r="F14" s="48"/>
      <c r="G14" s="88"/>
      <c r="H14" s="226"/>
      <c r="I14" s="90"/>
    </row>
    <row r="15" spans="1:9" x14ac:dyDescent="0.35">
      <c r="A15" s="6">
        <v>444</v>
      </c>
      <c r="B15" s="8" t="s">
        <v>98</v>
      </c>
      <c r="C15" s="18">
        <v>724483.23</v>
      </c>
      <c r="D15" s="18">
        <v>46460</v>
      </c>
      <c r="E15" s="18">
        <f t="shared" si="0"/>
        <v>770943.23</v>
      </c>
      <c r="F15" s="48"/>
      <c r="G15" s="88"/>
      <c r="H15" s="226"/>
      <c r="I15" s="90"/>
    </row>
    <row r="16" spans="1:9" x14ac:dyDescent="0.35">
      <c r="A16" s="6">
        <v>449</v>
      </c>
      <c r="B16" s="91" t="s">
        <v>423</v>
      </c>
      <c r="C16" s="18">
        <v>132281.28</v>
      </c>
      <c r="D16" s="18">
        <v>8898</v>
      </c>
      <c r="E16" s="18">
        <f t="shared" si="0"/>
        <v>141179.28</v>
      </c>
      <c r="F16" s="48"/>
      <c r="H16" s="226"/>
      <c r="I16" s="90"/>
    </row>
    <row r="17" spans="1:9" ht="16" thickBot="1" x14ac:dyDescent="0.4">
      <c r="B17" s="15" t="s">
        <v>199</v>
      </c>
      <c r="C17" s="17">
        <f>SUM(C11:C16)</f>
        <v>54016707.130000003</v>
      </c>
      <c r="D17" s="17">
        <f>SUM(D11:D16)</f>
        <v>3492688</v>
      </c>
      <c r="E17" s="17">
        <f>SUM(E11:E16)</f>
        <v>57509395.130000003</v>
      </c>
      <c r="F17" s="48"/>
      <c r="G17" s="6">
        <v>2</v>
      </c>
      <c r="H17" s="226"/>
      <c r="I17" s="228"/>
    </row>
    <row r="18" spans="1:9" ht="16" thickTop="1" x14ac:dyDescent="0.35">
      <c r="C18" s="48"/>
      <c r="D18" s="48"/>
      <c r="E18" s="48"/>
      <c r="F18" s="48"/>
    </row>
    <row r="19" spans="1:9" x14ac:dyDescent="0.35">
      <c r="A19" s="2" t="s">
        <v>87</v>
      </c>
      <c r="C19" s="48"/>
      <c r="D19" s="48"/>
      <c r="E19" s="48"/>
      <c r="F19" s="48"/>
    </row>
    <row r="20" spans="1:9" ht="47.15" customHeight="1" x14ac:dyDescent="0.35">
      <c r="A20" s="252">
        <v>1</v>
      </c>
      <c r="B20" s="361" t="s">
        <v>548</v>
      </c>
      <c r="C20" s="361"/>
      <c r="D20" s="361"/>
      <c r="E20" s="361"/>
    </row>
    <row r="21" spans="1:9" x14ac:dyDescent="0.35">
      <c r="D21" s="90"/>
    </row>
  </sheetData>
  <mergeCells count="1">
    <mergeCell ref="B20:E20"/>
  </mergeCells>
  <phoneticPr fontId="0" type="noConversion"/>
  <printOptions horizontalCentered="1"/>
  <pageMargins left="0.5" right="0" top="1" bottom="1" header="0.5" footer="0.5"/>
  <pageSetup scale="82"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6603B-0ABE-461B-8ECB-122508D9739E}">
  <dimension ref="A1:H46"/>
  <sheetViews>
    <sheetView zoomScale="130" zoomScaleNormal="130" workbookViewId="0">
      <selection activeCell="A49" sqref="A49"/>
    </sheetView>
  </sheetViews>
  <sheetFormatPr defaultRowHeight="15.5" x14ac:dyDescent="0.35"/>
  <cols>
    <col min="1" max="1" width="50.921875" customWidth="1"/>
    <col min="2" max="2" width="19.921875" customWidth="1"/>
    <col min="3" max="3" width="16.07421875" customWidth="1"/>
    <col min="4" max="4" width="14.921875" customWidth="1"/>
  </cols>
  <sheetData>
    <row r="1" spans="1:7" s="2" customFormat="1" x14ac:dyDescent="0.35">
      <c r="A1" s="10" t="s">
        <v>104</v>
      </c>
      <c r="F1" s="7" t="s">
        <v>411</v>
      </c>
    </row>
    <row r="2" spans="1:7" s="2" customFormat="1" x14ac:dyDescent="0.35">
      <c r="A2" s="1" t="s">
        <v>409</v>
      </c>
      <c r="B2" s="228"/>
      <c r="G2" s="6"/>
    </row>
    <row r="3" spans="1:7" s="2" customFormat="1" x14ac:dyDescent="0.35">
      <c r="A3" s="209" t="s">
        <v>440</v>
      </c>
      <c r="G3" s="6"/>
    </row>
    <row r="5" spans="1:7" x14ac:dyDescent="0.35">
      <c r="B5" s="6" t="s">
        <v>122</v>
      </c>
    </row>
    <row r="6" spans="1:7" ht="16" thickBot="1" x14ac:dyDescent="0.4">
      <c r="A6" s="205"/>
      <c r="B6" s="138" t="str">
        <f>+'COS Summary'!F6</f>
        <v>8/1/25-7/31/26</v>
      </c>
      <c r="C6" s="138" t="s">
        <v>407</v>
      </c>
      <c r="D6" s="87"/>
      <c r="E6" s="87"/>
    </row>
    <row r="7" spans="1:7" s="87" customFormat="1" hidden="1" x14ac:dyDescent="0.35">
      <c r="A7" s="1" t="s">
        <v>357</v>
      </c>
      <c r="B7" s="201">
        <v>0</v>
      </c>
    </row>
    <row r="8" spans="1:7" hidden="1" x14ac:dyDescent="0.35">
      <c r="C8" s="1"/>
    </row>
    <row r="9" spans="1:7" x14ac:dyDescent="0.35">
      <c r="A9" s="1" t="s">
        <v>358</v>
      </c>
    </row>
    <row r="10" spans="1:7" x14ac:dyDescent="0.35">
      <c r="A10" s="172" t="s">
        <v>400</v>
      </c>
      <c r="B10" s="264">
        <f>+'COS Summary'!F40</f>
        <v>57509395.130000003</v>
      </c>
      <c r="C10" s="228"/>
    </row>
    <row r="11" spans="1:7" x14ac:dyDescent="0.35">
      <c r="A11" s="170" t="s">
        <v>537</v>
      </c>
      <c r="B11" s="158">
        <f>('COS Summary'!F40*(1+0.045))-'COS Summary'!F40</f>
        <v>2587922.7808499932</v>
      </c>
      <c r="C11" s="97"/>
    </row>
    <row r="12" spans="1:7" x14ac:dyDescent="0.35">
      <c r="A12" s="170" t="s">
        <v>406</v>
      </c>
      <c r="B12" s="171">
        <v>3000000</v>
      </c>
      <c r="C12" s="67" t="s">
        <v>441</v>
      </c>
    </row>
    <row r="13" spans="1:7" x14ac:dyDescent="0.35">
      <c r="A13" s="170" t="s">
        <v>536</v>
      </c>
      <c r="B13" s="171">
        <f>3382248+8862372</f>
        <v>12244620</v>
      </c>
      <c r="C13" s="67" t="s">
        <v>491</v>
      </c>
    </row>
    <row r="14" spans="1:7" x14ac:dyDescent="0.35">
      <c r="A14" s="172" t="s">
        <v>12</v>
      </c>
      <c r="B14" s="158">
        <f>+'COS Summary'!F28</f>
        <v>479148.67000000004</v>
      </c>
    </row>
    <row r="15" spans="1:7" x14ac:dyDescent="0.35">
      <c r="A15" s="172" t="s">
        <v>73</v>
      </c>
      <c r="B15" s="158">
        <f>+'COS Summary'!F29</f>
        <v>4500669.45</v>
      </c>
    </row>
    <row r="16" spans="1:7" x14ac:dyDescent="0.35">
      <c r="A16" s="170" t="s">
        <v>486</v>
      </c>
      <c r="B16" s="158">
        <f>+'COS Summary'!F31+'COS Summary'!F30</f>
        <v>12547273.130233604</v>
      </c>
    </row>
    <row r="17" spans="1:3" s="1" customFormat="1" x14ac:dyDescent="0.35">
      <c r="A17" s="204" t="s">
        <v>360</v>
      </c>
      <c r="B17" s="159">
        <f>SUM(B7:B16)</f>
        <v>92869029.161083594</v>
      </c>
      <c r="C17" s="160"/>
    </row>
    <row r="19" spans="1:3" x14ac:dyDescent="0.35">
      <c r="A19" s="1" t="s">
        <v>361</v>
      </c>
    </row>
    <row r="20" spans="1:3" x14ac:dyDescent="0.35">
      <c r="A20" s="87" t="s">
        <v>362</v>
      </c>
      <c r="B20" s="158">
        <f>+'COS Summary'!F25</f>
        <v>72405430.634105712</v>
      </c>
      <c r="C20" s="67" t="s">
        <v>532</v>
      </c>
    </row>
    <row r="21" spans="1:3" s="87" customFormat="1" ht="15.75" customHeight="1" x14ac:dyDescent="0.35">
      <c r="A21" s="87" t="s">
        <v>420</v>
      </c>
      <c r="B21" s="97">
        <v>-1990396</v>
      </c>
      <c r="C21" s="67" t="s">
        <v>492</v>
      </c>
    </row>
    <row r="22" spans="1:3" s="87" customFormat="1" ht="15.75" customHeight="1" x14ac:dyDescent="0.35">
      <c r="A22" s="87" t="s">
        <v>455</v>
      </c>
      <c r="B22" s="97">
        <f>-4162233/8</f>
        <v>-520279.125</v>
      </c>
      <c r="C22" s="67" t="s">
        <v>456</v>
      </c>
    </row>
    <row r="23" spans="1:3" x14ac:dyDescent="0.35">
      <c r="A23" s="143" t="s">
        <v>363</v>
      </c>
      <c r="B23" s="206">
        <f>-'COS Summary'!F21</f>
        <v>-6307769.71</v>
      </c>
    </row>
    <row r="24" spans="1:3" s="1" customFormat="1" x14ac:dyDescent="0.35">
      <c r="A24" s="1" t="s">
        <v>364</v>
      </c>
      <c r="B24" s="160">
        <f>SUM(B20:B23)</f>
        <v>63586985.799105711</v>
      </c>
    </row>
    <row r="25" spans="1:3" x14ac:dyDescent="0.35">
      <c r="A25" s="87"/>
      <c r="B25" s="87"/>
    </row>
    <row r="26" spans="1:3" x14ac:dyDescent="0.35">
      <c r="A26" s="1" t="s">
        <v>366</v>
      </c>
    </row>
    <row r="27" spans="1:3" x14ac:dyDescent="0.35">
      <c r="A27" s="87" t="s">
        <v>368</v>
      </c>
      <c r="B27" s="158">
        <f>+'COS Summary'!F36</f>
        <v>3053562.094</v>
      </c>
    </row>
    <row r="28" spans="1:3" x14ac:dyDescent="0.35">
      <c r="A28" s="87" t="s">
        <v>367</v>
      </c>
      <c r="B28" s="158">
        <v>5980000</v>
      </c>
      <c r="C28" s="67" t="s">
        <v>491</v>
      </c>
    </row>
    <row r="30" spans="1:3" x14ac:dyDescent="0.35">
      <c r="A30" s="1" t="s">
        <v>365</v>
      </c>
      <c r="B30" s="158">
        <v>15217599.399108799</v>
      </c>
      <c r="C30" s="67" t="s">
        <v>493</v>
      </c>
    </row>
    <row r="32" spans="1:3" x14ac:dyDescent="0.35">
      <c r="A32" s="87" t="s">
        <v>535</v>
      </c>
      <c r="B32" s="347">
        <v>822670</v>
      </c>
    </row>
    <row r="33" spans="1:8" x14ac:dyDescent="0.35">
      <c r="A33" s="87" t="s">
        <v>534</v>
      </c>
      <c r="B33" s="347">
        <f>1183710-1046147</f>
        <v>137563</v>
      </c>
    </row>
    <row r="34" spans="1:8" x14ac:dyDescent="0.35">
      <c r="A34" s="87" t="s">
        <v>533</v>
      </c>
      <c r="B34" s="347">
        <f>1572094-1148527</f>
        <v>423567</v>
      </c>
    </row>
    <row r="36" spans="1:8" s="1" customFormat="1" x14ac:dyDescent="0.35">
      <c r="A36" s="204" t="s">
        <v>369</v>
      </c>
      <c r="B36" s="159">
        <f>SUM(B24:B35)</f>
        <v>89221947.292214513</v>
      </c>
      <c r="C36" s="160"/>
      <c r="D36" s="160"/>
    </row>
    <row r="38" spans="1:8" s="1" customFormat="1" ht="16" thickBot="1" x14ac:dyDescent="0.4">
      <c r="A38" s="15" t="s">
        <v>538</v>
      </c>
      <c r="B38" s="161">
        <f>+B17-B36</f>
        <v>3647081.8688690811</v>
      </c>
      <c r="C38" s="160"/>
    </row>
    <row r="39" spans="1:8" ht="16" thickTop="1" x14ac:dyDescent="0.35"/>
    <row r="40" spans="1:8" x14ac:dyDescent="0.35">
      <c r="A40" s="202" t="s">
        <v>487</v>
      </c>
      <c r="B40" s="203">
        <f>B38-B11+'COS Summary'!F41</f>
        <v>4535227.5298911948</v>
      </c>
    </row>
    <row r="42" spans="1:8" x14ac:dyDescent="0.35">
      <c r="A42" s="202" t="s">
        <v>477</v>
      </c>
      <c r="B42" s="203">
        <f>+B17-B11-B36</f>
        <v>1059159.0880190879</v>
      </c>
      <c r="C42" s="228"/>
    </row>
    <row r="44" spans="1:8" s="2" customFormat="1" x14ac:dyDescent="0.35">
      <c r="A44" s="197"/>
      <c r="B44" s="198"/>
      <c r="C44" s="195"/>
      <c r="D44" s="195"/>
    </row>
    <row r="45" spans="1:8" s="2" customFormat="1" x14ac:dyDescent="0.35">
      <c r="A45" s="170"/>
      <c r="B45" s="96"/>
      <c r="C45" s="87"/>
      <c r="D45" s="87"/>
      <c r="G45" s="194"/>
      <c r="H45" s="106"/>
    </row>
    <row r="46" spans="1:8" s="2" customFormat="1" x14ac:dyDescent="0.35">
      <c r="A46" s="170"/>
      <c r="B46" s="196"/>
      <c r="C46" s="196"/>
      <c r="D46" s="87"/>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EE53A-AE47-4546-8C9F-66857CD59B9C}">
  <dimension ref="A1:G68"/>
  <sheetViews>
    <sheetView zoomScale="115" zoomScaleNormal="115" workbookViewId="0">
      <selection activeCell="B61" sqref="B61"/>
    </sheetView>
  </sheetViews>
  <sheetFormatPr defaultColWidth="10.53515625" defaultRowHeight="15.5" x14ac:dyDescent="0.35"/>
  <cols>
    <col min="1" max="1" width="3.07421875" style="87" customWidth="1"/>
    <col min="2" max="2" width="54.4609375" style="87" customWidth="1"/>
    <col min="3" max="3" width="6.07421875" style="87" customWidth="1"/>
    <col min="4" max="5" width="13.921875" style="87" customWidth="1"/>
    <col min="6" max="6" width="11.07421875" style="87" bestFit="1" customWidth="1"/>
    <col min="7" max="9" width="10.921875" style="87" bestFit="1" customWidth="1"/>
    <col min="10" max="10" width="11.921875" style="87" bestFit="1" customWidth="1"/>
    <col min="11" max="16384" width="10.53515625" style="87"/>
  </cols>
  <sheetData>
    <row r="1" spans="1:7" x14ac:dyDescent="0.35">
      <c r="A1" s="1" t="s">
        <v>104</v>
      </c>
      <c r="G1" s="7" t="s">
        <v>412</v>
      </c>
    </row>
    <row r="2" spans="1:7" x14ac:dyDescent="0.35">
      <c r="A2" s="1" t="s">
        <v>410</v>
      </c>
    </row>
    <row r="3" spans="1:7" x14ac:dyDescent="0.35">
      <c r="A3" s="209" t="s">
        <v>440</v>
      </c>
    </row>
    <row r="4" spans="1:7" x14ac:dyDescent="0.35">
      <c r="A4" s="162"/>
      <c r="B4" s="162"/>
      <c r="C4" s="162"/>
      <c r="D4" s="199" t="s">
        <v>122</v>
      </c>
    </row>
    <row r="5" spans="1:7" ht="16" thickBot="1" x14ac:dyDescent="0.4">
      <c r="A5" s="169"/>
      <c r="B5" s="163"/>
      <c r="C5" s="163"/>
      <c r="D5" s="200" t="str">
        <f>+'COS Summary'!F6</f>
        <v>8/1/25-7/31/26</v>
      </c>
    </row>
    <row r="7" spans="1:7" x14ac:dyDescent="0.35">
      <c r="B7" s="87" t="s">
        <v>359</v>
      </c>
      <c r="D7" s="174">
        <f>+'COS Summary'!F40</f>
        <v>57509395.130000003</v>
      </c>
    </row>
    <row r="8" spans="1:7" x14ac:dyDescent="0.35">
      <c r="B8" s="87" t="s">
        <v>539</v>
      </c>
      <c r="C8" s="173"/>
      <c r="D8" s="174">
        <f>('COS Summary'!F40*(1+0.045))-'COS Summary'!F40</f>
        <v>2587922.7808499932</v>
      </c>
    </row>
    <row r="9" spans="1:7" x14ac:dyDescent="0.35">
      <c r="B9" s="87" t="s">
        <v>398</v>
      </c>
      <c r="D9" s="175">
        <f>SUM(D7:D8)</f>
        <v>60097317.910849996</v>
      </c>
    </row>
    <row r="10" spans="1:7" x14ac:dyDescent="0.35">
      <c r="D10" s="174"/>
    </row>
    <row r="11" spans="1:7" x14ac:dyDescent="0.35">
      <c r="B11" s="87" t="s">
        <v>436</v>
      </c>
      <c r="D11" s="174">
        <f>SUM('Sch13-Other Inc (Exp)'!E29:E33)</f>
        <v>8066224.1242336044</v>
      </c>
      <c r="E11" s="67" t="s">
        <v>442</v>
      </c>
    </row>
    <row r="12" spans="1:7" x14ac:dyDescent="0.35">
      <c r="B12" s="87" t="s">
        <v>437</v>
      </c>
      <c r="D12" s="174">
        <f>+'Sch13-Other Inc (Exp)'!E20+'Sch13-Other Inc (Exp)'!E35-D11</f>
        <v>3349324.9300000006</v>
      </c>
      <c r="E12" s="67" t="s">
        <v>438</v>
      </c>
    </row>
    <row r="13" spans="1:7" hidden="1" x14ac:dyDescent="0.35">
      <c r="D13" s="174"/>
    </row>
    <row r="14" spans="1:7" ht="15.75" customHeight="1" x14ac:dyDescent="0.35">
      <c r="A14" s="87" t="s">
        <v>383</v>
      </c>
      <c r="D14" s="175">
        <f>SUM(D9:D13)</f>
        <v>71512866.965083614</v>
      </c>
    </row>
    <row r="15" spans="1:7" x14ac:dyDescent="0.35">
      <c r="D15" s="174"/>
    </row>
    <row r="16" spans="1:7" x14ac:dyDescent="0.35">
      <c r="A16" s="87" t="s">
        <v>362</v>
      </c>
      <c r="D16" s="207">
        <f>+D56</f>
        <v>70089732.954105705</v>
      </c>
      <c r="E16" s="208" t="s">
        <v>416</v>
      </c>
    </row>
    <row r="17" spans="1:6" x14ac:dyDescent="0.35">
      <c r="D17" s="174"/>
    </row>
    <row r="18" spans="1:6" x14ac:dyDescent="0.35">
      <c r="B18" s="87" t="s">
        <v>414</v>
      </c>
      <c r="D18" s="176">
        <f>-'Sch 9-Dep &amp; Amt'!E98-'Sch 9-Dep &amp; Amt'!E118</f>
        <v>-6178459.8499999987</v>
      </c>
    </row>
    <row r="19" spans="1:6" x14ac:dyDescent="0.35">
      <c r="B19" s="87" t="s">
        <v>443</v>
      </c>
      <c r="D19" s="176">
        <f>-'Sch 9-Dep &amp; Amt'!E120</f>
        <v>-129309.86</v>
      </c>
    </row>
    <row r="20" spans="1:6" x14ac:dyDescent="0.35">
      <c r="B20" s="87" t="s">
        <v>415</v>
      </c>
      <c r="D20" s="174">
        <f>-'Sch 10-Taxes'!E17</f>
        <v>-2640326.12</v>
      </c>
    </row>
    <row r="21" spans="1:6" hidden="1" x14ac:dyDescent="0.35">
      <c r="D21" s="174"/>
    </row>
    <row r="22" spans="1:6" x14ac:dyDescent="0.35">
      <c r="A22" s="87" t="s">
        <v>384</v>
      </c>
      <c r="D22" s="177">
        <f>SUM(D16:D21)</f>
        <v>61141637.124105707</v>
      </c>
    </row>
    <row r="23" spans="1:6" x14ac:dyDescent="0.35">
      <c r="D23" s="174"/>
    </row>
    <row r="24" spans="1:6" x14ac:dyDescent="0.35">
      <c r="A24" s="87" t="s">
        <v>385</v>
      </c>
      <c r="D24" s="177">
        <f>+D14-D22</f>
        <v>10371229.840977907</v>
      </c>
    </row>
    <row r="25" spans="1:6" x14ac:dyDescent="0.35">
      <c r="D25" s="174"/>
    </row>
    <row r="26" spans="1:6" x14ac:dyDescent="0.35">
      <c r="A26" s="87" t="s">
        <v>386</v>
      </c>
      <c r="D26" s="178">
        <f>+'Sch 11-Interest Income'!E18+'Sch 12-Dividend Income'!E16+'Sch13-Other Inc (Exp)'!E15</f>
        <v>6111542.1960000005</v>
      </c>
      <c r="E26" s="67" t="s">
        <v>444</v>
      </c>
    </row>
    <row r="27" spans="1:6" x14ac:dyDescent="0.35">
      <c r="A27" s="87" t="s">
        <v>387</v>
      </c>
      <c r="D27" s="179">
        <f>-'Sch 13A-Misc Non-Op Inc detail'!E11</f>
        <v>-419612.46600000013</v>
      </c>
    </row>
    <row r="28" spans="1:6" x14ac:dyDescent="0.35">
      <c r="D28" s="178"/>
      <c r="F28" s="183"/>
    </row>
    <row r="29" spans="1:6" x14ac:dyDescent="0.35">
      <c r="A29" s="87" t="s">
        <v>388</v>
      </c>
      <c r="D29" s="180">
        <f>SUM(D24:D28)</f>
        <v>16063159.570977908</v>
      </c>
    </row>
    <row r="30" spans="1:6" x14ac:dyDescent="0.35">
      <c r="D30" s="178"/>
    </row>
    <row r="31" spans="1:6" x14ac:dyDescent="0.35">
      <c r="A31" s="87" t="s">
        <v>389</v>
      </c>
      <c r="D31" s="179">
        <f>+(D59+D60)</f>
        <v>2820526.85</v>
      </c>
      <c r="E31" s="208" t="s">
        <v>416</v>
      </c>
    </row>
    <row r="32" spans="1:6" x14ac:dyDescent="0.35">
      <c r="D32" s="174"/>
    </row>
    <row r="33" spans="1:5" s="1" customFormat="1" x14ac:dyDescent="0.35">
      <c r="A33" s="210" t="s">
        <v>540</v>
      </c>
      <c r="B33" s="210"/>
      <c r="C33" s="210"/>
      <c r="D33" s="211">
        <f>+D29/D31</f>
        <v>5.6950918836237658</v>
      </c>
      <c r="E33" s="67" t="s">
        <v>417</v>
      </c>
    </row>
    <row r="34" spans="1:5" s="1" customFormat="1" x14ac:dyDescent="0.35">
      <c r="A34" s="1" t="s">
        <v>418</v>
      </c>
      <c r="D34" s="216">
        <f>(D29-D8+'COS Summary'!F41)/D31</f>
        <v>6.0099783244396425</v>
      </c>
      <c r="E34" s="67"/>
    </row>
    <row r="36" spans="1:5" x14ac:dyDescent="0.35">
      <c r="A36" s="87" t="s">
        <v>388</v>
      </c>
      <c r="D36" s="97">
        <f>+D29</f>
        <v>16063159.570977908</v>
      </c>
    </row>
    <row r="37" spans="1:5" x14ac:dyDescent="0.35">
      <c r="A37" s="87" t="s">
        <v>408</v>
      </c>
      <c r="D37" s="179">
        <f>+D20</f>
        <v>-2640326.12</v>
      </c>
    </row>
    <row r="38" spans="1:5" x14ac:dyDescent="0.35">
      <c r="D38" s="97"/>
    </row>
    <row r="39" spans="1:5" x14ac:dyDescent="0.35">
      <c r="A39" s="87" t="s">
        <v>390</v>
      </c>
      <c r="D39" s="164">
        <f>SUM(D36:D38)</f>
        <v>13422833.450977907</v>
      </c>
    </row>
    <row r="40" spans="1:5" x14ac:dyDescent="0.35">
      <c r="D40" s="97"/>
    </row>
    <row r="41" spans="1:5" x14ac:dyDescent="0.35">
      <c r="A41" s="87" t="s">
        <v>366</v>
      </c>
      <c r="D41" s="97"/>
    </row>
    <row r="42" spans="1:5" x14ac:dyDescent="0.35">
      <c r="A42" s="170" t="s">
        <v>446</v>
      </c>
      <c r="D42" s="97">
        <f>+D59+D60</f>
        <v>2820526.85</v>
      </c>
    </row>
    <row r="43" spans="1:5" x14ac:dyDescent="0.35">
      <c r="A43" s="170" t="s">
        <v>447</v>
      </c>
      <c r="D43" s="97">
        <f>+D61+D62</f>
        <v>6387611.6299999999</v>
      </c>
      <c r="E43" s="97"/>
    </row>
    <row r="44" spans="1:5" x14ac:dyDescent="0.35">
      <c r="A44" s="170" t="s">
        <v>445</v>
      </c>
      <c r="D44" s="97">
        <f>SUM(D63:D64)</f>
        <v>122967.49</v>
      </c>
      <c r="E44" s="97"/>
    </row>
    <row r="45" spans="1:5" x14ac:dyDescent="0.35">
      <c r="A45" s="87" t="s">
        <v>391</v>
      </c>
      <c r="D45" s="164">
        <f>SUM(D42:D43)</f>
        <v>9208138.4800000004</v>
      </c>
    </row>
    <row r="47" spans="1:5" s="1" customFormat="1" x14ac:dyDescent="0.35">
      <c r="A47" s="210" t="s">
        <v>541</v>
      </c>
      <c r="B47" s="210"/>
      <c r="C47" s="210"/>
      <c r="D47" s="212">
        <f>+D39/D45</f>
        <v>1.4577141167166618</v>
      </c>
    </row>
    <row r="48" spans="1:5" x14ac:dyDescent="0.35">
      <c r="A48" s="213" t="s">
        <v>419</v>
      </c>
      <c r="D48" s="184">
        <f>(D39-D8+'COS Summary'!F42)/D45</f>
        <v>1.5082823519969388</v>
      </c>
    </row>
    <row r="50" spans="1:6" ht="16" thickBot="1" x14ac:dyDescent="0.4">
      <c r="A50" s="67"/>
    </row>
    <row r="51" spans="1:6" x14ac:dyDescent="0.35">
      <c r="A51" s="214" t="s">
        <v>392</v>
      </c>
      <c r="B51" s="215"/>
      <c r="C51" s="215"/>
      <c r="D51" s="215"/>
    </row>
    <row r="52" spans="1:6" x14ac:dyDescent="0.35">
      <c r="B52" s="166" t="s">
        <v>362</v>
      </c>
      <c r="C52" s="166"/>
      <c r="D52" s="97"/>
    </row>
    <row r="53" spans="1:6" ht="15.75" customHeight="1" x14ac:dyDescent="0.35">
      <c r="B53" s="87" t="s">
        <v>393</v>
      </c>
      <c r="D53" s="97">
        <f>+'COS Summary'!F25</f>
        <v>72405430.634105712</v>
      </c>
      <c r="E53" s="97"/>
      <c r="F53" s="97"/>
    </row>
    <row r="54" spans="1:6" ht="15.75" customHeight="1" x14ac:dyDescent="0.35">
      <c r="B54" s="87" t="s">
        <v>396</v>
      </c>
      <c r="D54" s="97">
        <f>+'Sch 16-Cash'!B21</f>
        <v>-1990396</v>
      </c>
      <c r="E54" s="67" t="s">
        <v>526</v>
      </c>
    </row>
    <row r="55" spans="1:6" x14ac:dyDescent="0.35">
      <c r="B55" s="87" t="s">
        <v>394</v>
      </c>
      <c r="D55" s="97">
        <f>-'Sch 6-Customer Acct &amp; Serv'!E15</f>
        <v>-325301.68</v>
      </c>
    </row>
    <row r="56" spans="1:6" ht="16" thickBot="1" x14ac:dyDescent="0.4">
      <c r="B56" s="87" t="s">
        <v>395</v>
      </c>
      <c r="D56" s="165">
        <f>SUM(D53:D55)</f>
        <v>70089732.954105705</v>
      </c>
      <c r="E56" s="97"/>
    </row>
    <row r="57" spans="1:6" ht="16" thickTop="1" x14ac:dyDescent="0.35">
      <c r="D57" s="97"/>
    </row>
    <row r="58" spans="1:6" x14ac:dyDescent="0.35">
      <c r="B58" s="1" t="s">
        <v>366</v>
      </c>
      <c r="C58" s="1"/>
    </row>
    <row r="59" spans="1:6" x14ac:dyDescent="0.35">
      <c r="B59" s="170" t="s">
        <v>450</v>
      </c>
      <c r="D59" s="167">
        <f>+'Sch 14-Interest Expense'!E22</f>
        <v>1375526.85</v>
      </c>
    </row>
    <row r="60" spans="1:6" x14ac:dyDescent="0.35">
      <c r="B60" s="170" t="s">
        <v>451</v>
      </c>
      <c r="D60" s="167">
        <v>1445000</v>
      </c>
      <c r="E60" s="67"/>
    </row>
    <row r="61" spans="1:6" x14ac:dyDescent="0.35">
      <c r="B61" s="170" t="s">
        <v>452</v>
      </c>
      <c r="D61" s="167">
        <f>+'Sch 14-Interest Expense'!E14</f>
        <v>1852611.6300000001</v>
      </c>
    </row>
    <row r="62" spans="1:6" x14ac:dyDescent="0.35">
      <c r="B62" s="170" t="s">
        <v>453</v>
      </c>
      <c r="D62" s="167">
        <v>4535000</v>
      </c>
      <c r="E62" s="67"/>
    </row>
    <row r="63" spans="1:6" x14ac:dyDescent="0.35">
      <c r="B63" s="170" t="s">
        <v>448</v>
      </c>
      <c r="D63" s="167">
        <f>'Sch 14-Interest Expense'!E59</f>
        <v>4748.49</v>
      </c>
      <c r="E63" s="67"/>
    </row>
    <row r="64" spans="1:6" x14ac:dyDescent="0.35">
      <c r="B64" s="170" t="s">
        <v>449</v>
      </c>
      <c r="D64" s="167">
        <v>118219</v>
      </c>
      <c r="E64" s="67"/>
    </row>
    <row r="65" spans="2:5" x14ac:dyDescent="0.35">
      <c r="B65" s="87" t="s">
        <v>175</v>
      </c>
      <c r="D65" s="168">
        <f>SUM(D59:D62)</f>
        <v>9208138.4800000004</v>
      </c>
      <c r="E65" s="167"/>
    </row>
    <row r="67" spans="2:5" x14ac:dyDescent="0.35">
      <c r="D67" s="167"/>
    </row>
    <row r="68" spans="2:5" x14ac:dyDescent="0.35">
      <c r="D68" s="167">
        <f>+D59+D60+D61+D62</f>
        <v>9208138.4800000004</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4d3b68e-9a1f-40e3-b3ce-724c2a7b0457" xsi:nil="true"/>
    <lcf76f155ced4ddcb4097134ff3c332f xmlns="ddad35bc-c292-40f5-b9fc-8cbe75b53ccd">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BAE1B65D0E0584AA6CD1D5DF3298ED2" ma:contentTypeVersion="13" ma:contentTypeDescription="Create a new document." ma:contentTypeScope="" ma:versionID="6307fdfb9480f70b2fd14c96ceea1a3c">
  <xsd:schema xmlns:xsd="http://www.w3.org/2001/XMLSchema" xmlns:xs="http://www.w3.org/2001/XMLSchema" xmlns:p="http://schemas.microsoft.com/office/2006/metadata/properties" xmlns:ns2="ddad35bc-c292-40f5-b9fc-8cbe75b53ccd" xmlns:ns3="e4d3b68e-9a1f-40e3-b3ce-724c2a7b0457" targetNamespace="http://schemas.microsoft.com/office/2006/metadata/properties" ma:root="true" ma:fieldsID="347c607a402862f976ef866a0d27b47b" ns2:_="" ns3:_="">
    <xsd:import namespace="ddad35bc-c292-40f5-b9fc-8cbe75b53ccd"/>
    <xsd:import namespace="e4d3b68e-9a1f-40e3-b3ce-724c2a7b045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MediaServiceLoca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ad35bc-c292-40f5-b9fc-8cbe75b53c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Location" ma:index="16" nillable="true" ma:displayName="Location" ma:description="" ma:indexed="true"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71f7164d-6307-44dc-8a39-8eb55ba51252"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4d3b68e-9a1f-40e3-b3ce-724c2a7b0457"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f84e0863-8294-40ca-aad5-bd63dcff8184}" ma:internalName="TaxCatchAll" ma:showField="CatchAllData" ma:web="e4d3b68e-9a1f-40e3-b3ce-724c2a7b045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9EC2D4E-C321-42BB-8D6F-C1F1F5D864BF}">
  <ds:schemaRefs>
    <ds:schemaRef ds:uri="http://schemas.microsoft.com/sharepoint/v3/contenttype/forms"/>
  </ds:schemaRefs>
</ds:datastoreItem>
</file>

<file path=customXml/itemProps2.xml><?xml version="1.0" encoding="utf-8"?>
<ds:datastoreItem xmlns:ds="http://schemas.openxmlformats.org/officeDocument/2006/customXml" ds:itemID="{18FF836B-203A-4DB6-997A-06A2934E1B72}">
  <ds:schemaRefs>
    <ds:schemaRef ds:uri="http://schemas.microsoft.com/office/2006/metadata/properties"/>
    <ds:schemaRef ds:uri="http://schemas.microsoft.com/office/infopath/2007/PartnerControls"/>
    <ds:schemaRef ds:uri="e4d3b68e-9a1f-40e3-b3ce-724c2a7b0457"/>
    <ds:schemaRef ds:uri="ddad35bc-c292-40f5-b9fc-8cbe75b53ccd"/>
  </ds:schemaRefs>
</ds:datastoreItem>
</file>

<file path=customXml/itemProps3.xml><?xml version="1.0" encoding="utf-8"?>
<ds:datastoreItem xmlns:ds="http://schemas.openxmlformats.org/officeDocument/2006/customXml" ds:itemID="{D9340B33-7142-4617-B846-5E42CF56D7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ad35bc-c292-40f5-b9fc-8cbe75b53ccd"/>
    <ds:schemaRef ds:uri="e4d3b68e-9a1f-40e3-b3ce-724c2a7b04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b4933b-baad-433c-9c02-70edcc7559c6}" enabled="0" method="" siteId="{20b4933b-baad-433c-9c02-70edcc7559c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11</vt:i4>
      </vt:variant>
    </vt:vector>
  </HeadingPairs>
  <TitlesOfParts>
    <vt:vector size="31" baseType="lpstr">
      <vt:lpstr>COS Summary</vt:lpstr>
      <vt:lpstr>K&amp;M Summary</vt:lpstr>
      <vt:lpstr>Sch 1-Fuel</vt:lpstr>
      <vt:lpstr>Sch 2-Production</vt:lpstr>
      <vt:lpstr>Sch 3-Purchased Power</vt:lpstr>
      <vt:lpstr>Sch 4-Transmission</vt:lpstr>
      <vt:lpstr>Sch 5-A &amp; G</vt:lpstr>
      <vt:lpstr>Sch 6-Customer Acct &amp; Serv</vt:lpstr>
      <vt:lpstr>Sch 7-Distribution</vt:lpstr>
      <vt:lpstr>Sch 8-Sys Load Cnrl &amp; Disp</vt:lpstr>
      <vt:lpstr>Sch 9-Dep &amp; Amt</vt:lpstr>
      <vt:lpstr>Sch 10-Taxes</vt:lpstr>
      <vt:lpstr>Sch 11-Interest Income</vt:lpstr>
      <vt:lpstr>Sch 12-Dividend Income</vt:lpstr>
      <vt:lpstr>Sch13-Other Inc (Exp)</vt:lpstr>
      <vt:lpstr>Sch 13A-Misc Non-Op Inc detail</vt:lpstr>
      <vt:lpstr>Sch 14-Interest Expense</vt:lpstr>
      <vt:lpstr>Sch 15-Revenue</vt:lpstr>
      <vt:lpstr>Sch 16-Cash</vt:lpstr>
      <vt:lpstr>Sch 17-DSR</vt:lpstr>
      <vt:lpstr>'COS Summary'!Print_Area</vt:lpstr>
      <vt:lpstr>'K&amp;M Summary'!Print_Area</vt:lpstr>
      <vt:lpstr>'Sch 10-Taxes'!Print_Area</vt:lpstr>
      <vt:lpstr>'Sch 12-Dividend Income'!Print_Area</vt:lpstr>
      <vt:lpstr>'Sch 13A-Misc Non-Op Inc detail'!Print_Area</vt:lpstr>
      <vt:lpstr>'Sch 2-Production'!Print_Area</vt:lpstr>
      <vt:lpstr>'Sch 3-Purchased Power'!Print_Area</vt:lpstr>
      <vt:lpstr>'Sch 9-Dep &amp; Amt'!Print_Area</vt:lpstr>
      <vt:lpstr>'Sch13-Other Inc (Exp)'!Print_Area</vt:lpstr>
      <vt:lpstr>'K&amp;M Summary'!Print_Titles</vt:lpstr>
      <vt:lpstr>'Sch 3-Purchased Power'!Print_Titles</vt:lpstr>
    </vt:vector>
  </TitlesOfParts>
  <Company>Burlington Electric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BED</dc:creator>
  <cp:lastModifiedBy>Bakerpoole, Matthew</cp:lastModifiedBy>
  <cp:lastPrinted>2024-05-31T14:01:15Z</cp:lastPrinted>
  <dcterms:created xsi:type="dcterms:W3CDTF">2003-08-20T20:53:23Z</dcterms:created>
  <dcterms:modified xsi:type="dcterms:W3CDTF">2025-10-28T20:35:25Z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0x0101005BAE1B65D0E0584AA6CD1D5DF3298ED2</vt:lpwstr>
  </property>
</Properties>
</file>