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24226"/>
  <mc:AlternateContent xmlns:mc="http://schemas.openxmlformats.org/markup-compatibility/2006">
    <mc:Choice Requires="x15">
      <x15ac:absPath xmlns:x15ac="http://schemas.microsoft.com/office/spreadsheetml/2010/11/ac" url="L:\VermontElectric\Rate Case\2025 Rate Case (Filed in 2024)\Potter Testimony and Exhibits\"/>
    </mc:Choice>
  </mc:AlternateContent>
  <xr:revisionPtr revIDLastSave="0" documentId="13_ncr:1_{21CEB3BE-AD99-4341-A9C5-FA8F6D9C7C25}" xr6:coauthVersionLast="36" xr6:coauthVersionMax="36" xr10:uidLastSave="{00000000-0000-0000-0000-000000000000}"/>
  <bookViews>
    <workbookView xWindow="12" yWindow="-12" windowWidth="20472" windowHeight="8112" firstSheet="1" activeTab="1" xr2:uid="{00000000-000D-0000-FFFF-FFFF00000000}"/>
  </bookViews>
  <sheets>
    <sheet name="5-Year Plan Data" sheetId="20" state="hidden" r:id="rId1"/>
    <sheet name="$" sheetId="18" r:id="rId2"/>
    <sheet name="MWH" sheetId="17" r:id="rId3"/>
    <sheet name="Detailed Assumps" sheetId="13" r:id="rId4"/>
    <sheet name="ACCT 447 Est" sheetId="19" r:id="rId5"/>
  </sheets>
  <definedNames>
    <definedName name="\A">#REF!</definedName>
    <definedName name="\P">#REF!</definedName>
    <definedName name="AUG">#REF!</definedName>
    <definedName name="OCT">#REF!</definedName>
    <definedName name="_xlnm.Print_Area" localSheetId="1">'$'!#REF!</definedName>
    <definedName name="_xlnm.Print_Area" localSheetId="3">'Detailed Assumps'!$A$728:$B$736</definedName>
    <definedName name="_xlnm.Print_Area" localSheetId="2">MWH!#REF!</definedName>
    <definedName name="_xlnm.Print_Titles" localSheetId="1">'$'!$C:$D</definedName>
    <definedName name="_xlnm.Print_Titles" localSheetId="2">MWH!$A:$B</definedName>
    <definedName name="SEPT">#REF!</definedName>
  </definedNames>
  <calcPr calcId="191029"/>
</workbook>
</file>

<file path=xl/calcChain.xml><?xml version="1.0" encoding="utf-8"?>
<calcChain xmlns="http://schemas.openxmlformats.org/spreadsheetml/2006/main">
  <c r="O70" i="17" l="1"/>
  <c r="P70" i="17"/>
  <c r="Q70" i="17"/>
  <c r="R70" i="17"/>
  <c r="S70" i="17"/>
  <c r="T70" i="17"/>
  <c r="U70" i="17"/>
  <c r="V70" i="17"/>
  <c r="W70" i="17"/>
  <c r="X70" i="17"/>
  <c r="Y70" i="17"/>
  <c r="Z70" i="17"/>
  <c r="I50" i="19" l="1"/>
  <c r="C4" i="19"/>
  <c r="D4" i="19"/>
  <c r="E4" i="19"/>
  <c r="F4" i="19"/>
  <c r="G4" i="19"/>
  <c r="H4" i="19"/>
  <c r="I4" i="19"/>
  <c r="J4" i="19"/>
  <c r="K4" i="19"/>
  <c r="L4" i="19"/>
  <c r="M4" i="19"/>
  <c r="N4" i="19"/>
  <c r="O4" i="19"/>
  <c r="P4" i="19"/>
  <c r="Q4" i="19"/>
  <c r="R4" i="19"/>
  <c r="S4" i="19"/>
  <c r="T4" i="19"/>
  <c r="U4" i="19"/>
  <c r="V4" i="19"/>
  <c r="W4" i="19"/>
  <c r="X4" i="19"/>
  <c r="Y4" i="19"/>
  <c r="B4" i="19"/>
  <c r="AA8" i="17"/>
  <c r="AA9" i="17"/>
  <c r="AA10" i="17"/>
  <c r="AA11" i="17"/>
  <c r="AA12" i="17"/>
  <c r="AA13" i="17"/>
  <c r="AA14" i="17"/>
  <c r="AA15" i="17"/>
  <c r="AA16" i="17"/>
  <c r="AA17" i="17"/>
  <c r="AA18" i="17"/>
  <c r="AA19" i="17"/>
  <c r="AA20" i="17"/>
  <c r="AA21" i="17"/>
  <c r="AA22" i="17"/>
  <c r="AA23" i="17"/>
  <c r="AA24" i="17"/>
  <c r="AA25" i="17"/>
  <c r="AA26" i="17"/>
  <c r="AA27" i="17"/>
  <c r="AA28" i="17"/>
  <c r="AA29" i="17"/>
  <c r="AA30" i="17"/>
  <c r="AA31" i="17"/>
  <c r="AA32" i="17"/>
  <c r="AA33" i="17"/>
  <c r="AA34" i="17"/>
  <c r="AA35" i="17"/>
  <c r="AA36" i="17"/>
  <c r="AA37" i="17"/>
  <c r="AA38" i="17"/>
  <c r="AA39" i="17"/>
  <c r="AA40" i="17"/>
  <c r="AA41" i="17"/>
  <c r="AA42" i="17"/>
  <c r="AA43" i="17"/>
  <c r="AA44" i="17"/>
  <c r="AA45" i="17"/>
  <c r="AA46" i="17"/>
  <c r="AA47" i="17"/>
  <c r="AA48" i="17"/>
  <c r="AA50" i="17"/>
  <c r="AA51" i="17"/>
  <c r="AA52" i="17"/>
  <c r="AA53" i="17"/>
  <c r="AA54" i="17"/>
  <c r="AA55" i="17"/>
  <c r="AA56" i="17"/>
  <c r="AA57" i="17"/>
  <c r="AA58" i="17"/>
  <c r="AA59" i="17"/>
  <c r="AA60" i="17"/>
  <c r="AA61" i="17"/>
  <c r="AA62" i="17"/>
  <c r="AA63" i="17"/>
  <c r="AA64" i="17"/>
  <c r="AA65" i="17"/>
  <c r="AA66" i="17"/>
  <c r="AA67" i="17"/>
  <c r="AA69" i="17"/>
  <c r="AA71" i="17"/>
  <c r="AA7" i="17"/>
  <c r="P927" i="13"/>
  <c r="Q927" i="13"/>
  <c r="R927" i="13"/>
  <c r="S927" i="13"/>
  <c r="T927" i="13"/>
  <c r="U927" i="13"/>
  <c r="V927" i="13"/>
  <c r="W927" i="13"/>
  <c r="X927" i="13"/>
  <c r="Y927" i="13"/>
  <c r="Z927" i="13"/>
  <c r="O927" i="13"/>
  <c r="Z1055" i="13"/>
  <c r="P557" i="13"/>
  <c r="Q557" i="13"/>
  <c r="R557" i="13"/>
  <c r="S557" i="13"/>
  <c r="T557" i="13"/>
  <c r="U557" i="13"/>
  <c r="V557" i="13"/>
  <c r="W557" i="13"/>
  <c r="X557" i="13"/>
  <c r="Y557" i="13"/>
  <c r="Z557" i="13"/>
  <c r="O557" i="13"/>
  <c r="G47" i="18" l="1"/>
  <c r="H47" i="18"/>
  <c r="I47" i="18"/>
  <c r="J47" i="18"/>
  <c r="K47" i="18"/>
  <c r="L47" i="18"/>
  <c r="M47" i="18"/>
  <c r="N47" i="18"/>
  <c r="O47" i="18"/>
  <c r="P47" i="18"/>
  <c r="F47" i="18"/>
  <c r="E47" i="18"/>
  <c r="Z280" i="13" l="1"/>
  <c r="Y280" i="13"/>
  <c r="X280" i="13"/>
  <c r="W280" i="13"/>
  <c r="V280" i="13"/>
  <c r="U280" i="13"/>
  <c r="Z266" i="13"/>
  <c r="Y266" i="13"/>
  <c r="X266" i="13"/>
  <c r="W266" i="13"/>
  <c r="V266" i="13"/>
  <c r="U266" i="13"/>
  <c r="O1165" i="13" l="1"/>
  <c r="O1149" i="13"/>
  <c r="Q23" i="18" l="1"/>
  <c r="Q48" i="18"/>
  <c r="Q57" i="18"/>
  <c r="Q62" i="18"/>
  <c r="Q91" i="18"/>
  <c r="Q93" i="18"/>
  <c r="Q96" i="18"/>
  <c r="Q97" i="18"/>
  <c r="Q98" i="18"/>
  <c r="Q99" i="18"/>
  <c r="Q100" i="18"/>
  <c r="Q101" i="18"/>
  <c r="Q102" i="18"/>
  <c r="Q103" i="18"/>
  <c r="Q104" i="18"/>
  <c r="P395" i="13" l="1"/>
  <c r="P396" i="13" s="1"/>
  <c r="Q395" i="13"/>
  <c r="Q396" i="13" s="1"/>
  <c r="R395" i="13"/>
  <c r="R396" i="13" s="1"/>
  <c r="S395" i="13"/>
  <c r="S396" i="13" s="1"/>
  <c r="T395" i="13"/>
  <c r="T396" i="13" s="1"/>
  <c r="U395" i="13"/>
  <c r="U396" i="13" s="1"/>
  <c r="V395" i="13"/>
  <c r="V396" i="13" s="1"/>
  <c r="W395" i="13"/>
  <c r="W396" i="13" s="1"/>
  <c r="X395" i="13"/>
  <c r="X396" i="13" s="1"/>
  <c r="Y395" i="13"/>
  <c r="Y396" i="13" s="1"/>
  <c r="Z395" i="13"/>
  <c r="Z396" i="13" s="1"/>
  <c r="O395" i="13"/>
  <c r="O396" i="13" s="1"/>
  <c r="P390" i="13"/>
  <c r="P391" i="13" s="1"/>
  <c r="Q390" i="13"/>
  <c r="Q391" i="13" s="1"/>
  <c r="R390" i="13"/>
  <c r="R391" i="13" s="1"/>
  <c r="S390" i="13"/>
  <c r="S391" i="13" s="1"/>
  <c r="T390" i="13"/>
  <c r="T391" i="13" s="1"/>
  <c r="U390" i="13"/>
  <c r="U391" i="13" s="1"/>
  <c r="V390" i="13"/>
  <c r="V391" i="13" s="1"/>
  <c r="W390" i="13"/>
  <c r="W391" i="13" s="1"/>
  <c r="X390" i="13"/>
  <c r="X391" i="13" s="1"/>
  <c r="Y390" i="13"/>
  <c r="Y391" i="13" s="1"/>
  <c r="Z390" i="13"/>
  <c r="Z391" i="13" s="1"/>
  <c r="O390" i="13"/>
  <c r="O391" i="13" s="1"/>
  <c r="W311" i="13" l="1"/>
  <c r="P191" i="13" l="1"/>
  <c r="O191" i="13"/>
  <c r="T40" i="13" l="1"/>
  <c r="P40" i="13" l="1"/>
  <c r="A976" i="13" l="1"/>
  <c r="X311" i="13" l="1"/>
  <c r="Y311" i="13"/>
  <c r="Z311" i="13"/>
  <c r="R310" i="13"/>
  <c r="S310" i="13"/>
  <c r="S318" i="13" s="1"/>
  <c r="S319" i="13" s="1"/>
  <c r="T310" i="13"/>
  <c r="T318" i="13" s="1"/>
  <c r="U310" i="13"/>
  <c r="U318" i="13" s="1"/>
  <c r="U319" i="13" s="1"/>
  <c r="X310" i="13"/>
  <c r="Y310" i="13"/>
  <c r="Y318" i="13" s="1"/>
  <c r="Z310" i="13"/>
  <c r="Z318" i="13" s="1"/>
  <c r="O310" i="13"/>
  <c r="O318" i="13" s="1"/>
  <c r="Q201" i="13"/>
  <c r="R201" i="13"/>
  <c r="S201" i="13"/>
  <c r="T201" i="13"/>
  <c r="U201" i="13"/>
  <c r="V201" i="13"/>
  <c r="W201" i="13"/>
  <c r="X201" i="13"/>
  <c r="Y201" i="13"/>
  <c r="Z201" i="13"/>
  <c r="P201" i="13"/>
  <c r="O201" i="13"/>
  <c r="Z319" i="13" l="1"/>
  <c r="O319" i="13"/>
  <c r="R318" i="13"/>
  <c r="R319" i="13" s="1"/>
  <c r="T319" i="13"/>
  <c r="X318" i="13"/>
  <c r="X319" i="13" s="1"/>
  <c r="Y319" i="13"/>
  <c r="W310" i="13"/>
  <c r="V310" i="13"/>
  <c r="Q310" i="13"/>
  <c r="P310" i="13"/>
  <c r="Q318" i="13" l="1"/>
  <c r="Q319" i="13" s="1"/>
  <c r="V318" i="13"/>
  <c r="V319" i="13" s="1"/>
  <c r="P318" i="13"/>
  <c r="P319" i="13" s="1"/>
  <c r="W318" i="13"/>
  <c r="W319" i="13" s="1"/>
  <c r="Z1172" i="13" l="1"/>
  <c r="Y1172" i="13"/>
  <c r="X1172" i="13"/>
  <c r="W1172" i="13"/>
  <c r="V1172" i="13"/>
  <c r="U1172" i="13"/>
  <c r="T1172" i="13"/>
  <c r="S1172" i="13"/>
  <c r="R1172" i="13"/>
  <c r="Q1172" i="13"/>
  <c r="P1172" i="13"/>
  <c r="O1172" i="13"/>
  <c r="A1172" i="13"/>
  <c r="A1136" i="13"/>
  <c r="Q47" i="18" l="1"/>
  <c r="Z1029" i="13" l="1"/>
  <c r="Y1029" i="13"/>
  <c r="X1029" i="13"/>
  <c r="W1029" i="13"/>
  <c r="V1029" i="13"/>
  <c r="U1029" i="13"/>
  <c r="T1029" i="13"/>
  <c r="S1029" i="13"/>
  <c r="R1029" i="13"/>
  <c r="Q1029" i="13"/>
  <c r="P1029" i="13"/>
  <c r="O1029" i="13"/>
  <c r="O1173" i="13" s="1"/>
  <c r="O613" i="13"/>
  <c r="P613" i="13" s="1"/>
  <c r="Q613" i="13" s="1"/>
  <c r="R613" i="13" s="1"/>
  <c r="S613" i="13" s="1"/>
  <c r="T613" i="13" s="1"/>
  <c r="U613" i="13" s="1"/>
  <c r="V613" i="13" s="1"/>
  <c r="W613" i="13" s="1"/>
  <c r="X613" i="13" s="1"/>
  <c r="Y613" i="13" s="1"/>
  <c r="Z613" i="13" s="1"/>
  <c r="Z663" i="13" l="1"/>
  <c r="P87" i="18" s="1"/>
  <c r="Y663" i="13"/>
  <c r="O87" i="18" s="1"/>
  <c r="X663" i="13"/>
  <c r="N87" i="18" s="1"/>
  <c r="W663" i="13"/>
  <c r="M87" i="18" s="1"/>
  <c r="V663" i="13"/>
  <c r="L87" i="18" s="1"/>
  <c r="U663" i="13"/>
  <c r="K87" i="18" s="1"/>
  <c r="T663" i="13"/>
  <c r="J87" i="18" s="1"/>
  <c r="S663" i="13"/>
  <c r="I87" i="18" s="1"/>
  <c r="R663" i="13"/>
  <c r="H87" i="18" s="1"/>
  <c r="Q663" i="13"/>
  <c r="G87" i="18" s="1"/>
  <c r="P663" i="13"/>
  <c r="F87" i="18" s="1"/>
  <c r="O663" i="13"/>
  <c r="E87" i="18" s="1"/>
  <c r="E60" i="18"/>
  <c r="F60" i="18"/>
  <c r="G60" i="18"/>
  <c r="H60" i="18"/>
  <c r="I60" i="18"/>
  <c r="J60" i="18"/>
  <c r="K60" i="18"/>
  <c r="L60" i="18"/>
  <c r="M60" i="18"/>
  <c r="N60" i="18"/>
  <c r="O60" i="18"/>
  <c r="P60" i="18"/>
  <c r="E61" i="18"/>
  <c r="F61" i="18"/>
  <c r="G61" i="18"/>
  <c r="H61" i="18"/>
  <c r="I61" i="18"/>
  <c r="J61" i="18"/>
  <c r="K61" i="18"/>
  <c r="L61" i="18"/>
  <c r="M61" i="18"/>
  <c r="N61" i="18"/>
  <c r="O61" i="18"/>
  <c r="P61" i="18"/>
  <c r="Q60" i="18" l="1"/>
  <c r="Q87" i="18"/>
  <c r="Q61" i="18"/>
  <c r="O70" i="18" l="1"/>
  <c r="N70" i="18"/>
  <c r="M70" i="18"/>
  <c r="L70" i="18"/>
  <c r="K70" i="18"/>
  <c r="J70" i="18"/>
  <c r="I70" i="18"/>
  <c r="H70" i="18"/>
  <c r="G70" i="18"/>
  <c r="F70" i="18"/>
  <c r="E70" i="18"/>
  <c r="O363" i="13" l="1"/>
  <c r="P363" i="13" s="1"/>
  <c r="Q363" i="13" s="1"/>
  <c r="R363" i="13" s="1"/>
  <c r="S363" i="13" s="1"/>
  <c r="T363" i="13" s="1"/>
  <c r="U363" i="13" s="1"/>
  <c r="V363" i="13" s="1"/>
  <c r="W363" i="13" s="1"/>
  <c r="X363" i="13" s="1"/>
  <c r="Y363" i="13" s="1"/>
  <c r="Z363" i="13" s="1"/>
  <c r="Z52" i="13" l="1"/>
  <c r="Y52" i="13"/>
  <c r="X52" i="13"/>
  <c r="W52" i="13"/>
  <c r="V52" i="13"/>
  <c r="U52" i="13"/>
  <c r="T52" i="13"/>
  <c r="S52" i="13"/>
  <c r="R52" i="13"/>
  <c r="Q52" i="13"/>
  <c r="P52" i="13"/>
  <c r="O52" i="13"/>
  <c r="Z50" i="13"/>
  <c r="Y50" i="13"/>
  <c r="X50" i="13"/>
  <c r="W50" i="13"/>
  <c r="V50" i="13"/>
  <c r="U50" i="13"/>
  <c r="T50" i="13"/>
  <c r="S50" i="13"/>
  <c r="R50" i="13"/>
  <c r="Q50" i="13"/>
  <c r="P50" i="13"/>
  <c r="O50" i="13"/>
  <c r="F85" i="18" l="1"/>
  <c r="J85" i="18"/>
  <c r="E85" i="18" l="1"/>
  <c r="I85" i="18"/>
  <c r="L85" i="18"/>
  <c r="M85" i="18"/>
  <c r="N85" i="18"/>
  <c r="H85" i="18"/>
  <c r="P85" i="18"/>
  <c r="G85" i="18"/>
  <c r="O85" i="18"/>
  <c r="K85" i="18"/>
  <c r="Q85" i="18" l="1"/>
  <c r="O238" i="13" l="1"/>
  <c r="P238" i="13" l="1"/>
  <c r="O177" i="13" l="1"/>
  <c r="Q238" i="13"/>
  <c r="R540" i="13"/>
  <c r="P540" i="13"/>
  <c r="O540" i="13"/>
  <c r="P177" i="13" l="1"/>
  <c r="T540" i="13"/>
  <c r="S540" i="13"/>
  <c r="R238" i="13"/>
  <c r="P537" i="13"/>
  <c r="W537" i="13"/>
  <c r="Z537" i="13"/>
  <c r="X537" i="13"/>
  <c r="Y537" i="13"/>
  <c r="O537" i="13"/>
  <c r="X964" i="13" l="1"/>
  <c r="Q177" i="13"/>
  <c r="P964" i="13"/>
  <c r="V537" i="13"/>
  <c r="U537" i="13"/>
  <c r="O964" i="13"/>
  <c r="R537" i="13"/>
  <c r="S537" i="13"/>
  <c r="Q537" i="13"/>
  <c r="T537" i="13"/>
  <c r="U540" i="13"/>
  <c r="S238" i="13"/>
  <c r="Q540" i="13"/>
  <c r="Y540" i="13"/>
  <c r="Z540" i="13"/>
  <c r="R177" i="13" l="1"/>
  <c r="V964" i="13"/>
  <c r="T964" i="13"/>
  <c r="V540" i="13"/>
  <c r="Q964" i="13"/>
  <c r="S964" i="13"/>
  <c r="R964" i="13"/>
  <c r="T238" i="13"/>
  <c r="Z964" i="13" l="1"/>
  <c r="W964" i="13"/>
  <c r="U964" i="13"/>
  <c r="Y964" i="13"/>
  <c r="S177" i="13"/>
  <c r="X540" i="13"/>
  <c r="W540" i="13"/>
  <c r="U238" i="13"/>
  <c r="T177" i="13" l="1"/>
  <c r="V238" i="13"/>
  <c r="U177" i="13" l="1"/>
  <c r="W238" i="13"/>
  <c r="V177" i="13" l="1"/>
  <c r="X238" i="13"/>
  <c r="W177" i="13" l="1"/>
  <c r="Z238" i="13"/>
  <c r="Y238" i="13"/>
  <c r="X177" i="13" l="1"/>
  <c r="P1165" i="13"/>
  <c r="Q1165" i="13"/>
  <c r="R1165" i="13"/>
  <c r="S1165" i="13"/>
  <c r="T1165" i="13"/>
  <c r="U1165" i="13"/>
  <c r="V1165" i="13"/>
  <c r="W1165" i="13"/>
  <c r="X1165" i="13"/>
  <c r="Y1165" i="13"/>
  <c r="Z1165" i="13"/>
  <c r="Y177" i="13" l="1"/>
  <c r="Z177" i="13" l="1"/>
  <c r="P78" i="18" l="1"/>
  <c r="O78" i="18"/>
  <c r="N78" i="18"/>
  <c r="M78" i="18"/>
  <c r="L78" i="18"/>
  <c r="K78" i="18"/>
  <c r="J78" i="18"/>
  <c r="I78" i="18"/>
  <c r="H78" i="18"/>
  <c r="G78" i="18"/>
  <c r="F78" i="18"/>
  <c r="E78" i="18"/>
  <c r="Q78" i="18" l="1"/>
  <c r="A804" i="13" l="1"/>
  <c r="A35" i="17" l="1"/>
  <c r="E86" i="18" l="1"/>
  <c r="F86" i="18"/>
  <c r="G86" i="18"/>
  <c r="H86" i="18"/>
  <c r="I86" i="18"/>
  <c r="J86" i="18"/>
  <c r="K86" i="18"/>
  <c r="L86" i="18"/>
  <c r="M86" i="18"/>
  <c r="N86" i="18"/>
  <c r="O86" i="18"/>
  <c r="P86" i="18"/>
  <c r="Q86" i="18" l="1"/>
  <c r="O686" i="13" l="1"/>
  <c r="P686" i="13"/>
  <c r="Q686" i="13"/>
  <c r="R686" i="13"/>
  <c r="S686" i="13"/>
  <c r="T686" i="13"/>
  <c r="U686" i="13"/>
  <c r="V686" i="13"/>
  <c r="W686" i="13"/>
  <c r="X686" i="13"/>
  <c r="Y686" i="13"/>
  <c r="Z686" i="13"/>
  <c r="O696" i="13" l="1"/>
  <c r="P696" i="13"/>
  <c r="Q696" i="13"/>
  <c r="R696" i="13"/>
  <c r="S696" i="13"/>
  <c r="T696" i="13"/>
  <c r="U696" i="13"/>
  <c r="V696" i="13"/>
  <c r="W696" i="13"/>
  <c r="X696" i="13"/>
  <c r="Y696" i="13"/>
  <c r="Z696" i="13"/>
  <c r="C36" i="17"/>
  <c r="D36" i="17"/>
  <c r="E36" i="17"/>
  <c r="F36" i="17"/>
  <c r="G36" i="17"/>
  <c r="H36" i="17"/>
  <c r="I36" i="17"/>
  <c r="J36" i="17"/>
  <c r="K36" i="17"/>
  <c r="L36" i="17"/>
  <c r="M36" i="17"/>
  <c r="N36" i="17"/>
  <c r="O36" i="17"/>
  <c r="P36" i="17"/>
  <c r="Q36" i="17"/>
  <c r="R36" i="17"/>
  <c r="S36" i="17"/>
  <c r="T36" i="17"/>
  <c r="U36" i="17"/>
  <c r="V36" i="17"/>
  <c r="W36" i="17"/>
  <c r="X36" i="17"/>
  <c r="Y36" i="17"/>
  <c r="Z36" i="17"/>
  <c r="E36" i="18"/>
  <c r="F36" i="18"/>
  <c r="G36" i="18"/>
  <c r="H36" i="18"/>
  <c r="I36" i="18"/>
  <c r="J36" i="18"/>
  <c r="K36" i="18"/>
  <c r="L36" i="18"/>
  <c r="M36" i="18"/>
  <c r="N36" i="18"/>
  <c r="O36" i="18"/>
  <c r="P36" i="18"/>
  <c r="Q36" i="18" l="1"/>
  <c r="Z1160" i="13" l="1"/>
  <c r="Y1160" i="13"/>
  <c r="X1160" i="13"/>
  <c r="W1160" i="13"/>
  <c r="V1160" i="13"/>
  <c r="U1160" i="13"/>
  <c r="T1160" i="13"/>
  <c r="S1160" i="13"/>
  <c r="R1160" i="13"/>
  <c r="Q1160" i="13"/>
  <c r="P1160" i="13"/>
  <c r="O1160" i="13"/>
  <c r="Z1155" i="13"/>
  <c r="Y1155" i="13"/>
  <c r="X1155" i="13"/>
  <c r="W1155" i="13"/>
  <c r="V1155" i="13"/>
  <c r="U1155" i="13"/>
  <c r="T1155" i="13"/>
  <c r="S1155" i="13"/>
  <c r="R1155" i="13"/>
  <c r="Q1155" i="13"/>
  <c r="P1155" i="13"/>
  <c r="O1155" i="13"/>
  <c r="A1155" i="13"/>
  <c r="A1119" i="13"/>
  <c r="Z1171" i="13" l="1"/>
  <c r="Y1171" i="13"/>
  <c r="X1171" i="13"/>
  <c r="W1171" i="13"/>
  <c r="V1171" i="13"/>
  <c r="U1171" i="13"/>
  <c r="T1171" i="13"/>
  <c r="S1171" i="13"/>
  <c r="R1171" i="13"/>
  <c r="Q1171" i="13"/>
  <c r="P1171" i="13"/>
  <c r="O1171" i="13"/>
  <c r="A1171" i="13"/>
  <c r="A1135" i="13"/>
  <c r="T743" i="13" l="1"/>
  <c r="S743" i="13"/>
  <c r="R743" i="13"/>
  <c r="Q743" i="13"/>
  <c r="P743" i="13"/>
  <c r="O743" i="13"/>
  <c r="Z743" i="13"/>
  <c r="Y743" i="13"/>
  <c r="X743" i="13"/>
  <c r="W743" i="13"/>
  <c r="V743" i="13"/>
  <c r="U743" i="13"/>
  <c r="T742" i="13"/>
  <c r="S742" i="13"/>
  <c r="R742" i="13"/>
  <c r="Q742" i="13"/>
  <c r="P742" i="13"/>
  <c r="O742" i="13"/>
  <c r="Z742" i="13"/>
  <c r="Y742" i="13"/>
  <c r="X742" i="13"/>
  <c r="W742" i="13"/>
  <c r="V742" i="13"/>
  <c r="U742" i="13"/>
  <c r="Y180" i="13" l="1"/>
  <c r="E65" i="18" l="1"/>
  <c r="F65" i="18"/>
  <c r="G65" i="18"/>
  <c r="H65" i="18"/>
  <c r="I65" i="18"/>
  <c r="J65" i="18"/>
  <c r="K65" i="18"/>
  <c r="L65" i="18"/>
  <c r="M65" i="18"/>
  <c r="N65" i="18"/>
  <c r="O65" i="18"/>
  <c r="C65" i="18"/>
  <c r="O1178" i="13"/>
  <c r="P1178" i="13"/>
  <c r="Q1178" i="13"/>
  <c r="R1178" i="13"/>
  <c r="S1178" i="13"/>
  <c r="T1178" i="13"/>
  <c r="U1178" i="13"/>
  <c r="V1178" i="13"/>
  <c r="W1178" i="13"/>
  <c r="X1178" i="13"/>
  <c r="Y1178" i="13"/>
  <c r="Z1178" i="13"/>
  <c r="A1178" i="13"/>
  <c r="A1142" i="13"/>
  <c r="O1067" i="13"/>
  <c r="P1067" i="13"/>
  <c r="Q1067" i="13"/>
  <c r="R1067" i="13"/>
  <c r="S1067" i="13"/>
  <c r="T1067" i="13"/>
  <c r="U1067" i="13"/>
  <c r="V1067" i="13"/>
  <c r="W1067" i="13"/>
  <c r="X1067" i="13"/>
  <c r="Y1067" i="13"/>
  <c r="Z1067" i="13"/>
  <c r="Z1083" i="13" l="1"/>
  <c r="P65" i="18" s="1"/>
  <c r="Z1068" i="13"/>
  <c r="Q65" i="18" l="1"/>
  <c r="O428" i="13" l="1"/>
  <c r="P428" i="13" s="1"/>
  <c r="Q428" i="13" s="1"/>
  <c r="R428" i="13" s="1"/>
  <c r="S428" i="13" s="1"/>
  <c r="T428" i="13" s="1"/>
  <c r="U428" i="13" s="1"/>
  <c r="V428" i="13" s="1"/>
  <c r="W428" i="13" s="1"/>
  <c r="X428" i="13" s="1"/>
  <c r="Y428" i="13" s="1"/>
  <c r="Z428" i="13" s="1"/>
  <c r="L13" i="17"/>
  <c r="Z1154" i="13"/>
  <c r="Y1154" i="13"/>
  <c r="X1154" i="13"/>
  <c r="W1154" i="13"/>
  <c r="V1154" i="13"/>
  <c r="U1154" i="13"/>
  <c r="T1154" i="13"/>
  <c r="S1154" i="13"/>
  <c r="R1154" i="13"/>
  <c r="Q1154" i="13"/>
  <c r="P1154" i="13"/>
  <c r="O1154" i="13"/>
  <c r="A1154" i="13"/>
  <c r="A1118" i="13"/>
  <c r="A46" i="17"/>
  <c r="O476" i="13"/>
  <c r="E46" i="18" s="1"/>
  <c r="P476" i="13"/>
  <c r="F46" i="18" s="1"/>
  <c r="Q476" i="13"/>
  <c r="G46" i="18" s="1"/>
  <c r="R476" i="13"/>
  <c r="H46" i="18" s="1"/>
  <c r="S476" i="13"/>
  <c r="I46" i="18" s="1"/>
  <c r="T476" i="13"/>
  <c r="J46" i="18" s="1"/>
  <c r="U476" i="13"/>
  <c r="K46" i="18" s="1"/>
  <c r="V476" i="13"/>
  <c r="L46" i="18" s="1"/>
  <c r="W476" i="13"/>
  <c r="M46" i="18" s="1"/>
  <c r="X476" i="13"/>
  <c r="N46" i="18" s="1"/>
  <c r="Y476" i="13"/>
  <c r="O46" i="18" s="1"/>
  <c r="Z476" i="13"/>
  <c r="P46" i="18" s="1"/>
  <c r="E66" i="18"/>
  <c r="F66" i="18"/>
  <c r="G66" i="18"/>
  <c r="H66" i="18"/>
  <c r="I66" i="18"/>
  <c r="J66" i="18"/>
  <c r="K66" i="18"/>
  <c r="L66" i="18"/>
  <c r="M66" i="18"/>
  <c r="N66" i="18"/>
  <c r="O66" i="18"/>
  <c r="E67" i="18"/>
  <c r="F67" i="18"/>
  <c r="G67" i="18"/>
  <c r="H67" i="18"/>
  <c r="I67" i="18"/>
  <c r="J67" i="18"/>
  <c r="K67" i="18"/>
  <c r="L67" i="18"/>
  <c r="M67" i="18"/>
  <c r="N67" i="18"/>
  <c r="O67" i="18"/>
  <c r="E68" i="18"/>
  <c r="F68" i="18"/>
  <c r="G68" i="18"/>
  <c r="H68" i="18"/>
  <c r="I68" i="18"/>
  <c r="J68" i="18"/>
  <c r="K68" i="18"/>
  <c r="L68" i="18"/>
  <c r="M68" i="18"/>
  <c r="N68" i="18"/>
  <c r="O68" i="18"/>
  <c r="E69" i="18"/>
  <c r="F69" i="18"/>
  <c r="G69" i="18"/>
  <c r="H69" i="18"/>
  <c r="I69" i="18"/>
  <c r="J69" i="18"/>
  <c r="K69" i="18"/>
  <c r="L69" i="18"/>
  <c r="M69" i="18"/>
  <c r="N69" i="18"/>
  <c r="O69" i="18"/>
  <c r="E71" i="18"/>
  <c r="F71" i="18"/>
  <c r="G71" i="18"/>
  <c r="H71" i="18"/>
  <c r="I71" i="18"/>
  <c r="J71" i="18"/>
  <c r="K71" i="18"/>
  <c r="L71" i="18"/>
  <c r="M71" i="18"/>
  <c r="N71" i="18"/>
  <c r="O71" i="18"/>
  <c r="E72" i="18"/>
  <c r="F72" i="18"/>
  <c r="G72" i="18"/>
  <c r="H72" i="18"/>
  <c r="I72" i="18"/>
  <c r="J72" i="18"/>
  <c r="K72" i="18"/>
  <c r="L72" i="18"/>
  <c r="M72" i="18"/>
  <c r="N72" i="18"/>
  <c r="O72" i="18"/>
  <c r="E73" i="18"/>
  <c r="F73" i="18"/>
  <c r="G73" i="18"/>
  <c r="H73" i="18"/>
  <c r="I73" i="18"/>
  <c r="J73" i="18"/>
  <c r="K73" i="18"/>
  <c r="L73" i="18"/>
  <c r="M73" i="18"/>
  <c r="N73" i="18"/>
  <c r="O73" i="18"/>
  <c r="E74" i="18"/>
  <c r="F74" i="18"/>
  <c r="G74" i="18"/>
  <c r="H74" i="18"/>
  <c r="I74" i="18"/>
  <c r="J74" i="18"/>
  <c r="K74" i="18"/>
  <c r="L74" i="18"/>
  <c r="M74" i="18"/>
  <c r="N74" i="18"/>
  <c r="O74" i="18"/>
  <c r="C64" i="18"/>
  <c r="C63" i="18"/>
  <c r="C72" i="18"/>
  <c r="C73" i="18"/>
  <c r="C74" i="18"/>
  <c r="C71" i="18"/>
  <c r="C67" i="18"/>
  <c r="C68" i="18"/>
  <c r="C69" i="18"/>
  <c r="C66" i="18"/>
  <c r="A1160" i="13"/>
  <c r="A1124" i="13"/>
  <c r="E75" i="18"/>
  <c r="F75" i="18"/>
  <c r="G75" i="18"/>
  <c r="H75" i="18"/>
  <c r="I75" i="18"/>
  <c r="J75" i="18"/>
  <c r="K75" i="18"/>
  <c r="L75" i="18"/>
  <c r="M75" i="18"/>
  <c r="N75" i="18"/>
  <c r="O75" i="18"/>
  <c r="P75" i="18"/>
  <c r="E76" i="18"/>
  <c r="F76" i="18"/>
  <c r="G76" i="18"/>
  <c r="H76" i="18"/>
  <c r="I76" i="18"/>
  <c r="J76" i="18"/>
  <c r="K76" i="18"/>
  <c r="L76" i="18"/>
  <c r="M76" i="18"/>
  <c r="N76" i="18"/>
  <c r="O76" i="18"/>
  <c r="P76" i="18"/>
  <c r="E77" i="18"/>
  <c r="F77" i="18"/>
  <c r="G77" i="18"/>
  <c r="H77" i="18"/>
  <c r="I77" i="18"/>
  <c r="J77" i="18"/>
  <c r="K77" i="18"/>
  <c r="L77" i="18"/>
  <c r="M77" i="18"/>
  <c r="N77" i="18"/>
  <c r="O77" i="18"/>
  <c r="P77" i="18"/>
  <c r="C77" i="18"/>
  <c r="C76" i="18"/>
  <c r="C75" i="18"/>
  <c r="Z1170" i="13"/>
  <c r="Y1170" i="13"/>
  <c r="X1170" i="13"/>
  <c r="W1170" i="13"/>
  <c r="V1170" i="13"/>
  <c r="U1170" i="13"/>
  <c r="T1170" i="13"/>
  <c r="S1170" i="13"/>
  <c r="R1170" i="13"/>
  <c r="Q1170" i="13"/>
  <c r="P1170" i="13"/>
  <c r="O1170" i="13"/>
  <c r="A1170" i="13"/>
  <c r="A1134" i="13"/>
  <c r="A980" i="13"/>
  <c r="A979" i="13"/>
  <c r="A678" i="13"/>
  <c r="C14" i="18" s="1"/>
  <c r="A14" i="17" s="1"/>
  <c r="A677" i="13"/>
  <c r="C13" i="18" s="1"/>
  <c r="A13" i="17" s="1"/>
  <c r="E84" i="18"/>
  <c r="F84" i="18"/>
  <c r="G84" i="18"/>
  <c r="H84" i="18"/>
  <c r="I84" i="18"/>
  <c r="J84" i="18"/>
  <c r="K84" i="18"/>
  <c r="L84" i="18"/>
  <c r="M84" i="18"/>
  <c r="N84" i="18"/>
  <c r="O84" i="18"/>
  <c r="P84" i="18"/>
  <c r="A64" i="17"/>
  <c r="B65" i="17"/>
  <c r="A65" i="17"/>
  <c r="Z1161" i="13"/>
  <c r="Y1161" i="13"/>
  <c r="X1161" i="13"/>
  <c r="W1161" i="13"/>
  <c r="V1161" i="13"/>
  <c r="U1161" i="13"/>
  <c r="T1161" i="13"/>
  <c r="S1161" i="13"/>
  <c r="R1161" i="13"/>
  <c r="Q1161" i="13"/>
  <c r="P1161" i="13"/>
  <c r="O1161" i="13"/>
  <c r="A1161" i="13"/>
  <c r="A1125" i="13"/>
  <c r="Z1163" i="13"/>
  <c r="Y1163" i="13"/>
  <c r="X1163" i="13"/>
  <c r="W1163" i="13"/>
  <c r="V1163" i="13"/>
  <c r="U1163" i="13"/>
  <c r="T1163" i="13"/>
  <c r="S1163" i="13"/>
  <c r="R1163" i="13"/>
  <c r="Q1163" i="13"/>
  <c r="P1163" i="13"/>
  <c r="O1163" i="13"/>
  <c r="A1163" i="13"/>
  <c r="A1205" i="13" s="1"/>
  <c r="A1127" i="13"/>
  <c r="T299" i="13"/>
  <c r="U299" i="13"/>
  <c r="X299" i="13"/>
  <c r="Y299" i="13"/>
  <c r="A47" i="17"/>
  <c r="Z469" i="13"/>
  <c r="Y469" i="13"/>
  <c r="X469" i="13"/>
  <c r="W469" i="13"/>
  <c r="V469" i="13"/>
  <c r="U469" i="13"/>
  <c r="T469" i="13"/>
  <c r="S469" i="13"/>
  <c r="R469" i="13"/>
  <c r="Q469" i="13"/>
  <c r="P469" i="13"/>
  <c r="O469" i="13"/>
  <c r="P89" i="18"/>
  <c r="O89" i="18"/>
  <c r="N89" i="18"/>
  <c r="M89" i="18"/>
  <c r="L89" i="18"/>
  <c r="K89" i="18"/>
  <c r="J89" i="18"/>
  <c r="I89" i="18"/>
  <c r="H89" i="18"/>
  <c r="G89" i="18"/>
  <c r="F89" i="18"/>
  <c r="E89" i="18"/>
  <c r="C89" i="18"/>
  <c r="U409" i="13"/>
  <c r="S409" i="13"/>
  <c r="R409" i="13"/>
  <c r="Q409" i="13"/>
  <c r="Q410" i="13" s="1"/>
  <c r="G11" i="18" s="1"/>
  <c r="P409" i="13"/>
  <c r="O409" i="13"/>
  <c r="E11" i="17"/>
  <c r="X409" i="13"/>
  <c r="O197" i="13"/>
  <c r="Y72" i="17"/>
  <c r="W72" i="17"/>
  <c r="U72" i="17"/>
  <c r="S72" i="17"/>
  <c r="Q72" i="17"/>
  <c r="N70" i="17"/>
  <c r="M70" i="17"/>
  <c r="M72" i="17" s="1"/>
  <c r="L70" i="17"/>
  <c r="K70" i="17"/>
  <c r="K72" i="17" s="1"/>
  <c r="J70" i="17"/>
  <c r="I70" i="17"/>
  <c r="I72" i="17" s="1"/>
  <c r="H70" i="17"/>
  <c r="G70" i="17"/>
  <c r="G72" i="17" s="1"/>
  <c r="F70" i="17"/>
  <c r="E70" i="17"/>
  <c r="E72" i="17" s="1"/>
  <c r="D70" i="17"/>
  <c r="C70" i="17"/>
  <c r="C72" i="17" s="1"/>
  <c r="A801" i="13"/>
  <c r="A800" i="13"/>
  <c r="Z691" i="13"/>
  <c r="Y691" i="13"/>
  <c r="X691" i="13"/>
  <c r="W691" i="13"/>
  <c r="V691" i="13"/>
  <c r="U691" i="13"/>
  <c r="T691" i="13"/>
  <c r="S691" i="13"/>
  <c r="R691" i="13"/>
  <c r="Q691" i="13"/>
  <c r="P691" i="13"/>
  <c r="O691" i="13"/>
  <c r="A691" i="13"/>
  <c r="P29" i="18"/>
  <c r="O29" i="18"/>
  <c r="N29" i="18"/>
  <c r="M29" i="18"/>
  <c r="L29" i="18"/>
  <c r="K29" i="18"/>
  <c r="J29" i="18"/>
  <c r="I29" i="18"/>
  <c r="H29" i="18"/>
  <c r="G29" i="18"/>
  <c r="F29" i="18"/>
  <c r="E29" i="18"/>
  <c r="Z29" i="17"/>
  <c r="Y29" i="17"/>
  <c r="X29" i="17"/>
  <c r="W29" i="17"/>
  <c r="V29" i="17"/>
  <c r="U29" i="17"/>
  <c r="T29" i="17"/>
  <c r="S29" i="17"/>
  <c r="R29" i="17"/>
  <c r="Q29" i="17"/>
  <c r="P29" i="17"/>
  <c r="O29" i="17"/>
  <c r="N29" i="17"/>
  <c r="M29" i="17"/>
  <c r="L29" i="17"/>
  <c r="K29" i="17"/>
  <c r="J29" i="17"/>
  <c r="I29" i="17"/>
  <c r="H29" i="17"/>
  <c r="G29" i="17"/>
  <c r="F29" i="17"/>
  <c r="E29" i="17"/>
  <c r="D29" i="17"/>
  <c r="C29" i="17"/>
  <c r="P30" i="18"/>
  <c r="O30" i="18"/>
  <c r="N30" i="18"/>
  <c r="M30" i="18"/>
  <c r="L30" i="18"/>
  <c r="K30" i="18"/>
  <c r="J30" i="18"/>
  <c r="I30" i="18"/>
  <c r="H30" i="18"/>
  <c r="G30" i="18"/>
  <c r="F30" i="18"/>
  <c r="E30" i="18"/>
  <c r="Z30" i="17"/>
  <c r="Y30" i="17"/>
  <c r="X30" i="17"/>
  <c r="W30" i="17"/>
  <c r="V30" i="17"/>
  <c r="U30" i="17"/>
  <c r="T30" i="17"/>
  <c r="S30" i="17"/>
  <c r="R30" i="17"/>
  <c r="Q30" i="17"/>
  <c r="P30" i="17"/>
  <c r="O30" i="17"/>
  <c r="Z692" i="13"/>
  <c r="Y692" i="13"/>
  <c r="X692" i="13"/>
  <c r="W692" i="13"/>
  <c r="V692" i="13"/>
  <c r="U692" i="13"/>
  <c r="T692" i="13"/>
  <c r="S692" i="13"/>
  <c r="R692" i="13"/>
  <c r="Q692" i="13"/>
  <c r="P692" i="13"/>
  <c r="O692" i="13"/>
  <c r="A30" i="17"/>
  <c r="A29" i="17"/>
  <c r="B48" i="17"/>
  <c r="A48" i="17"/>
  <c r="L40" i="17"/>
  <c r="Z581" i="13"/>
  <c r="P39" i="18" s="1"/>
  <c r="Y581" i="13"/>
  <c r="O39" i="18" s="1"/>
  <c r="X581" i="13"/>
  <c r="N39" i="18" s="1"/>
  <c r="W581" i="13"/>
  <c r="M39" i="18" s="1"/>
  <c r="V581" i="13"/>
  <c r="L39" i="18" s="1"/>
  <c r="U581" i="13"/>
  <c r="K39" i="18" s="1"/>
  <c r="T581" i="13"/>
  <c r="J39" i="18" s="1"/>
  <c r="S581" i="13"/>
  <c r="I39" i="18" s="1"/>
  <c r="R581" i="13"/>
  <c r="H39" i="18" s="1"/>
  <c r="Q581" i="13"/>
  <c r="G39" i="18" s="1"/>
  <c r="P581" i="13"/>
  <c r="F39" i="18" s="1"/>
  <c r="O581" i="13"/>
  <c r="E39" i="18" s="1"/>
  <c r="A1190" i="13"/>
  <c r="A1217" i="13"/>
  <c r="Z1175" i="13"/>
  <c r="Y1175" i="13"/>
  <c r="X1175" i="13"/>
  <c r="W1175" i="13"/>
  <c r="V1175" i="13"/>
  <c r="U1175" i="13"/>
  <c r="T1175" i="13"/>
  <c r="S1175" i="13"/>
  <c r="R1175" i="13"/>
  <c r="Q1175" i="13"/>
  <c r="P1175" i="13"/>
  <c r="O1175" i="13"/>
  <c r="Z1174" i="13"/>
  <c r="Z1079" i="13" s="1"/>
  <c r="Z1075" i="13" s="1"/>
  <c r="P64" i="18" s="1"/>
  <c r="Y1174" i="13"/>
  <c r="X1174" i="13"/>
  <c r="X1079" i="13" s="1"/>
  <c r="X1075" i="13" s="1"/>
  <c r="N64" i="18" s="1"/>
  <c r="W1174" i="13"/>
  <c r="V1174" i="13"/>
  <c r="U1174" i="13"/>
  <c r="T1174" i="13"/>
  <c r="T1079" i="13" s="1"/>
  <c r="T1075" i="13" s="1"/>
  <c r="J64" i="18" s="1"/>
  <c r="S1174" i="13"/>
  <c r="R1174" i="13"/>
  <c r="R1079" i="13" s="1"/>
  <c r="R1075" i="13" s="1"/>
  <c r="H64" i="18" s="1"/>
  <c r="Q1174" i="13"/>
  <c r="P1174" i="13"/>
  <c r="O1174" i="13"/>
  <c r="Z1173" i="13"/>
  <c r="Y1173" i="13"/>
  <c r="X1173" i="13"/>
  <c r="W1173" i="13"/>
  <c r="V1173" i="13"/>
  <c r="U1173" i="13"/>
  <c r="T1173" i="13"/>
  <c r="S1173" i="13"/>
  <c r="R1173" i="13"/>
  <c r="Q1173" i="13"/>
  <c r="P1173" i="13"/>
  <c r="Z1169" i="13"/>
  <c r="Y1169" i="13"/>
  <c r="X1169" i="13"/>
  <c r="W1169" i="13"/>
  <c r="V1169" i="13"/>
  <c r="U1169" i="13"/>
  <c r="T1169" i="13"/>
  <c r="S1169" i="13"/>
  <c r="R1169" i="13"/>
  <c r="Q1169" i="13"/>
  <c r="P1169" i="13"/>
  <c r="O1169" i="13"/>
  <c r="Z1168" i="13"/>
  <c r="Y1168" i="13"/>
  <c r="X1168" i="13"/>
  <c r="W1168" i="13"/>
  <c r="V1168" i="13"/>
  <c r="U1168" i="13"/>
  <c r="T1168" i="13"/>
  <c r="S1168" i="13"/>
  <c r="R1168" i="13"/>
  <c r="Q1168" i="13"/>
  <c r="P1168" i="13"/>
  <c r="O1168" i="13"/>
  <c r="Z1167" i="13"/>
  <c r="Y1167" i="13"/>
  <c r="X1167" i="13"/>
  <c r="W1167" i="13"/>
  <c r="V1167" i="13"/>
  <c r="U1167" i="13"/>
  <c r="T1167" i="13"/>
  <c r="S1167" i="13"/>
  <c r="R1167" i="13"/>
  <c r="Q1167" i="13"/>
  <c r="P1167" i="13"/>
  <c r="O1167" i="13"/>
  <c r="Z1166" i="13"/>
  <c r="Y1166" i="13"/>
  <c r="X1166" i="13"/>
  <c r="W1166" i="13"/>
  <c r="V1166" i="13"/>
  <c r="U1166" i="13"/>
  <c r="T1166" i="13"/>
  <c r="S1166" i="13"/>
  <c r="R1166" i="13"/>
  <c r="Q1166" i="13"/>
  <c r="P1166" i="13"/>
  <c r="O1166" i="13"/>
  <c r="Z1162" i="13"/>
  <c r="Y1162" i="13"/>
  <c r="X1162" i="13"/>
  <c r="W1162" i="13"/>
  <c r="V1162" i="13"/>
  <c r="U1162" i="13"/>
  <c r="T1162" i="13"/>
  <c r="S1162" i="13"/>
  <c r="R1162" i="13"/>
  <c r="Q1162" i="13"/>
  <c r="P1162" i="13"/>
  <c r="O1162" i="13"/>
  <c r="Z1159" i="13"/>
  <c r="Y1159" i="13"/>
  <c r="X1159" i="13"/>
  <c r="W1159" i="13"/>
  <c r="V1159" i="13"/>
  <c r="U1159" i="13"/>
  <c r="T1159" i="13"/>
  <c r="S1159" i="13"/>
  <c r="R1159" i="13"/>
  <c r="Q1159" i="13"/>
  <c r="P1159" i="13"/>
  <c r="O1159" i="13"/>
  <c r="Z1158" i="13"/>
  <c r="Y1158" i="13"/>
  <c r="X1158" i="13"/>
  <c r="W1158" i="13"/>
  <c r="V1158" i="13"/>
  <c r="U1158" i="13"/>
  <c r="T1158" i="13"/>
  <c r="S1158" i="13"/>
  <c r="R1158" i="13"/>
  <c r="Q1158" i="13"/>
  <c r="P1158" i="13"/>
  <c r="O1158" i="13"/>
  <c r="Z1157" i="13"/>
  <c r="Y1157" i="13"/>
  <c r="X1157" i="13"/>
  <c r="W1157" i="13"/>
  <c r="V1157" i="13"/>
  <c r="U1157" i="13"/>
  <c r="T1157" i="13"/>
  <c r="S1157" i="13"/>
  <c r="R1157" i="13"/>
  <c r="Q1157" i="13"/>
  <c r="P1157" i="13"/>
  <c r="O1157" i="13"/>
  <c r="Z1156" i="13"/>
  <c r="Y1156" i="13"/>
  <c r="X1156" i="13"/>
  <c r="W1156" i="13"/>
  <c r="V1156" i="13"/>
  <c r="U1156" i="13"/>
  <c r="T1156" i="13"/>
  <c r="S1156" i="13"/>
  <c r="R1156" i="13"/>
  <c r="Q1156" i="13"/>
  <c r="P1156" i="13"/>
  <c r="O1156" i="13"/>
  <c r="Z1153" i="13"/>
  <c r="Y1153" i="13"/>
  <c r="X1153" i="13"/>
  <c r="W1153" i="13"/>
  <c r="V1153" i="13"/>
  <c r="U1153" i="13"/>
  <c r="T1153" i="13"/>
  <c r="S1153" i="13"/>
  <c r="R1153" i="13"/>
  <c r="Q1153" i="13"/>
  <c r="P1153" i="13"/>
  <c r="O1153" i="13"/>
  <c r="Z1152" i="13"/>
  <c r="Y1152" i="13"/>
  <c r="X1152" i="13"/>
  <c r="W1152" i="13"/>
  <c r="V1152" i="13"/>
  <c r="U1152" i="13"/>
  <c r="T1152" i="13"/>
  <c r="S1152" i="13"/>
  <c r="R1152" i="13"/>
  <c r="Q1152" i="13"/>
  <c r="P1152" i="13"/>
  <c r="O1152" i="13"/>
  <c r="Z1151" i="13"/>
  <c r="Y1151" i="13"/>
  <c r="X1151" i="13"/>
  <c r="W1151" i="13"/>
  <c r="V1151" i="13"/>
  <c r="U1151" i="13"/>
  <c r="T1151" i="13"/>
  <c r="S1151" i="13"/>
  <c r="R1151" i="13"/>
  <c r="Q1151" i="13"/>
  <c r="P1151" i="13"/>
  <c r="O1151" i="13"/>
  <c r="Z1150" i="13"/>
  <c r="Y1150" i="13"/>
  <c r="X1150" i="13"/>
  <c r="W1150" i="13"/>
  <c r="V1150" i="13"/>
  <c r="U1150" i="13"/>
  <c r="T1150" i="13"/>
  <c r="S1150" i="13"/>
  <c r="R1150" i="13"/>
  <c r="Q1150" i="13"/>
  <c r="P1150" i="13"/>
  <c r="O1150" i="13"/>
  <c r="Z1149" i="13"/>
  <c r="Y1149" i="13"/>
  <c r="X1149" i="13"/>
  <c r="W1149" i="13"/>
  <c r="V1149" i="13"/>
  <c r="U1149" i="13"/>
  <c r="T1149" i="13"/>
  <c r="S1149" i="13"/>
  <c r="R1149" i="13"/>
  <c r="Q1149" i="13"/>
  <c r="P1149" i="13"/>
  <c r="Z1148" i="13"/>
  <c r="Y1148" i="13"/>
  <c r="X1148" i="13"/>
  <c r="W1148" i="13"/>
  <c r="V1148" i="13"/>
  <c r="U1148" i="13"/>
  <c r="T1148" i="13"/>
  <c r="S1148" i="13"/>
  <c r="R1148" i="13"/>
  <c r="Q1148" i="13"/>
  <c r="P1148" i="13"/>
  <c r="O1148" i="13"/>
  <c r="Z1147" i="13"/>
  <c r="Y1147" i="13"/>
  <c r="X1147" i="13"/>
  <c r="W1147" i="13"/>
  <c r="V1147" i="13"/>
  <c r="U1147" i="13"/>
  <c r="T1147" i="13"/>
  <c r="S1147" i="13"/>
  <c r="R1147" i="13"/>
  <c r="Q1147" i="13"/>
  <c r="P1147" i="13"/>
  <c r="O1147" i="13"/>
  <c r="Z1146" i="13"/>
  <c r="Y1146" i="13"/>
  <c r="X1146" i="13"/>
  <c r="W1146" i="13"/>
  <c r="V1146" i="13"/>
  <c r="U1146" i="13"/>
  <c r="T1146" i="13"/>
  <c r="S1146" i="13"/>
  <c r="R1146" i="13"/>
  <c r="Q1146" i="13"/>
  <c r="P1146" i="13"/>
  <c r="O1146" i="13"/>
  <c r="Z1145" i="13"/>
  <c r="Y1145" i="13"/>
  <c r="X1145" i="13"/>
  <c r="W1145" i="13"/>
  <c r="V1145" i="13"/>
  <c r="U1145" i="13"/>
  <c r="T1145" i="13"/>
  <c r="S1145" i="13"/>
  <c r="R1145" i="13"/>
  <c r="Q1145" i="13"/>
  <c r="P1145" i="13"/>
  <c r="O1145" i="13"/>
  <c r="Z1144" i="13"/>
  <c r="Y1144" i="13"/>
  <c r="X1144" i="13"/>
  <c r="W1144" i="13"/>
  <c r="V1144" i="13"/>
  <c r="U1144" i="13"/>
  <c r="T1144" i="13"/>
  <c r="S1144" i="13"/>
  <c r="R1144" i="13"/>
  <c r="Q1144" i="13"/>
  <c r="P1144" i="13"/>
  <c r="O1144" i="13"/>
  <c r="Z1140" i="13"/>
  <c r="Y1140" i="13"/>
  <c r="X1140" i="13"/>
  <c r="W1140" i="13"/>
  <c r="V1140" i="13"/>
  <c r="U1140" i="13"/>
  <c r="T1140" i="13"/>
  <c r="S1140" i="13"/>
  <c r="R1140" i="13"/>
  <c r="Q1140" i="13"/>
  <c r="P1140" i="13"/>
  <c r="O1140" i="13"/>
  <c r="Z1044" i="13"/>
  <c r="Z1034" i="13"/>
  <c r="Y1034" i="13"/>
  <c r="X1034" i="13"/>
  <c r="W1034" i="13"/>
  <c r="V1034" i="13"/>
  <c r="U1034" i="13"/>
  <c r="T1034" i="13"/>
  <c r="S1034" i="13"/>
  <c r="R1034" i="13"/>
  <c r="Q1034" i="13"/>
  <c r="P1034" i="13"/>
  <c r="O1034" i="13"/>
  <c r="Z1032" i="13"/>
  <c r="Y1032" i="13"/>
  <c r="X1032" i="13"/>
  <c r="W1032" i="13"/>
  <c r="V1032" i="13"/>
  <c r="U1032" i="13"/>
  <c r="T1032" i="13"/>
  <c r="S1032" i="13"/>
  <c r="R1032" i="13"/>
  <c r="Q1032" i="13"/>
  <c r="P1032" i="13"/>
  <c r="O1032" i="13"/>
  <c r="Z970" i="13"/>
  <c r="Y970" i="13"/>
  <c r="X970" i="13"/>
  <c r="W970" i="13"/>
  <c r="V970" i="13"/>
  <c r="U970" i="13"/>
  <c r="T970" i="13"/>
  <c r="S970" i="13"/>
  <c r="R970" i="13"/>
  <c r="Q970" i="13"/>
  <c r="P970" i="13"/>
  <c r="O970" i="13"/>
  <c r="Z963" i="13"/>
  <c r="Y963" i="13"/>
  <c r="X963" i="13"/>
  <c r="W963" i="13"/>
  <c r="V963" i="13"/>
  <c r="U963" i="13"/>
  <c r="T963" i="13"/>
  <c r="S963" i="13"/>
  <c r="R963" i="13"/>
  <c r="Q963" i="13"/>
  <c r="P963" i="13"/>
  <c r="O963" i="13"/>
  <c r="Z682" i="13"/>
  <c r="Y682" i="13"/>
  <c r="X682" i="13"/>
  <c r="W682" i="13"/>
  <c r="V682" i="13"/>
  <c r="U682" i="13"/>
  <c r="T682" i="13"/>
  <c r="S682" i="13"/>
  <c r="R682" i="13"/>
  <c r="Q682" i="13"/>
  <c r="P682" i="13"/>
  <c r="O682" i="13"/>
  <c r="Z680" i="13"/>
  <c r="Y680" i="13"/>
  <c r="X680" i="13"/>
  <c r="W680" i="13"/>
  <c r="V680" i="13"/>
  <c r="U680" i="13"/>
  <c r="T680" i="13"/>
  <c r="S680" i="13"/>
  <c r="R680" i="13"/>
  <c r="Q680" i="13"/>
  <c r="P680" i="13"/>
  <c r="O680" i="13"/>
  <c r="Z679" i="13"/>
  <c r="Y679" i="13"/>
  <c r="X679" i="13"/>
  <c r="W679" i="13"/>
  <c r="V679" i="13"/>
  <c r="U679" i="13"/>
  <c r="T679" i="13"/>
  <c r="S679" i="13"/>
  <c r="R679" i="13"/>
  <c r="Q679" i="13"/>
  <c r="P679" i="13"/>
  <c r="O679" i="13"/>
  <c r="Z705" i="13"/>
  <c r="Y705" i="13"/>
  <c r="X705" i="13"/>
  <c r="W705" i="13"/>
  <c r="V705" i="13"/>
  <c r="U705" i="13"/>
  <c r="T705" i="13"/>
  <c r="S705" i="13"/>
  <c r="R705" i="13"/>
  <c r="Q705" i="13"/>
  <c r="P705" i="13"/>
  <c r="O705" i="13"/>
  <c r="Z703" i="13"/>
  <c r="Y703" i="13"/>
  <c r="X703" i="13"/>
  <c r="W703" i="13"/>
  <c r="V703" i="13"/>
  <c r="U703" i="13"/>
  <c r="T703" i="13"/>
  <c r="S703" i="13"/>
  <c r="R703" i="13"/>
  <c r="Q703" i="13"/>
  <c r="P703" i="13"/>
  <c r="O703" i="13"/>
  <c r="Z700" i="13"/>
  <c r="Y700" i="13"/>
  <c r="X700" i="13"/>
  <c r="W700" i="13"/>
  <c r="V700" i="13"/>
  <c r="U700" i="13"/>
  <c r="T700" i="13"/>
  <c r="S700" i="13"/>
  <c r="R700" i="13"/>
  <c r="Q700" i="13"/>
  <c r="P700" i="13"/>
  <c r="O700" i="13"/>
  <c r="Z699" i="13"/>
  <c r="Y699" i="13"/>
  <c r="X699" i="13"/>
  <c r="W699" i="13"/>
  <c r="V699" i="13"/>
  <c r="U699" i="13"/>
  <c r="T699" i="13"/>
  <c r="S699" i="13"/>
  <c r="R699" i="13"/>
  <c r="Q699" i="13"/>
  <c r="P699" i="13"/>
  <c r="O699" i="13"/>
  <c r="Z698" i="13"/>
  <c r="Y698" i="13"/>
  <c r="X698" i="13"/>
  <c r="W698" i="13"/>
  <c r="V698" i="13"/>
  <c r="U698" i="13"/>
  <c r="T698" i="13"/>
  <c r="S698" i="13"/>
  <c r="R698" i="13"/>
  <c r="Q698" i="13"/>
  <c r="P698" i="13"/>
  <c r="O698" i="13"/>
  <c r="Z695" i="13"/>
  <c r="Y695" i="13"/>
  <c r="X695" i="13"/>
  <c r="W695" i="13"/>
  <c r="V695" i="13"/>
  <c r="U695" i="13"/>
  <c r="T695" i="13"/>
  <c r="S695" i="13"/>
  <c r="R695" i="13"/>
  <c r="Q695" i="13"/>
  <c r="P695" i="13"/>
  <c r="O695" i="13"/>
  <c r="Z694" i="13"/>
  <c r="Y694" i="13"/>
  <c r="X694" i="13"/>
  <c r="W694" i="13"/>
  <c r="V694" i="13"/>
  <c r="U694" i="13"/>
  <c r="T694" i="13"/>
  <c r="S694" i="13"/>
  <c r="R694" i="13"/>
  <c r="Q694" i="13"/>
  <c r="P694" i="13"/>
  <c r="O694" i="13"/>
  <c r="Z693" i="13"/>
  <c r="Y693" i="13"/>
  <c r="X693" i="13"/>
  <c r="W693" i="13"/>
  <c r="V693" i="13"/>
  <c r="U693" i="13"/>
  <c r="T693" i="13"/>
  <c r="S693" i="13"/>
  <c r="R693" i="13"/>
  <c r="Q693" i="13"/>
  <c r="P693" i="13"/>
  <c r="O693" i="13"/>
  <c r="Z688" i="13"/>
  <c r="Y688" i="13"/>
  <c r="X688" i="13"/>
  <c r="W688" i="13"/>
  <c r="V688" i="13"/>
  <c r="U688" i="13"/>
  <c r="T688" i="13"/>
  <c r="S688" i="13"/>
  <c r="R688" i="13"/>
  <c r="Q688" i="13"/>
  <c r="P688" i="13"/>
  <c r="O688" i="13"/>
  <c r="Z69" i="17"/>
  <c r="Y69" i="17"/>
  <c r="X69" i="17"/>
  <c r="W69" i="17"/>
  <c r="V69" i="17"/>
  <c r="U69" i="17"/>
  <c r="T69" i="17"/>
  <c r="S69" i="17"/>
  <c r="R69" i="17"/>
  <c r="Q69" i="17"/>
  <c r="P69" i="17"/>
  <c r="O69" i="17"/>
  <c r="N69" i="17"/>
  <c r="M69" i="17"/>
  <c r="L69" i="17"/>
  <c r="K69" i="17"/>
  <c r="J69" i="17"/>
  <c r="I69" i="17"/>
  <c r="H69" i="17"/>
  <c r="G69" i="17"/>
  <c r="F69" i="17"/>
  <c r="E69" i="17"/>
  <c r="D69" i="17"/>
  <c r="C69" i="17"/>
  <c r="Z44" i="17"/>
  <c r="Y44" i="17"/>
  <c r="X44" i="17"/>
  <c r="W44" i="17"/>
  <c r="V44" i="17"/>
  <c r="U44" i="17"/>
  <c r="T44" i="17"/>
  <c r="S44" i="17"/>
  <c r="R44" i="17"/>
  <c r="Q44" i="17"/>
  <c r="P44" i="17"/>
  <c r="O44" i="17"/>
  <c r="N44" i="17"/>
  <c r="M44" i="17"/>
  <c r="L44" i="17"/>
  <c r="K44" i="17"/>
  <c r="J44" i="17"/>
  <c r="I44" i="17"/>
  <c r="H44" i="17"/>
  <c r="G44" i="17"/>
  <c r="F44" i="17"/>
  <c r="E44" i="17"/>
  <c r="D44" i="17"/>
  <c r="C44" i="17"/>
  <c r="Z43" i="17"/>
  <c r="Y43" i="17"/>
  <c r="X43" i="17"/>
  <c r="W43" i="17"/>
  <c r="V43" i="17"/>
  <c r="U43" i="17"/>
  <c r="T43" i="17"/>
  <c r="S43" i="17"/>
  <c r="R43" i="17"/>
  <c r="Q43" i="17"/>
  <c r="P43" i="17"/>
  <c r="O43" i="17"/>
  <c r="N43" i="17"/>
  <c r="M43" i="17"/>
  <c r="L43" i="17"/>
  <c r="K43" i="17"/>
  <c r="J43" i="17"/>
  <c r="I43" i="17"/>
  <c r="H43" i="17"/>
  <c r="G43" i="17"/>
  <c r="F43" i="17"/>
  <c r="E43" i="17"/>
  <c r="D43" i="17"/>
  <c r="C43" i="17"/>
  <c r="Z42" i="17"/>
  <c r="Y42" i="17"/>
  <c r="X42" i="17"/>
  <c r="W42" i="17"/>
  <c r="V42" i="17"/>
  <c r="U42" i="17"/>
  <c r="T42" i="17"/>
  <c r="S42" i="17"/>
  <c r="R42" i="17"/>
  <c r="Q42" i="17"/>
  <c r="P42" i="17"/>
  <c r="O42" i="17"/>
  <c r="N42" i="17"/>
  <c r="M42" i="17"/>
  <c r="L42" i="17"/>
  <c r="K42" i="17"/>
  <c r="J42" i="17"/>
  <c r="I42" i="17"/>
  <c r="H42" i="17"/>
  <c r="G42" i="17"/>
  <c r="F42" i="17"/>
  <c r="E42" i="17"/>
  <c r="D42" i="17"/>
  <c r="C42" i="17"/>
  <c r="Z38" i="17"/>
  <c r="Y38" i="17"/>
  <c r="X38" i="17"/>
  <c r="W38" i="17"/>
  <c r="V38" i="17"/>
  <c r="U38" i="17"/>
  <c r="T38" i="17"/>
  <c r="S38" i="17"/>
  <c r="R38" i="17"/>
  <c r="Q38" i="17"/>
  <c r="P38" i="17"/>
  <c r="O38" i="17"/>
  <c r="N38" i="17"/>
  <c r="M38" i="17"/>
  <c r="L38" i="17"/>
  <c r="K38" i="17"/>
  <c r="J38" i="17"/>
  <c r="I38" i="17"/>
  <c r="H38" i="17"/>
  <c r="G38" i="17"/>
  <c r="F38" i="17"/>
  <c r="E38" i="17"/>
  <c r="D38" i="17"/>
  <c r="C38" i="17"/>
  <c r="Z37" i="17"/>
  <c r="Y37" i="17"/>
  <c r="X37" i="17"/>
  <c r="W37" i="17"/>
  <c r="V37" i="17"/>
  <c r="U37" i="17"/>
  <c r="T37" i="17"/>
  <c r="S37" i="17"/>
  <c r="R37" i="17"/>
  <c r="Q37" i="17"/>
  <c r="P37" i="17"/>
  <c r="O37" i="17"/>
  <c r="N37" i="17"/>
  <c r="M37" i="17"/>
  <c r="L37" i="17"/>
  <c r="K37" i="17"/>
  <c r="J37" i="17"/>
  <c r="I37" i="17"/>
  <c r="H37" i="17"/>
  <c r="G37" i="17"/>
  <c r="F37" i="17"/>
  <c r="E37" i="17"/>
  <c r="D37" i="17"/>
  <c r="C37" i="17"/>
  <c r="Z34" i="17"/>
  <c r="Y34" i="17"/>
  <c r="X34" i="17"/>
  <c r="W34" i="17"/>
  <c r="V34" i="17"/>
  <c r="U34" i="17"/>
  <c r="T34" i="17"/>
  <c r="S34" i="17"/>
  <c r="R34" i="17"/>
  <c r="Q34" i="17"/>
  <c r="P34" i="17"/>
  <c r="O34" i="17"/>
  <c r="N34" i="17"/>
  <c r="M34" i="17"/>
  <c r="L34" i="17"/>
  <c r="K34" i="17"/>
  <c r="J34" i="17"/>
  <c r="I34" i="17"/>
  <c r="H34" i="17"/>
  <c r="G34" i="17"/>
  <c r="F34" i="17"/>
  <c r="E34" i="17"/>
  <c r="D34" i="17"/>
  <c r="C34" i="17"/>
  <c r="Z26" i="17"/>
  <c r="Y26" i="17"/>
  <c r="X26" i="17"/>
  <c r="W26" i="17"/>
  <c r="V26" i="17"/>
  <c r="U26" i="17"/>
  <c r="T26" i="17"/>
  <c r="S26" i="17"/>
  <c r="R26" i="17"/>
  <c r="Q26" i="17"/>
  <c r="P26" i="17"/>
  <c r="O26" i="17"/>
  <c r="N26" i="17"/>
  <c r="M26" i="17"/>
  <c r="L26" i="17"/>
  <c r="K26" i="17"/>
  <c r="J26" i="17"/>
  <c r="I26" i="17"/>
  <c r="H26" i="17"/>
  <c r="G26" i="17"/>
  <c r="F26" i="17"/>
  <c r="E26" i="17"/>
  <c r="D26" i="17"/>
  <c r="C26" i="17"/>
  <c r="Z24" i="17"/>
  <c r="Y24" i="17"/>
  <c r="X24" i="17"/>
  <c r="W24" i="17"/>
  <c r="V24" i="17"/>
  <c r="U24" i="17"/>
  <c r="T24" i="17"/>
  <c r="S24" i="17"/>
  <c r="R24" i="17"/>
  <c r="Q24" i="17"/>
  <c r="P24" i="17"/>
  <c r="O24" i="17"/>
  <c r="N24" i="17"/>
  <c r="M24" i="17"/>
  <c r="L24" i="17"/>
  <c r="K24" i="17"/>
  <c r="J24" i="17"/>
  <c r="I24" i="17"/>
  <c r="H24" i="17"/>
  <c r="G24" i="17"/>
  <c r="F24" i="17"/>
  <c r="E24" i="17"/>
  <c r="D24" i="17"/>
  <c r="C24" i="17"/>
  <c r="Z20" i="17"/>
  <c r="Y20" i="17"/>
  <c r="X20" i="17"/>
  <c r="W20" i="17"/>
  <c r="V20" i="17"/>
  <c r="U20" i="17"/>
  <c r="T20" i="17"/>
  <c r="S20" i="17"/>
  <c r="R20" i="17"/>
  <c r="Q20" i="17"/>
  <c r="P20" i="17"/>
  <c r="O20" i="17"/>
  <c r="N20" i="17"/>
  <c r="M20" i="17"/>
  <c r="L20" i="17"/>
  <c r="K20" i="17"/>
  <c r="J20" i="17"/>
  <c r="I20" i="17"/>
  <c r="H20" i="17"/>
  <c r="G20" i="17"/>
  <c r="F20" i="17"/>
  <c r="E20" i="17"/>
  <c r="D20" i="17"/>
  <c r="C20" i="17"/>
  <c r="Z18" i="17"/>
  <c r="Y18" i="17"/>
  <c r="X18" i="17"/>
  <c r="W18" i="17"/>
  <c r="V18" i="17"/>
  <c r="U18" i="17"/>
  <c r="T18" i="17"/>
  <c r="S18" i="17"/>
  <c r="R18" i="17"/>
  <c r="Q18" i="17"/>
  <c r="P18" i="17"/>
  <c r="O18" i="17"/>
  <c r="N18" i="17"/>
  <c r="M18" i="17"/>
  <c r="L18" i="17"/>
  <c r="K18" i="17"/>
  <c r="J18" i="17"/>
  <c r="I18" i="17"/>
  <c r="H18" i="17"/>
  <c r="G18" i="17"/>
  <c r="F18" i="17"/>
  <c r="E18" i="17"/>
  <c r="D18" i="17"/>
  <c r="C18" i="17"/>
  <c r="Z9" i="17"/>
  <c r="Y9" i="17"/>
  <c r="X9" i="17"/>
  <c r="W9" i="17"/>
  <c r="V9" i="17"/>
  <c r="U9" i="17"/>
  <c r="T9" i="17"/>
  <c r="S9" i="17"/>
  <c r="R9" i="17"/>
  <c r="Q9" i="17"/>
  <c r="P9" i="17"/>
  <c r="O9" i="17"/>
  <c r="N9" i="17"/>
  <c r="M9" i="17"/>
  <c r="L9" i="17"/>
  <c r="K9" i="17"/>
  <c r="J9" i="17"/>
  <c r="I9" i="17"/>
  <c r="H9" i="17"/>
  <c r="G9" i="17"/>
  <c r="F9" i="17"/>
  <c r="E9" i="17"/>
  <c r="D9" i="17"/>
  <c r="C9" i="17"/>
  <c r="Z8" i="17"/>
  <c r="Y8" i="17"/>
  <c r="X8" i="17"/>
  <c r="W8" i="17"/>
  <c r="V8" i="17"/>
  <c r="U8" i="17"/>
  <c r="T8" i="17"/>
  <c r="S8" i="17"/>
  <c r="R8" i="17"/>
  <c r="Q8" i="17"/>
  <c r="P8" i="17"/>
  <c r="O8" i="17"/>
  <c r="N8" i="17"/>
  <c r="M8" i="17"/>
  <c r="L8" i="17"/>
  <c r="K8" i="17"/>
  <c r="J8" i="17"/>
  <c r="I8" i="17"/>
  <c r="H8" i="17"/>
  <c r="G8" i="17"/>
  <c r="F8" i="17"/>
  <c r="E8" i="17"/>
  <c r="D8" i="17"/>
  <c r="C8" i="17"/>
  <c r="Z7" i="17"/>
  <c r="Y7" i="17"/>
  <c r="X7" i="17"/>
  <c r="W7" i="17"/>
  <c r="V7" i="17"/>
  <c r="U7" i="17"/>
  <c r="T7" i="17"/>
  <c r="S7" i="17"/>
  <c r="R7" i="17"/>
  <c r="Q7" i="17"/>
  <c r="P7" i="17"/>
  <c r="O7" i="17"/>
  <c r="N7" i="17"/>
  <c r="M7" i="17"/>
  <c r="L7" i="17"/>
  <c r="K7" i="17"/>
  <c r="J7" i="17"/>
  <c r="I7" i="17"/>
  <c r="H7" i="17"/>
  <c r="G7" i="17"/>
  <c r="F7" i="17"/>
  <c r="E7" i="17"/>
  <c r="D7" i="17"/>
  <c r="C7" i="17"/>
  <c r="P88" i="18"/>
  <c r="O88" i="18"/>
  <c r="N88" i="18"/>
  <c r="M88" i="18"/>
  <c r="L88" i="18"/>
  <c r="K88" i="18"/>
  <c r="J88" i="18"/>
  <c r="I88" i="18"/>
  <c r="H88" i="18"/>
  <c r="G88" i="18"/>
  <c r="F88" i="18"/>
  <c r="E88" i="18"/>
  <c r="P81" i="18"/>
  <c r="O81" i="18"/>
  <c r="N81" i="18"/>
  <c r="M81" i="18"/>
  <c r="L81" i="18"/>
  <c r="K81" i="18"/>
  <c r="J81" i="18"/>
  <c r="I81" i="18"/>
  <c r="H81" i="18"/>
  <c r="G81" i="18"/>
  <c r="F81" i="18"/>
  <c r="E81" i="18"/>
  <c r="P80" i="18"/>
  <c r="O80" i="18"/>
  <c r="N80" i="18"/>
  <c r="M80" i="18"/>
  <c r="L80" i="18"/>
  <c r="K80" i="18"/>
  <c r="J80" i="18"/>
  <c r="I80" i="18"/>
  <c r="H80" i="18"/>
  <c r="G80" i="18"/>
  <c r="F80" i="18"/>
  <c r="E80" i="18"/>
  <c r="P58" i="18"/>
  <c r="O58" i="18"/>
  <c r="N58" i="18"/>
  <c r="M58" i="18"/>
  <c r="L58" i="18"/>
  <c r="K58" i="18"/>
  <c r="J58" i="18"/>
  <c r="I58" i="18"/>
  <c r="H58" i="18"/>
  <c r="G58" i="18"/>
  <c r="F58" i="18"/>
  <c r="E58" i="18"/>
  <c r="P45" i="18"/>
  <c r="O45" i="18"/>
  <c r="N45" i="18"/>
  <c r="M45" i="18"/>
  <c r="L45" i="18"/>
  <c r="K45" i="18"/>
  <c r="J45" i="18"/>
  <c r="I45" i="18"/>
  <c r="H45" i="18"/>
  <c r="G45" i="18"/>
  <c r="F45" i="18"/>
  <c r="E45" i="18"/>
  <c r="P44" i="18"/>
  <c r="O44" i="18"/>
  <c r="N44" i="18"/>
  <c r="M44" i="18"/>
  <c r="L44" i="18"/>
  <c r="K44" i="18"/>
  <c r="J44" i="18"/>
  <c r="I44" i="18"/>
  <c r="H44" i="18"/>
  <c r="G44" i="18"/>
  <c r="F44" i="18"/>
  <c r="E44" i="18"/>
  <c r="P43" i="18"/>
  <c r="O43" i="18"/>
  <c r="N43" i="18"/>
  <c r="M43" i="18"/>
  <c r="L43" i="18"/>
  <c r="K43" i="18"/>
  <c r="J43" i="18"/>
  <c r="I43" i="18"/>
  <c r="H43" i="18"/>
  <c r="G43" i="18"/>
  <c r="F43" i="18"/>
  <c r="E43" i="18"/>
  <c r="P42" i="18"/>
  <c r="O42" i="18"/>
  <c r="N42" i="18"/>
  <c r="M42" i="18"/>
  <c r="L42" i="18"/>
  <c r="K42" i="18"/>
  <c r="J42" i="18"/>
  <c r="I42" i="18"/>
  <c r="H42" i="18"/>
  <c r="G42" i="18"/>
  <c r="F42" i="18"/>
  <c r="E42" i="18"/>
  <c r="P38" i="18"/>
  <c r="O38" i="18"/>
  <c r="N38" i="18"/>
  <c r="M38" i="18"/>
  <c r="L38" i="18"/>
  <c r="K38" i="18"/>
  <c r="J38" i="18"/>
  <c r="I38" i="18"/>
  <c r="H38" i="18"/>
  <c r="G38" i="18"/>
  <c r="F38" i="18"/>
  <c r="E38" i="18"/>
  <c r="P37" i="18"/>
  <c r="O37" i="18"/>
  <c r="N37" i="18"/>
  <c r="M37" i="18"/>
  <c r="L37" i="18"/>
  <c r="K37" i="18"/>
  <c r="J37" i="18"/>
  <c r="I37" i="18"/>
  <c r="H37" i="18"/>
  <c r="G37" i="18"/>
  <c r="F37" i="18"/>
  <c r="E37" i="18"/>
  <c r="P34" i="18"/>
  <c r="O34" i="18"/>
  <c r="N34" i="18"/>
  <c r="M34" i="18"/>
  <c r="L34" i="18"/>
  <c r="K34" i="18"/>
  <c r="J34" i="18"/>
  <c r="I34" i="18"/>
  <c r="H34" i="18"/>
  <c r="G34" i="18"/>
  <c r="F34" i="18"/>
  <c r="E34" i="18"/>
  <c r="P33" i="18"/>
  <c r="O33" i="18"/>
  <c r="N33" i="18"/>
  <c r="M33" i="18"/>
  <c r="L33" i="18"/>
  <c r="K33" i="18"/>
  <c r="J33" i="18"/>
  <c r="I33" i="18"/>
  <c r="H33" i="18"/>
  <c r="G33" i="18"/>
  <c r="F33" i="18"/>
  <c r="E33" i="18"/>
  <c r="P27" i="18"/>
  <c r="O27" i="18"/>
  <c r="N27" i="18"/>
  <c r="M27" i="18"/>
  <c r="L27" i="18"/>
  <c r="K27" i="18"/>
  <c r="J27" i="18"/>
  <c r="I27" i="18"/>
  <c r="H27" i="18"/>
  <c r="G27" i="18"/>
  <c r="F27" i="18"/>
  <c r="E27" i="18"/>
  <c r="P25" i="18"/>
  <c r="O25" i="18"/>
  <c r="N25" i="18"/>
  <c r="M25" i="18"/>
  <c r="L25" i="18"/>
  <c r="K25" i="18"/>
  <c r="J25" i="18"/>
  <c r="I25" i="18"/>
  <c r="H25" i="18"/>
  <c r="G25" i="18"/>
  <c r="F25" i="18"/>
  <c r="E25" i="18"/>
  <c r="P19" i="18"/>
  <c r="O19" i="18"/>
  <c r="N19" i="18"/>
  <c r="M19" i="18"/>
  <c r="L19" i="18"/>
  <c r="K19" i="18"/>
  <c r="J19" i="18"/>
  <c r="I19" i="18"/>
  <c r="H19" i="18"/>
  <c r="G19" i="18"/>
  <c r="F19" i="18"/>
  <c r="E19" i="18"/>
  <c r="P16" i="18"/>
  <c r="O16" i="18"/>
  <c r="N16" i="18"/>
  <c r="M16" i="18"/>
  <c r="L16" i="18"/>
  <c r="K16" i="18"/>
  <c r="J16" i="18"/>
  <c r="I16" i="18"/>
  <c r="H16" i="18"/>
  <c r="G16" i="18"/>
  <c r="F16" i="18"/>
  <c r="E16" i="18"/>
  <c r="P9" i="18"/>
  <c r="O9" i="18"/>
  <c r="N9" i="18"/>
  <c r="M9" i="18"/>
  <c r="L9" i="18"/>
  <c r="K9" i="18"/>
  <c r="J9" i="18"/>
  <c r="I9" i="18"/>
  <c r="H9" i="18"/>
  <c r="G9" i="18"/>
  <c r="F9" i="18"/>
  <c r="E9" i="18"/>
  <c r="P8" i="18"/>
  <c r="O8" i="18"/>
  <c r="N8" i="18"/>
  <c r="M8" i="18"/>
  <c r="L8" i="18"/>
  <c r="K8" i="18"/>
  <c r="J8" i="18"/>
  <c r="I8" i="18"/>
  <c r="H8" i="18"/>
  <c r="G8" i="18"/>
  <c r="F8" i="18"/>
  <c r="E8" i="18"/>
  <c r="P7" i="18"/>
  <c r="O7" i="18"/>
  <c r="N7" i="18"/>
  <c r="M7" i="18"/>
  <c r="L7" i="18"/>
  <c r="K7" i="18"/>
  <c r="J7" i="18"/>
  <c r="I7" i="18"/>
  <c r="H7" i="18"/>
  <c r="G7" i="18"/>
  <c r="F7" i="18"/>
  <c r="E7" i="18"/>
  <c r="Z239" i="13"/>
  <c r="P18" i="18" s="1"/>
  <c r="Y239" i="13"/>
  <c r="O18" i="18" s="1"/>
  <c r="X239" i="13"/>
  <c r="N18" i="18" s="1"/>
  <c r="W239" i="13"/>
  <c r="M18" i="18" s="1"/>
  <c r="V239" i="13"/>
  <c r="L18" i="18" s="1"/>
  <c r="U239" i="13"/>
  <c r="K18" i="18" s="1"/>
  <c r="T239" i="13"/>
  <c r="J18" i="18" s="1"/>
  <c r="S239" i="13"/>
  <c r="I18" i="18" s="1"/>
  <c r="R239" i="13"/>
  <c r="H18" i="18" s="1"/>
  <c r="Q239" i="13"/>
  <c r="G18" i="18" s="1"/>
  <c r="P239" i="13"/>
  <c r="F18" i="18" s="1"/>
  <c r="O239" i="13"/>
  <c r="E18" i="18" s="1"/>
  <c r="Z39" i="13"/>
  <c r="Z37" i="13" s="1"/>
  <c r="Y39" i="13"/>
  <c r="Y37" i="13" s="1"/>
  <c r="X39" i="13"/>
  <c r="X37" i="13" s="1"/>
  <c r="X48" i="13" s="1"/>
  <c r="X609" i="13" s="1"/>
  <c r="W39" i="13"/>
  <c r="W179" i="13" s="1"/>
  <c r="V39" i="13"/>
  <c r="V37" i="13" s="1"/>
  <c r="U39" i="13"/>
  <c r="T39" i="13"/>
  <c r="T179" i="13" s="1"/>
  <c r="S39" i="13"/>
  <c r="S179" i="13" s="1"/>
  <c r="R39" i="13"/>
  <c r="R179" i="13" s="1"/>
  <c r="Q39" i="13"/>
  <c r="P39" i="13"/>
  <c r="P37" i="13" s="1"/>
  <c r="Z1141" i="13"/>
  <c r="Z1217" i="13"/>
  <c r="Y1141" i="13"/>
  <c r="Y1217" i="13"/>
  <c r="X1141" i="13"/>
  <c r="X1217" i="13"/>
  <c r="W1141" i="13"/>
  <c r="W1217" i="13"/>
  <c r="V1141" i="13"/>
  <c r="V1217" i="13"/>
  <c r="U1141" i="13"/>
  <c r="U1217" i="13"/>
  <c r="T1141" i="13"/>
  <c r="T1217" i="13"/>
  <c r="S1141" i="13"/>
  <c r="S1217" i="13"/>
  <c r="R1141" i="13"/>
  <c r="R1217" i="13"/>
  <c r="Q1141" i="13"/>
  <c r="Q1217" i="13"/>
  <c r="P1141" i="13"/>
  <c r="P1217" i="13"/>
  <c r="O1141" i="13"/>
  <c r="O1217" i="13"/>
  <c r="Z123" i="13"/>
  <c r="Y123" i="13"/>
  <c r="X123" i="13"/>
  <c r="W123" i="13"/>
  <c r="V123" i="13"/>
  <c r="U123" i="13"/>
  <c r="T123" i="13"/>
  <c r="S123" i="13"/>
  <c r="R123" i="13"/>
  <c r="Q123" i="13"/>
  <c r="P123" i="13"/>
  <c r="O123" i="13"/>
  <c r="Z144" i="13"/>
  <c r="W145" i="13"/>
  <c r="U144" i="13"/>
  <c r="S144" i="13"/>
  <c r="R144" i="13"/>
  <c r="Q144" i="13"/>
  <c r="Z4" i="13"/>
  <c r="Y4" i="13"/>
  <c r="X4" i="13"/>
  <c r="W4" i="13"/>
  <c r="V4" i="13"/>
  <c r="U4" i="13"/>
  <c r="T4" i="13"/>
  <c r="S4" i="13"/>
  <c r="R4" i="13"/>
  <c r="Q4" i="13"/>
  <c r="P4" i="13"/>
  <c r="O4" i="13"/>
  <c r="O39" i="13"/>
  <c r="O179" i="13" s="1"/>
  <c r="V34" i="13"/>
  <c r="A1139" i="13"/>
  <c r="A1138" i="13"/>
  <c r="A1137" i="13"/>
  <c r="A1133" i="13"/>
  <c r="A1132" i="13"/>
  <c r="A1175" i="13"/>
  <c r="A1174" i="13"/>
  <c r="A1211" i="13" s="1"/>
  <c r="A1173" i="13"/>
  <c r="A1210" i="13" s="1"/>
  <c r="A1169" i="13"/>
  <c r="A1209" i="13" s="1"/>
  <c r="A1168" i="13"/>
  <c r="A1208" i="13" s="1"/>
  <c r="O34" i="13"/>
  <c r="S34" i="13"/>
  <c r="S607" i="13" s="1"/>
  <c r="Y34" i="13"/>
  <c r="U34" i="13"/>
  <c r="W34" i="13"/>
  <c r="W607" i="13" s="1"/>
  <c r="R34" i="13"/>
  <c r="Q34" i="13"/>
  <c r="T34" i="13"/>
  <c r="X34" i="13"/>
  <c r="Z34" i="13"/>
  <c r="P34" i="13"/>
  <c r="Q54" i="13"/>
  <c r="P54" i="13"/>
  <c r="W53" i="13"/>
  <c r="V53" i="13"/>
  <c r="U53" i="13"/>
  <c r="T53" i="13"/>
  <c r="S53" i="13"/>
  <c r="R53" i="13"/>
  <c r="Q53" i="13"/>
  <c r="P53" i="13"/>
  <c r="O54" i="13"/>
  <c r="O53" i="13"/>
  <c r="A970" i="13"/>
  <c r="A978" i="13"/>
  <c r="A977" i="13"/>
  <c r="C12" i="18"/>
  <c r="A12" i="17" s="1"/>
  <c r="A676" i="13"/>
  <c r="C11" i="18"/>
  <c r="A11" i="17" s="1"/>
  <c r="A675" i="13"/>
  <c r="A674" i="13"/>
  <c r="Q977" i="13"/>
  <c r="Q675" i="13"/>
  <c r="Q11" i="17"/>
  <c r="Z977" i="13"/>
  <c r="N11" i="17"/>
  <c r="X977" i="13"/>
  <c r="L11" i="17"/>
  <c r="X675" i="13"/>
  <c r="X11" i="17"/>
  <c r="Z675" i="13"/>
  <c r="Z11" i="17"/>
  <c r="A1159" i="13"/>
  <c r="A1203" i="13" s="1"/>
  <c r="A1158" i="13"/>
  <c r="A1202" i="13" s="1"/>
  <c r="A1123" i="13"/>
  <c r="A1122" i="13"/>
  <c r="Z198" i="13"/>
  <c r="Y198" i="13"/>
  <c r="X198" i="13"/>
  <c r="W198" i="13"/>
  <c r="V198" i="13"/>
  <c r="U198" i="13"/>
  <c r="T198" i="13"/>
  <c r="S198" i="13"/>
  <c r="R198" i="13"/>
  <c r="Q198" i="13"/>
  <c r="P198" i="13"/>
  <c r="O198" i="13"/>
  <c r="Z197" i="13"/>
  <c r="Y197" i="13"/>
  <c r="X197" i="13"/>
  <c r="W197" i="13"/>
  <c r="V197" i="13"/>
  <c r="U197" i="13"/>
  <c r="T197" i="13"/>
  <c r="S197" i="13"/>
  <c r="R197" i="13"/>
  <c r="Q197" i="13"/>
  <c r="P197" i="13"/>
  <c r="C10" i="18"/>
  <c r="A10" i="17" s="1"/>
  <c r="C15" i="18"/>
  <c r="B226" i="13"/>
  <c r="A1150" i="13"/>
  <c r="A1196" i="13" s="1"/>
  <c r="A1114" i="13"/>
  <c r="C34" i="18"/>
  <c r="A34" i="17" s="1"/>
  <c r="B12" i="13"/>
  <c r="B11" i="13"/>
  <c r="P378" i="13"/>
  <c r="A1120" i="13"/>
  <c r="A1115" i="13"/>
  <c r="A1116" i="13"/>
  <c r="A1162" i="13"/>
  <c r="A1204" i="13" s="1"/>
  <c r="A1157" i="13"/>
  <c r="A1201" i="13" s="1"/>
  <c r="A1156" i="13"/>
  <c r="A1200" i="13" s="1"/>
  <c r="A1153" i="13"/>
  <c r="A1199" i="13" s="1"/>
  <c r="A1152" i="13"/>
  <c r="A1198" i="13" s="1"/>
  <c r="A1126" i="13"/>
  <c r="A1121" i="13"/>
  <c r="A1117" i="13"/>
  <c r="B45" i="18"/>
  <c r="B45" i="17"/>
  <c r="A45" i="18"/>
  <c r="A45" i="17"/>
  <c r="B39" i="18"/>
  <c r="B39" i="17"/>
  <c r="A39" i="18"/>
  <c r="A39" i="17"/>
  <c r="A66" i="17"/>
  <c r="A19" i="17"/>
  <c r="A16" i="17"/>
  <c r="A866" i="13"/>
  <c r="A865" i="13"/>
  <c r="A864" i="13"/>
  <c r="A863" i="13"/>
  <c r="A862" i="13"/>
  <c r="A861" i="13"/>
  <c r="A859" i="13"/>
  <c r="A858" i="13"/>
  <c r="A857" i="13"/>
  <c r="A854" i="13"/>
  <c r="A853" i="13"/>
  <c r="A852" i="13"/>
  <c r="A850" i="13"/>
  <c r="A849" i="13"/>
  <c r="A847" i="13"/>
  <c r="A846" i="13"/>
  <c r="A812" i="13"/>
  <c r="A811" i="13"/>
  <c r="A810" i="13"/>
  <c r="A809" i="13"/>
  <c r="A808" i="13"/>
  <c r="A807" i="13"/>
  <c r="A805" i="13"/>
  <c r="A803" i="13"/>
  <c r="A798" i="13"/>
  <c r="A797" i="13"/>
  <c r="A796" i="13"/>
  <c r="A794" i="13"/>
  <c r="A793" i="13"/>
  <c r="A791" i="13"/>
  <c r="A790" i="13"/>
  <c r="A28" i="17"/>
  <c r="A1166" i="13"/>
  <c r="A1206" i="13" s="1"/>
  <c r="A1151" i="13"/>
  <c r="A1197" i="13" s="1"/>
  <c r="A1149" i="13"/>
  <c r="A1195" i="13" s="1"/>
  <c r="A1148" i="13"/>
  <c r="A1194" i="13" s="1"/>
  <c r="A1147" i="13"/>
  <c r="A1193" i="13" s="1"/>
  <c r="A1130" i="13"/>
  <c r="A1113" i="13"/>
  <c r="A1112" i="13"/>
  <c r="A1111" i="13"/>
  <c r="A1140" i="13"/>
  <c r="A1176" i="13"/>
  <c r="A1213" i="13" s="1"/>
  <c r="A1177" i="13"/>
  <c r="A1214" i="13" s="1"/>
  <c r="A1167" i="13"/>
  <c r="A1207" i="13" s="1"/>
  <c r="A1146" i="13"/>
  <c r="A1192" i="13" s="1"/>
  <c r="A1141" i="13"/>
  <c r="A1131" i="13"/>
  <c r="A1110" i="13"/>
  <c r="A1145" i="13"/>
  <c r="A1191" i="13" s="1"/>
  <c r="A1109" i="13"/>
  <c r="A1108" i="13"/>
  <c r="A41" i="17"/>
  <c r="A40" i="17"/>
  <c r="V648" i="13"/>
  <c r="U648" i="13"/>
  <c r="Z653" i="13"/>
  <c r="Y653" i="13"/>
  <c r="X653" i="13"/>
  <c r="W653" i="13"/>
  <c r="U653" i="13"/>
  <c r="T653" i="13"/>
  <c r="R653" i="13"/>
  <c r="Q653" i="13"/>
  <c r="O652" i="13"/>
  <c r="A67" i="13"/>
  <c r="A43" i="17"/>
  <c r="C42" i="18"/>
  <c r="A699" i="13"/>
  <c r="O740" i="13"/>
  <c r="P740" i="13"/>
  <c r="Q741" i="13"/>
  <c r="R740" i="13"/>
  <c r="R741" i="13"/>
  <c r="S740" i="13"/>
  <c r="S741" i="13"/>
  <c r="T740" i="13"/>
  <c r="P648" i="13"/>
  <c r="A21" i="17"/>
  <c r="A63" i="17"/>
  <c r="A62" i="17"/>
  <c r="A61" i="17"/>
  <c r="A60" i="17"/>
  <c r="A49" i="17"/>
  <c r="C44" i="18"/>
  <c r="A38" i="17"/>
  <c r="A37" i="17"/>
  <c r="A33" i="17"/>
  <c r="A32" i="17"/>
  <c r="A31" i="17"/>
  <c r="A27" i="17"/>
  <c r="A26" i="17"/>
  <c r="A25" i="17"/>
  <c r="A24" i="17"/>
  <c r="A22" i="17"/>
  <c r="A20" i="17"/>
  <c r="A18" i="17"/>
  <c r="A17" i="17"/>
  <c r="C9" i="18"/>
  <c r="A9" i="17" s="1"/>
  <c r="C8" i="18"/>
  <c r="C7" i="18"/>
  <c r="B18" i="17"/>
  <c r="B263" i="13"/>
  <c r="A694" i="13"/>
  <c r="A856" i="13" s="1"/>
  <c r="A693" i="13"/>
  <c r="A799" i="13" s="1"/>
  <c r="A386" i="13"/>
  <c r="A683" i="13"/>
  <c r="A792" i="13" s="1"/>
  <c r="A680" i="13"/>
  <c r="A789" i="13" s="1"/>
  <c r="A679" i="13"/>
  <c r="A844" i="13" s="1"/>
  <c r="A15" i="17"/>
  <c r="V653" i="13"/>
  <c r="T741" i="13"/>
  <c r="P741" i="13"/>
  <c r="O741" i="13"/>
  <c r="Q740" i="13"/>
  <c r="S648" i="13"/>
  <c r="O648" i="13"/>
  <c r="S653" i="13"/>
  <c r="Z648" i="13"/>
  <c r="T648" i="13"/>
  <c r="U145" i="13"/>
  <c r="Y145" i="13"/>
  <c r="Z145" i="13"/>
  <c r="C22" i="17"/>
  <c r="Q648" i="13"/>
  <c r="X648" i="13"/>
  <c r="W648" i="13"/>
  <c r="R648" i="13"/>
  <c r="Y648" i="13"/>
  <c r="O651" i="13"/>
  <c r="P651" i="13" s="1"/>
  <c r="Q651" i="13" s="1"/>
  <c r="R651" i="13" s="1"/>
  <c r="S651" i="13" s="1"/>
  <c r="T651" i="13" s="1"/>
  <c r="U651" i="13" s="1"/>
  <c r="V651" i="13" s="1"/>
  <c r="W651" i="13" s="1"/>
  <c r="X651" i="13" s="1"/>
  <c r="Y651" i="13" s="1"/>
  <c r="Z651" i="13" s="1"/>
  <c r="N72" i="17"/>
  <c r="L72" i="17"/>
  <c r="X72" i="17"/>
  <c r="F72" i="17"/>
  <c r="Z72" i="17"/>
  <c r="J72" i="17"/>
  <c r="D72" i="17"/>
  <c r="H72" i="17"/>
  <c r="P72" i="17"/>
  <c r="V72" i="17"/>
  <c r="T72" i="17"/>
  <c r="R72" i="17"/>
  <c r="R36" i="13"/>
  <c r="R47" i="13" s="1"/>
  <c r="R611" i="13" s="1"/>
  <c r="R37" i="13"/>
  <c r="R48" i="13" s="1"/>
  <c r="R609" i="13" s="1"/>
  <c r="O36" i="13"/>
  <c r="O47" i="13" s="1"/>
  <c r="O611" i="13" s="1"/>
  <c r="O37" i="13"/>
  <c r="W403" i="13"/>
  <c r="U1079" i="13"/>
  <c r="U1075" i="13" s="1"/>
  <c r="K64" i="18" s="1"/>
  <c r="O299" i="13"/>
  <c r="X403" i="13"/>
  <c r="O403" i="13"/>
  <c r="S45" i="13"/>
  <c r="R299" i="13"/>
  <c r="V299" i="13"/>
  <c r="F15" i="17"/>
  <c r="P11" i="17"/>
  <c r="P675" i="13"/>
  <c r="P977" i="13"/>
  <c r="A802" i="13"/>
  <c r="Q37" i="13"/>
  <c r="X677" i="13"/>
  <c r="W37" i="13"/>
  <c r="W48" i="13" s="1"/>
  <c r="W609" i="13" s="1"/>
  <c r="W36" i="13"/>
  <c r="W47" i="13" s="1"/>
  <c r="W611" i="13" s="1"/>
  <c r="T36" i="13"/>
  <c r="T47" i="13" s="1"/>
  <c r="T611" i="13" s="1"/>
  <c r="T37" i="13"/>
  <c r="Y1079" i="13"/>
  <c r="Y1075" i="13" s="1"/>
  <c r="O64" i="18" s="1"/>
  <c r="X13" i="17"/>
  <c r="Z403" i="13"/>
  <c r="X53" i="13"/>
  <c r="Y403" i="13"/>
  <c r="U36" i="13"/>
  <c r="R41" i="13"/>
  <c r="S14" i="17"/>
  <c r="G14" i="17"/>
  <c r="D14" i="17"/>
  <c r="X979" i="13"/>
  <c r="Q15" i="17"/>
  <c r="E14" i="17"/>
  <c r="R652" i="13"/>
  <c r="O653" i="13"/>
  <c r="S299" i="13"/>
  <c r="C14" i="17"/>
  <c r="Y53" i="13"/>
  <c r="S980" i="13"/>
  <c r="S678" i="13"/>
  <c r="P678" i="13"/>
  <c r="P980" i="13"/>
  <c r="P14" i="17"/>
  <c r="C13" i="17"/>
  <c r="D13" i="17"/>
  <c r="H14" i="17"/>
  <c r="Q979" i="13"/>
  <c r="Q13" i="17"/>
  <c r="Q677" i="13"/>
  <c r="Q652" i="13"/>
  <c r="F13" i="17"/>
  <c r="F14" i="17"/>
  <c r="T60" i="13"/>
  <c r="J82" i="18" s="1"/>
  <c r="Z53" i="13"/>
  <c r="O980" i="13"/>
  <c r="O14" i="17"/>
  <c r="O678" i="13"/>
  <c r="Q14" i="17"/>
  <c r="Q980" i="13"/>
  <c r="Q678" i="13"/>
  <c r="Q60" i="13"/>
  <c r="G82" i="18" s="1"/>
  <c r="N13" i="17"/>
  <c r="O979" i="13"/>
  <c r="O677" i="13"/>
  <c r="O13" i="17"/>
  <c r="M14" i="17"/>
  <c r="T14" i="17"/>
  <c r="T980" i="13"/>
  <c r="T678" i="13"/>
  <c r="Q41" i="13"/>
  <c r="P979" i="13"/>
  <c r="P13" i="17"/>
  <c r="P677" i="13"/>
  <c r="L14" i="17"/>
  <c r="R980" i="13"/>
  <c r="R14" i="17"/>
  <c r="R678" i="13"/>
  <c r="R13" i="17"/>
  <c r="R979" i="13"/>
  <c r="R677" i="13"/>
  <c r="T652" i="13"/>
  <c r="N14" i="17"/>
  <c r="Z13" i="17"/>
  <c r="Z677" i="13"/>
  <c r="Z979" i="13"/>
  <c r="Y41" i="13"/>
  <c r="P41" i="13"/>
  <c r="W41" i="13"/>
  <c r="Y14" i="17"/>
  <c r="Y678" i="13"/>
  <c r="Y980" i="13"/>
  <c r="X41" i="13"/>
  <c r="X980" i="13"/>
  <c r="X14" i="17"/>
  <c r="X678" i="13"/>
  <c r="Z41" i="13"/>
  <c r="T41" i="13"/>
  <c r="O41" i="13"/>
  <c r="Z980" i="13"/>
  <c r="Z14" i="17"/>
  <c r="Z678" i="13"/>
  <c r="U41" i="13"/>
  <c r="V41" i="13"/>
  <c r="S41" i="13"/>
  <c r="Z652" i="13"/>
  <c r="I9" i="20"/>
  <c r="J9" i="20"/>
  <c r="K9" i="20"/>
  <c r="O429" i="13"/>
  <c r="E14" i="18" s="1"/>
  <c r="P429" i="13"/>
  <c r="F14" i="18" s="1"/>
  <c r="Q429" i="13"/>
  <c r="G14" i="18" s="1"/>
  <c r="R429" i="13"/>
  <c r="H14" i="18" s="1"/>
  <c r="S429" i="13"/>
  <c r="I14" i="18" s="1"/>
  <c r="T429" i="13"/>
  <c r="J14" i="18" s="1"/>
  <c r="X429" i="13"/>
  <c r="N14" i="18" s="1"/>
  <c r="Y429" i="13"/>
  <c r="O14" i="18" s="1"/>
  <c r="Z429" i="13"/>
  <c r="P14" i="18" s="1"/>
  <c r="AA70" i="17" l="1"/>
  <c r="A788" i="13"/>
  <c r="A855" i="13"/>
  <c r="W45" i="13"/>
  <c r="A1212" i="13"/>
  <c r="Q145" i="13"/>
  <c r="P1079" i="13"/>
  <c r="P1075" i="13" s="1"/>
  <c r="F64" i="18" s="1"/>
  <c r="Y297" i="13"/>
  <c r="T297" i="13"/>
  <c r="R145" i="13"/>
  <c r="S145" i="13"/>
  <c r="X1078" i="13"/>
  <c r="X1086" i="13" s="1"/>
  <c r="E13" i="17"/>
  <c r="Q77" i="18"/>
  <c r="Q76" i="18"/>
  <c r="Q75" i="18"/>
  <c r="Q25" i="18"/>
  <c r="Q89" i="18"/>
  <c r="Q46" i="18"/>
  <c r="Q18" i="18"/>
  <c r="Q7" i="18"/>
  <c r="Q30" i="18"/>
  <c r="Z178" i="13"/>
  <c r="Z48" i="13"/>
  <c r="Z609" i="13" s="1"/>
  <c r="Q16" i="18"/>
  <c r="Q58" i="18"/>
  <c r="Q88" i="18"/>
  <c r="O1078" i="13"/>
  <c r="O1074" i="13" s="1"/>
  <c r="Q34" i="18"/>
  <c r="Q44" i="18"/>
  <c r="Q29" i="18"/>
  <c r="Q27" i="18"/>
  <c r="Q9" i="18"/>
  <c r="Q45" i="18"/>
  <c r="Q81" i="18"/>
  <c r="Q33" i="18"/>
  <c r="Q38" i="18"/>
  <c r="Q43" i="18"/>
  <c r="Q84" i="18"/>
  <c r="Q8" i="18"/>
  <c r="Q19" i="18"/>
  <c r="Q80" i="18"/>
  <c r="Q39" i="18"/>
  <c r="Q37" i="18"/>
  <c r="Q42" i="18"/>
  <c r="Q178" i="13"/>
  <c r="Q1079" i="13"/>
  <c r="Q1075" i="13" s="1"/>
  <c r="G64" i="18" s="1"/>
  <c r="Z1177" i="13"/>
  <c r="W299" i="13"/>
  <c r="U297" i="13"/>
  <c r="O145" i="13"/>
  <c r="O144" i="13"/>
  <c r="X179" i="13"/>
  <c r="X36" i="13"/>
  <c r="X47" i="13" s="1"/>
  <c r="X611" i="13" s="1"/>
  <c r="Y36" i="13"/>
  <c r="Y47" i="13" s="1"/>
  <c r="Y611" i="13" s="1"/>
  <c r="Y179" i="13"/>
  <c r="Z36" i="13"/>
  <c r="Z179" i="13"/>
  <c r="P1078" i="13"/>
  <c r="P1074" i="13" s="1"/>
  <c r="F63" i="18" s="1"/>
  <c r="F106" i="18" s="1"/>
  <c r="Z1035" i="13"/>
  <c r="P36" i="13"/>
  <c r="P47" i="13" s="1"/>
  <c r="P611" i="13" s="1"/>
  <c r="P179" i="13"/>
  <c r="Q36" i="13"/>
  <c r="Q179" i="13"/>
  <c r="R35" i="13"/>
  <c r="R33" i="13" s="1"/>
  <c r="U37" i="13"/>
  <c r="U35" i="13" s="1"/>
  <c r="U33" i="13" s="1"/>
  <c r="U179" i="13"/>
  <c r="V36" i="13"/>
  <c r="V47" i="13" s="1"/>
  <c r="V611" i="13" s="1"/>
  <c r="V179" i="13"/>
  <c r="S1078" i="13"/>
  <c r="S1074" i="13" s="1"/>
  <c r="I63" i="18" s="1"/>
  <c r="T1078" i="13"/>
  <c r="T1074" i="13" s="1"/>
  <c r="J63" i="18" s="1"/>
  <c r="J106" i="18" s="1"/>
  <c r="W1078" i="13"/>
  <c r="W1074" i="13" s="1"/>
  <c r="M63" i="18" s="1"/>
  <c r="P299" i="13"/>
  <c r="O378" i="13"/>
  <c r="Q403" i="13"/>
  <c r="Y144" i="13"/>
  <c r="W35" i="13"/>
  <c r="W46" i="13" s="1"/>
  <c r="Q378" i="13"/>
  <c r="X410" i="13"/>
  <c r="N11" i="18" s="1"/>
  <c r="P178" i="13"/>
  <c r="A860" i="13"/>
  <c r="A806" i="13"/>
  <c r="X297" i="13"/>
  <c r="V144" i="13"/>
  <c r="Q299" i="13"/>
  <c r="P403" i="13"/>
  <c r="S36" i="13"/>
  <c r="S47" i="13" s="1"/>
  <c r="S611" i="13" s="1"/>
  <c r="S37" i="13"/>
  <c r="S178" i="13" s="1"/>
  <c r="V145" i="13"/>
  <c r="T35" i="13"/>
  <c r="T33" i="13" s="1"/>
  <c r="E63" i="18"/>
  <c r="Z1033" i="13"/>
  <c r="S202" i="13"/>
  <c r="S961" i="13"/>
  <c r="K5" i="20"/>
  <c r="U560" i="13"/>
  <c r="U47" i="13"/>
  <c r="U611" i="13" s="1"/>
  <c r="W612" i="13"/>
  <c r="A845" i="13"/>
  <c r="P45" i="13"/>
  <c r="P607" i="13"/>
  <c r="Z45" i="13"/>
  <c r="Z607" i="13"/>
  <c r="R45" i="13"/>
  <c r="R607" i="13"/>
  <c r="R612" i="13" s="1"/>
  <c r="Y45" i="13"/>
  <c r="Y607" i="13"/>
  <c r="X45" i="13"/>
  <c r="X607" i="13"/>
  <c r="Q1078" i="13"/>
  <c r="U1078" i="13"/>
  <c r="D11" i="17"/>
  <c r="T45" i="13"/>
  <c r="T607" i="13"/>
  <c r="U45" i="13"/>
  <c r="U607" i="13"/>
  <c r="O45" i="13"/>
  <c r="O607" i="13"/>
  <c r="Q45" i="13"/>
  <c r="Q607" i="13"/>
  <c r="V45" i="13"/>
  <c r="V607" i="13"/>
  <c r="A7" i="17"/>
  <c r="R1078" i="13"/>
  <c r="V1078" i="13"/>
  <c r="Y1078" i="13"/>
  <c r="Y1086" i="13" s="1"/>
  <c r="S48" i="13"/>
  <c r="S609" i="13" s="1"/>
  <c r="V403" i="13"/>
  <c r="W144" i="13"/>
  <c r="Q683" i="13"/>
  <c r="W178" i="13"/>
  <c r="W685" i="13" s="1"/>
  <c r="Q966" i="13"/>
  <c r="Q989" i="13" s="1"/>
  <c r="Q1037" i="13" s="1"/>
  <c r="Q1043" i="13" s="1"/>
  <c r="H5" i="20"/>
  <c r="J5" i="20"/>
  <c r="P145" i="13"/>
  <c r="P144" i="13"/>
  <c r="T145" i="13"/>
  <c r="T144" i="13"/>
  <c r="X144" i="13"/>
  <c r="X145" i="13"/>
  <c r="G5" i="20"/>
  <c r="O72" i="17"/>
  <c r="AA72" i="17" s="1"/>
  <c r="I5" i="20"/>
  <c r="Q48" i="13"/>
  <c r="Q609" i="13" s="1"/>
  <c r="Y35" i="13"/>
  <c r="Y46" i="13" s="1"/>
  <c r="Y178" i="13"/>
  <c r="Y21" i="17" s="1"/>
  <c r="M15" i="18"/>
  <c r="K15" i="17"/>
  <c r="T48" i="13"/>
  <c r="T609" i="13" s="1"/>
  <c r="T612" i="13" s="1"/>
  <c r="T178" i="13"/>
  <c r="T685" i="13" s="1"/>
  <c r="Z299" i="13"/>
  <c r="V48" i="13"/>
  <c r="V609" i="13" s="1"/>
  <c r="V178" i="13"/>
  <c r="S22" i="17"/>
  <c r="G22" i="17"/>
  <c r="Z960" i="13"/>
  <c r="O35" i="13"/>
  <c r="O48" i="13"/>
  <c r="O609" i="13" s="1"/>
  <c r="X35" i="13"/>
  <c r="Y48" i="13"/>
  <c r="Y609" i="13" s="1"/>
  <c r="Y960" i="13"/>
  <c r="X178" i="13"/>
  <c r="X685" i="13" s="1"/>
  <c r="R178" i="13"/>
  <c r="Z740" i="13"/>
  <c r="V740" i="13"/>
  <c r="W740" i="13"/>
  <c r="U741" i="13"/>
  <c r="Y740" i="13"/>
  <c r="Z741" i="13"/>
  <c r="Y741" i="13"/>
  <c r="V741" i="13"/>
  <c r="X740" i="13"/>
  <c r="X741" i="13"/>
  <c r="W741" i="13"/>
  <c r="U740" i="13"/>
  <c r="T403" i="13"/>
  <c r="M32" i="17"/>
  <c r="Y560" i="13"/>
  <c r="Y562" i="13" s="1"/>
  <c r="I15" i="17"/>
  <c r="F32" i="17"/>
  <c r="X1074" i="13"/>
  <c r="N63" i="18" s="1"/>
  <c r="N106" i="18" s="1"/>
  <c r="H21" i="17"/>
  <c r="U702" i="13"/>
  <c r="O178" i="13"/>
  <c r="O21" i="17" s="1"/>
  <c r="A8" i="17"/>
  <c r="A44" i="17"/>
  <c r="A42" i="17"/>
  <c r="Z1078" i="13"/>
  <c r="R297" i="13"/>
  <c r="P410" i="13"/>
  <c r="F11" i="18" s="1"/>
  <c r="E15" i="17"/>
  <c r="R54" i="13"/>
  <c r="V35" i="13"/>
  <c r="P48" i="13"/>
  <c r="P609" i="13" s="1"/>
  <c r="R378" i="13"/>
  <c r="K83" i="18"/>
  <c r="V297" i="13"/>
  <c r="V1079" i="13"/>
  <c r="O15" i="18"/>
  <c r="V355" i="13"/>
  <c r="U355" i="13"/>
  <c r="T355" i="13"/>
  <c r="U22" i="17"/>
  <c r="H32" i="17"/>
  <c r="T285" i="13"/>
  <c r="S1079" i="13"/>
  <c r="J11" i="17"/>
  <c r="S652" i="13"/>
  <c r="I22" i="17"/>
  <c r="T21" i="17"/>
  <c r="T960" i="13"/>
  <c r="A848" i="13"/>
  <c r="O1079" i="13"/>
  <c r="O1086" i="13" s="1"/>
  <c r="W1079" i="13"/>
  <c r="W1075" i="13" s="1"/>
  <c r="M64" i="18" s="1"/>
  <c r="Z21" i="17" l="1"/>
  <c r="U178" i="13"/>
  <c r="U21" i="17" s="1"/>
  <c r="U48" i="13"/>
  <c r="U609" i="13" s="1"/>
  <c r="Y33" i="13"/>
  <c r="Z685" i="13"/>
  <c r="S1086" i="13"/>
  <c r="U46" i="13"/>
  <c r="V612" i="13"/>
  <c r="V697" i="13" s="1"/>
  <c r="O685" i="13"/>
  <c r="X612" i="13"/>
  <c r="X697" i="13" s="1"/>
  <c r="K21" i="17"/>
  <c r="Y612" i="13"/>
  <c r="Y697" i="13" s="1"/>
  <c r="J21" i="17"/>
  <c r="N21" i="17"/>
  <c r="Q21" i="17"/>
  <c r="P1086" i="13"/>
  <c r="I21" i="17"/>
  <c r="W33" i="13"/>
  <c r="S960" i="13"/>
  <c r="S685" i="13"/>
  <c r="S21" i="17"/>
  <c r="Q685" i="13"/>
  <c r="X21" i="17"/>
  <c r="Q960" i="13"/>
  <c r="L21" i="17"/>
  <c r="U960" i="13"/>
  <c r="Z1074" i="13"/>
  <c r="P63" i="18" s="1"/>
  <c r="M106" i="18"/>
  <c r="W297" i="13"/>
  <c r="P355" i="13"/>
  <c r="O355" i="13"/>
  <c r="O356" i="13" s="1"/>
  <c r="N35" i="17"/>
  <c r="W960" i="13"/>
  <c r="W21" i="17"/>
  <c r="R46" i="13"/>
  <c r="P685" i="13"/>
  <c r="M11" i="17"/>
  <c r="T1086" i="13"/>
  <c r="Z47" i="13"/>
  <c r="Z611" i="13" s="1"/>
  <c r="Z612" i="13" s="1"/>
  <c r="Z35" i="13"/>
  <c r="U562" i="13"/>
  <c r="P960" i="13"/>
  <c r="P35" i="13"/>
  <c r="Q47" i="13"/>
  <c r="Q611" i="13" s="1"/>
  <c r="Q612" i="13" s="1"/>
  <c r="Q697" i="13" s="1"/>
  <c r="Q35" i="13"/>
  <c r="S297" i="13"/>
  <c r="S35" i="13"/>
  <c r="S612" i="13"/>
  <c r="S614" i="13" s="1"/>
  <c r="I35" i="18" s="1"/>
  <c r="U685" i="13"/>
  <c r="P297" i="13"/>
  <c r="Q297" i="13"/>
  <c r="Y1074" i="13"/>
  <c r="O63" i="18" s="1"/>
  <c r="O106" i="18" s="1"/>
  <c r="T46" i="13"/>
  <c r="U1074" i="13"/>
  <c r="K63" i="18" s="1"/>
  <c r="K106" i="18" s="1"/>
  <c r="U1086" i="13"/>
  <c r="Q1074" i="13"/>
  <c r="G63" i="18" s="1"/>
  <c r="G106" i="18" s="1"/>
  <c r="Q1086" i="13"/>
  <c r="W1086" i="13"/>
  <c r="V1074" i="13"/>
  <c r="L63" i="18" s="1"/>
  <c r="V1086" i="13"/>
  <c r="R1074" i="13"/>
  <c r="H63" i="18" s="1"/>
  <c r="H106" i="18" s="1"/>
  <c r="R1086" i="13"/>
  <c r="O202" i="13"/>
  <c r="O961" i="13"/>
  <c r="U202" i="13"/>
  <c r="U961" i="13"/>
  <c r="F15" i="18"/>
  <c r="O612" i="13"/>
  <c r="O697" i="13" s="1"/>
  <c r="P612" i="13"/>
  <c r="P697" i="13" s="1"/>
  <c r="Z683" i="13"/>
  <c r="Y35" i="17"/>
  <c r="Y614" i="13"/>
  <c r="O35" i="18" s="1"/>
  <c r="V35" i="17"/>
  <c r="T697" i="13"/>
  <c r="T35" i="17"/>
  <c r="T614" i="13"/>
  <c r="J35" i="18" s="1"/>
  <c r="K35" i="17"/>
  <c r="E35" i="17"/>
  <c r="L35" i="17"/>
  <c r="R35" i="17"/>
  <c r="R697" i="13"/>
  <c r="R614" i="13"/>
  <c r="H35" i="18" s="1"/>
  <c r="G35" i="17"/>
  <c r="W697" i="13"/>
  <c r="W35" i="17"/>
  <c r="W614" i="13"/>
  <c r="M35" i="18" s="1"/>
  <c r="U612" i="13"/>
  <c r="X960" i="13"/>
  <c r="Y685" i="13"/>
  <c r="X355" i="13"/>
  <c r="X356" i="13" s="1"/>
  <c r="Z297" i="13"/>
  <c r="U44" i="13"/>
  <c r="U555" i="13"/>
  <c r="T555" i="13"/>
  <c r="T40" i="17" s="1"/>
  <c r="T44" i="13"/>
  <c r="K56" i="18"/>
  <c r="I15" i="18"/>
  <c r="O960" i="13"/>
  <c r="E28" i="17"/>
  <c r="C28" i="17"/>
  <c r="H15" i="17"/>
  <c r="G21" i="17"/>
  <c r="J28" i="17"/>
  <c r="I28" i="17"/>
  <c r="W966" i="13"/>
  <c r="W989" i="13" s="1"/>
  <c r="W1037" i="13" s="1"/>
  <c r="W1043" i="13" s="1"/>
  <c r="W1176" i="13" s="1"/>
  <c r="W683" i="13"/>
  <c r="W15" i="17"/>
  <c r="L22" i="17"/>
  <c r="Z190" i="13"/>
  <c r="R15" i="17"/>
  <c r="R966" i="13"/>
  <c r="R989" i="13" s="1"/>
  <c r="R1037" i="13" s="1"/>
  <c r="R1043" i="13" s="1"/>
  <c r="R1176" i="13" s="1"/>
  <c r="R683" i="13"/>
  <c r="D21" i="17"/>
  <c r="P560" i="13"/>
  <c r="P46" i="13"/>
  <c r="P33" i="13"/>
  <c r="P21" i="17"/>
  <c r="N15" i="17"/>
  <c r="O46" i="13"/>
  <c r="O33" i="13"/>
  <c r="U566" i="13"/>
  <c r="X46" i="13"/>
  <c r="X33" i="13"/>
  <c r="R21" i="17"/>
  <c r="R685" i="13"/>
  <c r="R960" i="13"/>
  <c r="R555" i="13"/>
  <c r="R379" i="13"/>
  <c r="R44" i="13"/>
  <c r="U652" i="13"/>
  <c r="J31" i="17"/>
  <c r="Y962" i="13"/>
  <c r="Y32" i="17"/>
  <c r="I61" i="17"/>
  <c r="Q1176" i="13"/>
  <c r="S54" i="13"/>
  <c r="V33" i="13"/>
  <c r="V46" i="13"/>
  <c r="V21" i="17"/>
  <c r="V685" i="13"/>
  <c r="V960" i="13"/>
  <c r="V1075" i="13"/>
  <c r="L64" i="18" s="1"/>
  <c r="G31" i="17"/>
  <c r="U356" i="13"/>
  <c r="E26" i="18"/>
  <c r="O353" i="13"/>
  <c r="V356" i="13"/>
  <c r="T356" i="13"/>
  <c r="Q355" i="13"/>
  <c r="E21" i="17"/>
  <c r="Z966" i="13"/>
  <c r="Z989" i="13" s="1"/>
  <c r="S1075" i="13"/>
  <c r="I64" i="18" s="1"/>
  <c r="I106" i="18" s="1"/>
  <c r="Y675" i="13"/>
  <c r="Y977" i="13"/>
  <c r="Y11" i="17"/>
  <c r="R701" i="13"/>
  <c r="T379" i="13"/>
  <c r="T683" i="13"/>
  <c r="T966" i="13"/>
  <c r="T989" i="13" s="1"/>
  <c r="T1037" i="13" s="1"/>
  <c r="T1043" i="13" s="1"/>
  <c r="T1176" i="13" s="1"/>
  <c r="T15" i="17"/>
  <c r="T962" i="13"/>
  <c r="T286" i="13"/>
  <c r="T32" i="17"/>
  <c r="U61" i="17"/>
  <c r="S378" i="13"/>
  <c r="Q1048" i="13"/>
  <c r="O1075" i="13"/>
  <c r="E64" i="18" s="1"/>
  <c r="M61" i="17"/>
  <c r="L32" i="17"/>
  <c r="L56" i="18"/>
  <c r="L15" i="17"/>
  <c r="H31" i="17"/>
  <c r="J32" i="17"/>
  <c r="F22" i="17"/>
  <c r="O947" i="13"/>
  <c r="O22" i="17"/>
  <c r="W379" i="13"/>
  <c r="W555" i="13"/>
  <c r="W44" i="13"/>
  <c r="P653" i="13"/>
  <c r="V409" i="13"/>
  <c r="L15" i="18"/>
  <c r="G32" i="17"/>
  <c r="M15" i="17"/>
  <c r="R962" i="13"/>
  <c r="R32" i="17"/>
  <c r="Y44" i="13"/>
  <c r="Y555" i="13"/>
  <c r="V977" i="13"/>
  <c r="V11" i="17"/>
  <c r="V675" i="13"/>
  <c r="V614" i="13" l="1"/>
  <c r="L35" i="18" s="1"/>
  <c r="O614" i="13"/>
  <c r="E35" i="18" s="1"/>
  <c r="S35" i="17"/>
  <c r="X614" i="13"/>
  <c r="N35" i="18" s="1"/>
  <c r="X35" i="17"/>
  <c r="O35" i="17"/>
  <c r="M35" i="17"/>
  <c r="S697" i="13"/>
  <c r="I35" i="17"/>
  <c r="M21" i="17"/>
  <c r="Q64" i="18"/>
  <c r="R560" i="13"/>
  <c r="R562" i="13" s="1"/>
  <c r="L106" i="18"/>
  <c r="E106" i="18"/>
  <c r="Q63" i="18"/>
  <c r="P356" i="13"/>
  <c r="Z15" i="17"/>
  <c r="Z614" i="13"/>
  <c r="P35" i="18" s="1"/>
  <c r="Z35" i="17"/>
  <c r="Z697" i="13"/>
  <c r="J35" i="17"/>
  <c r="Q614" i="13"/>
  <c r="G35" i="18" s="1"/>
  <c r="N48" i="17"/>
  <c r="Z33" i="13"/>
  <c r="Z46" i="13"/>
  <c r="G13" i="17"/>
  <c r="Q46" i="13"/>
  <c r="Q33" i="13"/>
  <c r="C35" i="17"/>
  <c r="S33" i="13"/>
  <c r="S46" i="13"/>
  <c r="H13" i="17"/>
  <c r="F35" i="17"/>
  <c r="D35" i="17"/>
  <c r="F21" i="17"/>
  <c r="Q35" i="17"/>
  <c r="P652" i="13"/>
  <c r="R202" i="13"/>
  <c r="R961" i="13"/>
  <c r="R988" i="13" s="1"/>
  <c r="X202" i="13"/>
  <c r="X961" i="13"/>
  <c r="T1048" i="13"/>
  <c r="W1048" i="13"/>
  <c r="R1048" i="13"/>
  <c r="P614" i="13"/>
  <c r="F35" i="18" s="1"/>
  <c r="H35" i="17"/>
  <c r="P35" i="17"/>
  <c r="U697" i="13"/>
  <c r="U35" i="17"/>
  <c r="U614" i="13"/>
  <c r="K35" i="18" s="1"/>
  <c r="K28" i="17"/>
  <c r="T689" i="13"/>
  <c r="X12" i="17"/>
  <c r="U966" i="13"/>
  <c r="U989" i="13" s="1"/>
  <c r="U15" i="17"/>
  <c r="U379" i="13"/>
  <c r="U683" i="13"/>
  <c r="U689" i="13"/>
  <c r="U40" i="17"/>
  <c r="K11" i="17"/>
  <c r="F12" i="17"/>
  <c r="U364" i="13"/>
  <c r="K28" i="18" s="1"/>
  <c r="U368" i="13"/>
  <c r="U704" i="13"/>
  <c r="U969" i="13"/>
  <c r="U990" i="13" s="1"/>
  <c r="U28" i="17"/>
  <c r="W364" i="13"/>
  <c r="M28" i="18" s="1"/>
  <c r="W969" i="13"/>
  <c r="W990" i="13" s="1"/>
  <c r="W368" i="13"/>
  <c r="W704" i="13"/>
  <c r="W28" i="17"/>
  <c r="O364" i="13"/>
  <c r="O969" i="13"/>
  <c r="O990" i="13" s="1"/>
  <c r="O368" i="13"/>
  <c r="O28" i="17"/>
  <c r="O704" i="13"/>
  <c r="M28" i="17"/>
  <c r="G28" i="17"/>
  <c r="H28" i="17"/>
  <c r="F28" i="17"/>
  <c r="D40" i="17"/>
  <c r="D15" i="17"/>
  <c r="V364" i="13"/>
  <c r="L28" i="18" s="1"/>
  <c r="V704" i="13"/>
  <c r="V368" i="13"/>
  <c r="V969" i="13"/>
  <c r="V990" i="13" s="1"/>
  <c r="V28" i="17"/>
  <c r="Q364" i="13"/>
  <c r="G28" i="18" s="1"/>
  <c r="Q368" i="13"/>
  <c r="Q704" i="13"/>
  <c r="Q969" i="13"/>
  <c r="Q990" i="13" s="1"/>
  <c r="Q28" i="17"/>
  <c r="X22" i="17"/>
  <c r="W190" i="13"/>
  <c r="X60" i="13"/>
  <c r="N82" i="18" s="1"/>
  <c r="Y60" i="13"/>
  <c r="O82" i="18" s="1"/>
  <c r="C15" i="17"/>
  <c r="K14" i="17"/>
  <c r="P555" i="13"/>
  <c r="P44" i="13"/>
  <c r="P379" i="13"/>
  <c r="U567" i="13"/>
  <c r="U568" i="13" s="1"/>
  <c r="K41" i="18" s="1"/>
  <c r="O555" i="13"/>
  <c r="O44" i="13"/>
  <c r="F31" i="17"/>
  <c r="P562" i="13"/>
  <c r="X555" i="13"/>
  <c r="X44" i="13"/>
  <c r="Y355" i="13"/>
  <c r="R689" i="13"/>
  <c r="R40" i="17"/>
  <c r="K15" i="18"/>
  <c r="J15" i="18"/>
  <c r="Q170" i="13"/>
  <c r="O170" i="13"/>
  <c r="R170" i="13"/>
  <c r="Z170" i="13"/>
  <c r="Y170" i="13"/>
  <c r="P170" i="13"/>
  <c r="S170" i="13"/>
  <c r="W170" i="13"/>
  <c r="V170" i="13"/>
  <c r="T170" i="13"/>
  <c r="X170" i="13"/>
  <c r="U170" i="13"/>
  <c r="R286" i="13"/>
  <c r="V652" i="13"/>
  <c r="N22" i="17"/>
  <c r="X701" i="13"/>
  <c r="L31" i="17"/>
  <c r="D32" i="17"/>
  <c r="E22" i="17"/>
  <c r="K32" i="17"/>
  <c r="W285" i="13"/>
  <c r="C31" i="17"/>
  <c r="Z560" i="13"/>
  <c r="P190" i="13"/>
  <c r="R190" i="13"/>
  <c r="R193" i="13" s="1"/>
  <c r="T54" i="13"/>
  <c r="W60" i="13"/>
  <c r="M82" i="18" s="1"/>
  <c r="R285" i="13"/>
  <c r="T409" i="13"/>
  <c r="V44" i="13"/>
  <c r="V555" i="13"/>
  <c r="Z60" i="13"/>
  <c r="P82" i="18" s="1"/>
  <c r="W652" i="13"/>
  <c r="S31" i="17"/>
  <c r="Q356" i="13"/>
  <c r="W355" i="13"/>
  <c r="R355" i="13"/>
  <c r="T353" i="13"/>
  <c r="J26" i="18"/>
  <c r="V353" i="13"/>
  <c r="L26" i="18"/>
  <c r="K26" i="18"/>
  <c r="U353" i="13"/>
  <c r="X978" i="13"/>
  <c r="X676" i="13"/>
  <c r="I83" i="18"/>
  <c r="Z1037" i="13"/>
  <c r="Z1043" i="13" s="1"/>
  <c r="R273" i="13"/>
  <c r="R31" i="17"/>
  <c r="R272" i="13"/>
  <c r="T566" i="13"/>
  <c r="K61" i="17"/>
  <c r="J56" i="18"/>
  <c r="M56" i="18"/>
  <c r="D31" i="17"/>
  <c r="T190" i="13"/>
  <c r="Y702" i="13"/>
  <c r="Y61" i="17"/>
  <c r="G10" i="17"/>
  <c r="U60" i="13"/>
  <c r="K82" i="18" s="1"/>
  <c r="F56" i="18"/>
  <c r="F40" i="17"/>
  <c r="J22" i="17"/>
  <c r="F83" i="18"/>
  <c r="R22" i="17"/>
  <c r="R192" i="13"/>
  <c r="I31" i="17"/>
  <c r="X285" i="13"/>
  <c r="X32" i="17"/>
  <c r="X962" i="13"/>
  <c r="X286" i="13"/>
  <c r="W300" i="13"/>
  <c r="K48" i="17"/>
  <c r="Y689" i="13"/>
  <c r="Y40" i="17"/>
  <c r="Y15" i="17"/>
  <c r="Y966" i="13"/>
  <c r="Y379" i="13"/>
  <c r="Y683" i="13"/>
  <c r="S962" i="13"/>
  <c r="S286" i="13"/>
  <c r="S32" i="17"/>
  <c r="S701" i="13"/>
  <c r="S285" i="13"/>
  <c r="X15" i="17"/>
  <c r="X966" i="13"/>
  <c r="X989" i="13" s="1"/>
  <c r="X683" i="13"/>
  <c r="X379" i="13"/>
  <c r="E61" i="17"/>
  <c r="P947" i="13"/>
  <c r="O60" i="13"/>
  <c r="E82" i="18" s="1"/>
  <c r="H61" i="17"/>
  <c r="V962" i="13"/>
  <c r="V32" i="17"/>
  <c r="V286" i="13"/>
  <c r="T701" i="13"/>
  <c r="T31" i="17"/>
  <c r="V410" i="13"/>
  <c r="L11" i="18" s="1"/>
  <c r="W40" i="17"/>
  <c r="W689" i="13"/>
  <c r="C32" i="17"/>
  <c r="N26" i="18"/>
  <c r="X353" i="13"/>
  <c r="T272" i="13"/>
  <c r="G40" i="17"/>
  <c r="T378" i="13"/>
  <c r="W980" i="13"/>
  <c r="W14" i="17"/>
  <c r="W678" i="13"/>
  <c r="W429" i="13"/>
  <c r="M14" i="18" s="1"/>
  <c r="J13" i="17"/>
  <c r="Q35" i="18" l="1"/>
  <c r="U369" i="13"/>
  <c r="V369" i="13"/>
  <c r="P353" i="13"/>
  <c r="F26" i="18"/>
  <c r="Z300" i="13"/>
  <c r="Q44" i="13"/>
  <c r="Q555" i="13"/>
  <c r="Q379" i="13"/>
  <c r="O297" i="13"/>
  <c r="N15" i="18"/>
  <c r="S677" i="13"/>
  <c r="S979" i="13"/>
  <c r="S13" i="17"/>
  <c r="Z379" i="13"/>
  <c r="Z44" i="13"/>
  <c r="Z555" i="13"/>
  <c r="M40" i="17"/>
  <c r="S555" i="13"/>
  <c r="S44" i="13"/>
  <c r="T677" i="13"/>
  <c r="T979" i="13"/>
  <c r="T13" i="17"/>
  <c r="M13" i="17"/>
  <c r="Q202" i="13"/>
  <c r="Q961" i="13"/>
  <c r="Z202" i="13"/>
  <c r="Z961" i="13"/>
  <c r="V202" i="13"/>
  <c r="V961" i="13"/>
  <c r="V988" i="13" s="1"/>
  <c r="Y285" i="13"/>
  <c r="X273" i="13"/>
  <c r="U1037" i="13"/>
  <c r="U1043" i="13" s="1"/>
  <c r="U1176" i="13" s="1"/>
  <c r="W409" i="13"/>
  <c r="G15" i="17"/>
  <c r="W11" i="17"/>
  <c r="W977" i="13"/>
  <c r="W675" i="13"/>
  <c r="E31" i="17"/>
  <c r="D61" i="17"/>
  <c r="N28" i="17"/>
  <c r="L28" i="17"/>
  <c r="R978" i="13"/>
  <c r="R12" i="17"/>
  <c r="R676" i="13"/>
  <c r="Z409" i="13"/>
  <c r="R364" i="13"/>
  <c r="H28" i="18" s="1"/>
  <c r="R704" i="13"/>
  <c r="R969" i="13"/>
  <c r="R990" i="13" s="1"/>
  <c r="R28" i="17"/>
  <c r="R368" i="13"/>
  <c r="S364" i="13"/>
  <c r="I28" i="18" s="1"/>
  <c r="S969" i="13"/>
  <c r="S990" i="13" s="1"/>
  <c r="S368" i="13"/>
  <c r="S704" i="13"/>
  <c r="S28" i="17"/>
  <c r="E28" i="18"/>
  <c r="O369" i="13"/>
  <c r="D28" i="17"/>
  <c r="P15" i="17"/>
  <c r="P683" i="13"/>
  <c r="P966" i="13"/>
  <c r="P989" i="13" s="1"/>
  <c r="P1037" i="13" s="1"/>
  <c r="P1043" i="13" s="1"/>
  <c r="Q1039" i="13"/>
  <c r="Q1044" i="13" s="1"/>
  <c r="Q1050" i="13" s="1"/>
  <c r="V1039" i="13"/>
  <c r="V1044" i="13" s="1"/>
  <c r="V1177" i="13" s="1"/>
  <c r="G15" i="18"/>
  <c r="T364" i="13"/>
  <c r="T969" i="13"/>
  <c r="T990" i="13" s="1"/>
  <c r="T28" i="17"/>
  <c r="T368" i="13"/>
  <c r="T704" i="13"/>
  <c r="Y364" i="13"/>
  <c r="O28" i="18" s="1"/>
  <c r="Y969" i="13"/>
  <c r="Y990" i="13" s="1"/>
  <c r="Y368" i="13"/>
  <c r="Y704" i="13"/>
  <c r="Y28" i="17"/>
  <c r="O1039" i="13"/>
  <c r="S192" i="13"/>
  <c r="S190" i="13"/>
  <c r="S193" i="13" s="1"/>
  <c r="W1039" i="13"/>
  <c r="W1044" i="13" s="1"/>
  <c r="W1050" i="13" s="1"/>
  <c r="U1039" i="13"/>
  <c r="U1044" i="13" s="1"/>
  <c r="U1050" i="13" s="1"/>
  <c r="V31" i="17"/>
  <c r="N61" i="17"/>
  <c r="J15" i="17"/>
  <c r="V60" i="13"/>
  <c r="L82" i="18" s="1"/>
  <c r="O966" i="13"/>
  <c r="O989" i="13" s="1"/>
  <c r="O379" i="13"/>
  <c r="O683" i="13"/>
  <c r="O15" i="17"/>
  <c r="M22" i="17"/>
  <c r="P60" i="13"/>
  <c r="F82" i="18" s="1"/>
  <c r="T193" i="13"/>
  <c r="H22" i="17"/>
  <c r="O190" i="13"/>
  <c r="O193" i="13" s="1"/>
  <c r="O192" i="13"/>
  <c r="P40" i="17"/>
  <c r="P689" i="13"/>
  <c r="Z355" i="13"/>
  <c r="O689" i="13"/>
  <c r="O40" i="17"/>
  <c r="X40" i="17"/>
  <c r="X689" i="13"/>
  <c r="Y356" i="13"/>
  <c r="C40" i="17"/>
  <c r="Q285" i="13"/>
  <c r="E32" i="17"/>
  <c r="P15" i="18"/>
  <c r="W701" i="13"/>
  <c r="K31" i="17"/>
  <c r="V701" i="13"/>
  <c r="K40" i="17"/>
  <c r="X272" i="13"/>
  <c r="X31" i="17"/>
  <c r="Z22" i="17"/>
  <c r="Z192" i="13"/>
  <c r="Z193" i="13"/>
  <c r="K22" i="17"/>
  <c r="Q22" i="17"/>
  <c r="P962" i="13"/>
  <c r="P32" i="17"/>
  <c r="P286" i="13"/>
  <c r="P285" i="13"/>
  <c r="Z1176" i="13"/>
  <c r="Z1181" i="13" s="1"/>
  <c r="Z1180" i="13"/>
  <c r="W962" i="13"/>
  <c r="W32" i="17"/>
  <c r="W286" i="13"/>
  <c r="O31" i="17"/>
  <c r="O273" i="13"/>
  <c r="O272" i="13"/>
  <c r="Y264" i="13"/>
  <c r="M31" i="17"/>
  <c r="U264" i="13"/>
  <c r="L61" i="17"/>
  <c r="Z562" i="13"/>
  <c r="N32" i="17"/>
  <c r="U54" i="13"/>
  <c r="Z264" i="13"/>
  <c r="V40" i="17"/>
  <c r="V689" i="13"/>
  <c r="E40" i="17"/>
  <c r="Z1048" i="13"/>
  <c r="N31" i="17"/>
  <c r="X652" i="13"/>
  <c r="H15" i="18"/>
  <c r="E15" i="18"/>
  <c r="W356" i="13"/>
  <c r="Q369" i="13"/>
  <c r="Q353" i="13"/>
  <c r="G26" i="18"/>
  <c r="S355" i="13"/>
  <c r="R356" i="13"/>
  <c r="R687" i="13"/>
  <c r="T567" i="13"/>
  <c r="E83" i="18"/>
  <c r="V300" i="13"/>
  <c r="J48" i="17"/>
  <c r="W702" i="13"/>
  <c r="W61" i="17"/>
  <c r="J61" i="17"/>
  <c r="C61" i="17"/>
  <c r="H56" i="18"/>
  <c r="O56" i="18"/>
  <c r="P31" i="17"/>
  <c r="P701" i="13"/>
  <c r="P272" i="13"/>
  <c r="P273" i="13"/>
  <c r="D22" i="17"/>
  <c r="L83" i="18"/>
  <c r="X1037" i="13"/>
  <c r="S988" i="13"/>
  <c r="G48" i="17"/>
  <c r="S300" i="13"/>
  <c r="R403" i="13"/>
  <c r="U378" i="13"/>
  <c r="O83" i="18"/>
  <c r="I48" i="17"/>
  <c r="U300" i="13"/>
  <c r="V190" i="13"/>
  <c r="V193" i="13" s="1"/>
  <c r="V273" i="13"/>
  <c r="S60" i="13"/>
  <c r="I82" i="18" s="1"/>
  <c r="V272" i="13"/>
  <c r="H83" i="18"/>
  <c r="Y989" i="13"/>
  <c r="X300" i="13"/>
  <c r="L48" i="17"/>
  <c r="W690" i="13"/>
  <c r="W48" i="17"/>
  <c r="X988" i="13"/>
  <c r="U272" i="13"/>
  <c r="U273" i="13"/>
  <c r="U31" i="17"/>
  <c r="H12" i="17"/>
  <c r="V22" i="17"/>
  <c r="V192" i="13"/>
  <c r="C10" i="17"/>
  <c r="S976" i="13"/>
  <c r="S674" i="13"/>
  <c r="S10" i="17"/>
  <c r="O32" i="17"/>
  <c r="O286" i="13"/>
  <c r="O962" i="13"/>
  <c r="O285" i="13"/>
  <c r="O701" i="13"/>
  <c r="K12" i="17"/>
  <c r="Q947" i="13"/>
  <c r="I32" i="17"/>
  <c r="U558" i="13"/>
  <c r="N56" i="18"/>
  <c r="Q61" i="17"/>
  <c r="Q702" i="13"/>
  <c r="T273" i="13"/>
  <c r="E56" i="18"/>
  <c r="T61" i="17"/>
  <c r="T702" i="13"/>
  <c r="G83" i="18"/>
  <c r="Z48" i="17"/>
  <c r="Z690" i="13"/>
  <c r="G12" i="17"/>
  <c r="F48" i="17"/>
  <c r="R300" i="13"/>
  <c r="J14" i="17"/>
  <c r="I14" i="17"/>
  <c r="V677" i="13"/>
  <c r="V13" i="17"/>
  <c r="V979" i="13"/>
  <c r="I13" i="17"/>
  <c r="K13" i="17"/>
  <c r="N40" i="17" l="1"/>
  <c r="L12" i="17"/>
  <c r="Q15" i="18"/>
  <c r="H40" i="17"/>
  <c r="Z689" i="13"/>
  <c r="Z40" i="17"/>
  <c r="J40" i="17"/>
  <c r="C48" i="17"/>
  <c r="O300" i="13"/>
  <c r="Q40" i="17"/>
  <c r="Q689" i="13"/>
  <c r="S40" i="17"/>
  <c r="S689" i="13"/>
  <c r="I11" i="17"/>
  <c r="I40" i="17"/>
  <c r="Y979" i="13"/>
  <c r="Y677" i="13"/>
  <c r="Y13" i="17"/>
  <c r="Q560" i="13"/>
  <c r="T202" i="13"/>
  <c r="T961" i="13"/>
  <c r="P202" i="13"/>
  <c r="P961" i="13"/>
  <c r="P988" i="13" s="1"/>
  <c r="Y202" i="13"/>
  <c r="Y961" i="13"/>
  <c r="W202" i="13"/>
  <c r="W961" i="13"/>
  <c r="W988" i="13" s="1"/>
  <c r="I56" i="18"/>
  <c r="S272" i="13"/>
  <c r="U1048" i="13"/>
  <c r="S966" i="13"/>
  <c r="S989" i="13" s="1"/>
  <c r="S379" i="13"/>
  <c r="S15" i="17"/>
  <c r="S683" i="13"/>
  <c r="W410" i="13"/>
  <c r="M11" i="18" s="1"/>
  <c r="P702" i="13"/>
  <c r="P61" i="17"/>
  <c r="Q31" i="17"/>
  <c r="Q273" i="13"/>
  <c r="Q272" i="13"/>
  <c r="U1177" i="13"/>
  <c r="U1181" i="13" s="1"/>
  <c r="U1180" i="13"/>
  <c r="G11" i="17"/>
  <c r="O1044" i="13"/>
  <c r="Y1039" i="13"/>
  <c r="Y1044" i="13" s="1"/>
  <c r="Y1177" i="13" s="1"/>
  <c r="J28" i="18"/>
  <c r="T369" i="13"/>
  <c r="P364" i="13"/>
  <c r="P28" i="17"/>
  <c r="P368" i="13"/>
  <c r="P704" i="13"/>
  <c r="P969" i="13"/>
  <c r="P990" i="13" s="1"/>
  <c r="D17" i="17"/>
  <c r="R1039" i="13"/>
  <c r="R1044" i="13" s="1"/>
  <c r="Z364" i="13"/>
  <c r="P28" i="18" s="1"/>
  <c r="Z704" i="13"/>
  <c r="Z368" i="13"/>
  <c r="Z28" i="17"/>
  <c r="Z969" i="13"/>
  <c r="Z990" i="13" s="1"/>
  <c r="Z1050" i="13" s="1"/>
  <c r="W1180" i="13"/>
  <c r="W1177" i="13"/>
  <c r="W1181" i="13" s="1"/>
  <c r="S687" i="13"/>
  <c r="V1050" i="13"/>
  <c r="S1039" i="13"/>
  <c r="S1044" i="13" s="1"/>
  <c r="Z410" i="13"/>
  <c r="P11" i="18" s="1"/>
  <c r="X364" i="13"/>
  <c r="X704" i="13"/>
  <c r="X28" i="17"/>
  <c r="X969" i="13"/>
  <c r="X990" i="13" s="1"/>
  <c r="X368" i="13"/>
  <c r="T1039" i="13"/>
  <c r="T1044" i="13" s="1"/>
  <c r="Q1177" i="13"/>
  <c r="Q1181" i="13" s="1"/>
  <c r="Q1180" i="13"/>
  <c r="Z702" i="13"/>
  <c r="Z61" i="17"/>
  <c r="V683" i="13"/>
  <c r="V966" i="13"/>
  <c r="V989" i="13" s="1"/>
  <c r="V15" i="17"/>
  <c r="V379" i="13"/>
  <c r="Y190" i="13"/>
  <c r="Y193" i="13" s="1"/>
  <c r="O1037" i="13"/>
  <c r="O1043" i="13" s="1"/>
  <c r="O1048" i="13" s="1"/>
  <c r="Y192" i="13"/>
  <c r="Y22" i="17"/>
  <c r="O687" i="13"/>
  <c r="Y286" i="13"/>
  <c r="Z356" i="13"/>
  <c r="T22" i="17"/>
  <c r="T192" i="13"/>
  <c r="T687" i="13" s="1"/>
  <c r="I17" i="17"/>
  <c r="G56" i="18"/>
  <c r="Q962" i="13"/>
  <c r="Q988" i="13" s="1"/>
  <c r="Q32" i="17"/>
  <c r="Q701" i="13"/>
  <c r="Q286" i="13"/>
  <c r="Y369" i="13"/>
  <c r="O26" i="18"/>
  <c r="Y353" i="13"/>
  <c r="E17" i="17"/>
  <c r="W31" i="17"/>
  <c r="W22" i="17"/>
  <c r="W193" i="13"/>
  <c r="W192" i="13"/>
  <c r="Z687" i="13"/>
  <c r="U190" i="13"/>
  <c r="U193" i="13" s="1"/>
  <c r="U192" i="13"/>
  <c r="Q300" i="13"/>
  <c r="E48" i="17"/>
  <c r="J12" i="17"/>
  <c r="S273" i="13"/>
  <c r="P264" i="13"/>
  <c r="W273" i="13"/>
  <c r="W264" i="13"/>
  <c r="Y31" i="17"/>
  <c r="Y701" i="13"/>
  <c r="Y273" i="13"/>
  <c r="Y272" i="13"/>
  <c r="W272" i="13"/>
  <c r="P56" i="18"/>
  <c r="T300" i="13"/>
  <c r="H48" i="17"/>
  <c r="P300" i="13"/>
  <c r="D48" i="17"/>
  <c r="C11" i="17"/>
  <c r="X702" i="13"/>
  <c r="X61" i="17"/>
  <c r="Z962" i="13"/>
  <c r="Z286" i="13"/>
  <c r="Z285" i="13"/>
  <c r="Z32" i="17"/>
  <c r="R60" i="13"/>
  <c r="H82" i="18" s="1"/>
  <c r="V54" i="13"/>
  <c r="P1176" i="13"/>
  <c r="P1048" i="13"/>
  <c r="V285" i="13"/>
  <c r="V687" i="13"/>
  <c r="W560" i="13"/>
  <c r="K17" i="17"/>
  <c r="Z272" i="13"/>
  <c r="Z701" i="13"/>
  <c r="Z273" i="13"/>
  <c r="Z31" i="17"/>
  <c r="I12" i="17"/>
  <c r="M83" i="18"/>
  <c r="E12" i="17"/>
  <c r="J83" i="18"/>
  <c r="Y652" i="13"/>
  <c r="M26" i="18"/>
  <c r="W369" i="13"/>
  <c r="W353" i="13"/>
  <c r="R369" i="13"/>
  <c r="H26" i="18"/>
  <c r="R353" i="13"/>
  <c r="S356" i="13"/>
  <c r="V48" i="17"/>
  <c r="V690" i="13"/>
  <c r="R264" i="13"/>
  <c r="Z976" i="13"/>
  <c r="Z674" i="13"/>
  <c r="Z404" i="13"/>
  <c r="P10" i="18" s="1"/>
  <c r="Z10" i="17"/>
  <c r="O61" i="17"/>
  <c r="O702" i="13"/>
  <c r="V61" i="17"/>
  <c r="V702" i="13"/>
  <c r="P22" i="17"/>
  <c r="P192" i="13"/>
  <c r="P193" i="13"/>
  <c r="R48" i="17"/>
  <c r="R690" i="13"/>
  <c r="G17" i="17"/>
  <c r="W12" i="17"/>
  <c r="W978" i="13"/>
  <c r="W676" i="13"/>
  <c r="Y1037" i="13"/>
  <c r="F61" i="17"/>
  <c r="S264" i="13"/>
  <c r="G61" i="17"/>
  <c r="R947" i="13"/>
  <c r="O988" i="13"/>
  <c r="O674" i="13"/>
  <c r="O976" i="13"/>
  <c r="O10" i="17"/>
  <c r="O404" i="13"/>
  <c r="E10" i="18" s="1"/>
  <c r="F17" i="17"/>
  <c r="X48" i="17"/>
  <c r="X690" i="13"/>
  <c r="Q190" i="13"/>
  <c r="Q193" i="13" s="1"/>
  <c r="Q192" i="13"/>
  <c r="S978" i="13"/>
  <c r="S12" i="17"/>
  <c r="S676" i="13"/>
  <c r="U559" i="13"/>
  <c r="U561" i="13" s="1"/>
  <c r="K40" i="18" s="1"/>
  <c r="U962" i="13"/>
  <c r="U286" i="13"/>
  <c r="U32" i="17"/>
  <c r="U285" i="13"/>
  <c r="X190" i="13"/>
  <c r="X193" i="13" s="1"/>
  <c r="X192" i="13"/>
  <c r="M17" i="17"/>
  <c r="V378" i="13"/>
  <c r="S690" i="13"/>
  <c r="S48" i="17"/>
  <c r="U403" i="13"/>
  <c r="Q264" i="13"/>
  <c r="N83" i="18"/>
  <c r="P83" i="18"/>
  <c r="M12" i="17"/>
  <c r="T12" i="17"/>
  <c r="T978" i="13"/>
  <c r="T676" i="13"/>
  <c r="U701" i="13"/>
  <c r="U690" i="13"/>
  <c r="U48" i="17"/>
  <c r="X1043" i="13"/>
  <c r="U14" i="17"/>
  <c r="U980" i="13"/>
  <c r="U429" i="13"/>
  <c r="K14" i="18" s="1"/>
  <c r="U678" i="13"/>
  <c r="V678" i="13"/>
  <c r="V980" i="13"/>
  <c r="V14" i="17"/>
  <c r="V429" i="13"/>
  <c r="L14" i="18" s="1"/>
  <c r="W677" i="13"/>
  <c r="W979" i="13"/>
  <c r="W13" i="17"/>
  <c r="U979" i="13"/>
  <c r="U677" i="13"/>
  <c r="U13" i="17"/>
  <c r="Q56" i="18" l="1"/>
  <c r="Q83" i="18"/>
  <c r="Q14" i="18"/>
  <c r="Q82" i="18"/>
  <c r="X560" i="13"/>
  <c r="C12" i="17"/>
  <c r="O48" i="17"/>
  <c r="O690" i="13"/>
  <c r="T560" i="13"/>
  <c r="U675" i="13"/>
  <c r="U977" i="13"/>
  <c r="U410" i="13"/>
  <c r="K11" i="18" s="1"/>
  <c r="U11" i="17"/>
  <c r="S560" i="13"/>
  <c r="Q562" i="13"/>
  <c r="T988" i="13"/>
  <c r="Y988" i="13"/>
  <c r="Z988" i="13"/>
  <c r="U988" i="13"/>
  <c r="E9" i="20"/>
  <c r="D12" i="17"/>
  <c r="N17" i="17"/>
  <c r="N12" i="17"/>
  <c r="Y300" i="13"/>
  <c r="M48" i="17"/>
  <c r="Y1050" i="13"/>
  <c r="H11" i="17"/>
  <c r="S1037" i="13"/>
  <c r="S1043" i="13" s="1"/>
  <c r="S1176" i="13" s="1"/>
  <c r="T1177" i="13"/>
  <c r="T1181" i="13" s="1"/>
  <c r="T1180" i="13"/>
  <c r="X1039" i="13"/>
  <c r="X1044" i="13" s="1"/>
  <c r="X1177" i="13" s="1"/>
  <c r="N28" i="18"/>
  <c r="X369" i="13"/>
  <c r="S1177" i="13"/>
  <c r="R1177" i="13"/>
  <c r="R1181" i="13" s="1"/>
  <c r="R1180" i="13"/>
  <c r="F28" i="18"/>
  <c r="P369" i="13"/>
  <c r="O1177" i="13"/>
  <c r="O1050" i="13"/>
  <c r="S410" i="13"/>
  <c r="I11" i="18" s="1"/>
  <c r="S675" i="13"/>
  <c r="S977" i="13"/>
  <c r="S987" i="13" s="1"/>
  <c r="S11" i="17"/>
  <c r="T1050" i="13"/>
  <c r="S1050" i="13"/>
  <c r="R1050" i="13"/>
  <c r="P17" i="17"/>
  <c r="P681" i="13"/>
  <c r="P1039" i="13"/>
  <c r="O264" i="13"/>
  <c r="V1037" i="13"/>
  <c r="Y687" i="13"/>
  <c r="F11" i="17"/>
  <c r="H10" i="17"/>
  <c r="O1180" i="13"/>
  <c r="O1176" i="13"/>
  <c r="W566" i="13"/>
  <c r="U681" i="13"/>
  <c r="U17" i="17"/>
  <c r="V558" i="13"/>
  <c r="Z369" i="13"/>
  <c r="Z353" i="13"/>
  <c r="P26" i="18"/>
  <c r="J10" i="17"/>
  <c r="C17" i="17"/>
  <c r="Q681" i="13"/>
  <c r="Q17" i="17"/>
  <c r="W687" i="13"/>
  <c r="Q48" i="17"/>
  <c r="Q690" i="13"/>
  <c r="V12" i="17"/>
  <c r="V978" i="13"/>
  <c r="V676" i="13"/>
  <c r="V560" i="13"/>
  <c r="U687" i="13"/>
  <c r="X264" i="13"/>
  <c r="X687" i="13"/>
  <c r="D10" i="17"/>
  <c r="V566" i="13"/>
  <c r="L17" i="17"/>
  <c r="P48" i="17"/>
  <c r="P690" i="13"/>
  <c r="T48" i="17"/>
  <c r="T690" i="13"/>
  <c r="O977" i="13"/>
  <c r="O675" i="13"/>
  <c r="O11" i="17"/>
  <c r="O410" i="13"/>
  <c r="E11" i="18" s="1"/>
  <c r="W54" i="13"/>
  <c r="P687" i="13"/>
  <c r="O560" i="13"/>
  <c r="W562" i="13"/>
  <c r="L10" i="17"/>
  <c r="U676" i="13"/>
  <c r="U12" i="17"/>
  <c r="U978" i="13"/>
  <c r="W17" i="17"/>
  <c r="W681" i="13"/>
  <c r="J17" i="17"/>
  <c r="S403" i="13"/>
  <c r="I10" i="17"/>
  <c r="Q978" i="13"/>
  <c r="Q676" i="13"/>
  <c r="Q12" i="17"/>
  <c r="I26" i="18"/>
  <c r="S353" i="13"/>
  <c r="S369" i="13"/>
  <c r="Q687" i="13"/>
  <c r="W674" i="13"/>
  <c r="W404" i="13"/>
  <c r="M10" i="18" s="1"/>
  <c r="W10" i="17"/>
  <c r="W976" i="13"/>
  <c r="W987" i="13" s="1"/>
  <c r="Y676" i="13"/>
  <c r="Y12" i="17"/>
  <c r="Y978" i="13"/>
  <c r="W378" i="13"/>
  <c r="S558" i="13"/>
  <c r="Y1043" i="13"/>
  <c r="Y1180" i="13" s="1"/>
  <c r="S17" i="17"/>
  <c r="S681" i="13"/>
  <c r="H17" i="17"/>
  <c r="S947" i="13"/>
  <c r="S61" i="17"/>
  <c r="S702" i="13"/>
  <c r="U404" i="13"/>
  <c r="K10" i="18" s="1"/>
  <c r="X1176" i="13"/>
  <c r="X1048" i="13"/>
  <c r="Y17" i="17"/>
  <c r="Y681" i="13"/>
  <c r="E10" i="17"/>
  <c r="R17" i="17"/>
  <c r="R681" i="13"/>
  <c r="R61" i="17"/>
  <c r="R702" i="13"/>
  <c r="F10" i="17"/>
  <c r="O180" i="13"/>
  <c r="Y181" i="13"/>
  <c r="Y182" i="13"/>
  <c r="Z180" i="13"/>
  <c r="S991" i="13" l="1"/>
  <c r="Q28" i="18"/>
  <c r="N10" i="17"/>
  <c r="K10" i="17"/>
  <c r="Q26" i="18"/>
  <c r="W991" i="13"/>
  <c r="X1181" i="13"/>
  <c r="O12" i="17"/>
  <c r="O676" i="13"/>
  <c r="O978" i="13"/>
  <c r="O991" i="13" s="1"/>
  <c r="X562" i="13"/>
  <c r="T562" i="13"/>
  <c r="T568" i="13" s="1"/>
  <c r="J41" i="18" s="1"/>
  <c r="S562" i="13"/>
  <c r="M10" i="17"/>
  <c r="H9" i="20"/>
  <c r="S1180" i="13"/>
  <c r="F9" i="20"/>
  <c r="D9" i="20"/>
  <c r="S1181" i="13"/>
  <c r="X1180" i="13"/>
  <c r="O1181" i="13"/>
  <c r="Z676" i="13"/>
  <c r="Z12" i="17"/>
  <c r="Z978" i="13"/>
  <c r="P676" i="13"/>
  <c r="P978" i="13"/>
  <c r="P12" i="17"/>
  <c r="Z17" i="17"/>
  <c r="Z681" i="13"/>
  <c r="Y690" i="13"/>
  <c r="Y48" i="17"/>
  <c r="S1048" i="13"/>
  <c r="O950" i="13"/>
  <c r="T675" i="13"/>
  <c r="T977" i="13"/>
  <c r="T11" i="17"/>
  <c r="T410" i="13"/>
  <c r="J11" i="18" s="1"/>
  <c r="P1044" i="13"/>
  <c r="Z1040" i="13"/>
  <c r="R558" i="13"/>
  <c r="X1050" i="13"/>
  <c r="V1043" i="13"/>
  <c r="Z1038" i="13"/>
  <c r="T404" i="13"/>
  <c r="J10" i="18" s="1"/>
  <c r="T674" i="13"/>
  <c r="T976" i="13"/>
  <c r="T10" i="17"/>
  <c r="X566" i="13"/>
  <c r="W567" i="13"/>
  <c r="W568" i="13" s="1"/>
  <c r="M41" i="18" s="1"/>
  <c r="R977" i="13"/>
  <c r="R675" i="13"/>
  <c r="R11" i="17"/>
  <c r="R410" i="13"/>
  <c r="H11" i="18" s="1"/>
  <c r="V404" i="13"/>
  <c r="L10" i="18" s="1"/>
  <c r="V674" i="13"/>
  <c r="V976" i="13"/>
  <c r="V987" i="13" s="1"/>
  <c r="V10" i="17"/>
  <c r="V559" i="13"/>
  <c r="V561" i="13" s="1"/>
  <c r="L40" i="18" s="1"/>
  <c r="P558" i="13"/>
  <c r="O681" i="13"/>
  <c r="O17" i="17"/>
  <c r="T264" i="13"/>
  <c r="V562" i="13"/>
  <c r="V567" i="13"/>
  <c r="X17" i="17"/>
  <c r="X681" i="13"/>
  <c r="P404" i="13"/>
  <c r="F10" i="18" s="1"/>
  <c r="P674" i="13"/>
  <c r="P10" i="17"/>
  <c r="P976" i="13"/>
  <c r="X54" i="13"/>
  <c r="O562" i="13"/>
  <c r="Y558" i="13"/>
  <c r="Y566" i="13"/>
  <c r="X10" i="17"/>
  <c r="X404" i="13"/>
  <c r="N10" i="18" s="1"/>
  <c r="X674" i="13"/>
  <c r="X976" i="13"/>
  <c r="Z566" i="13"/>
  <c r="V17" i="17"/>
  <c r="V681" i="13"/>
  <c r="U976" i="13"/>
  <c r="U10" i="17"/>
  <c r="U674" i="13"/>
  <c r="S404" i="13"/>
  <c r="I10" i="18" s="1"/>
  <c r="O566" i="13"/>
  <c r="Y409" i="13"/>
  <c r="Y183" i="13"/>
  <c r="O21" i="18" s="1"/>
  <c r="Q674" i="13"/>
  <c r="Q976" i="13"/>
  <c r="Q404" i="13"/>
  <c r="G10" i="18" s="1"/>
  <c r="Q10" i="17"/>
  <c r="X378" i="13"/>
  <c r="S559" i="13"/>
  <c r="S561" i="13" s="1"/>
  <c r="I40" i="18" s="1"/>
  <c r="W558" i="13"/>
  <c r="T947" i="13"/>
  <c r="R674" i="13"/>
  <c r="R10" i="17"/>
  <c r="R976" i="13"/>
  <c r="R404" i="13"/>
  <c r="H10" i="18" s="1"/>
  <c r="T681" i="13"/>
  <c r="T17" i="17"/>
  <c r="Y1176" i="13"/>
  <c r="Y1181" i="13" s="1"/>
  <c r="Y1048" i="13"/>
  <c r="O181" i="13"/>
  <c r="O182" i="13"/>
  <c r="P180" i="13"/>
  <c r="Z182" i="13"/>
  <c r="Z181" i="13"/>
  <c r="O987" i="13" l="1"/>
  <c r="Y674" i="13"/>
  <c r="Y10" i="17"/>
  <c r="Y976" i="13"/>
  <c r="Y404" i="13"/>
  <c r="O10" i="18" s="1"/>
  <c r="Q10" i="18" s="1"/>
  <c r="V991" i="13"/>
  <c r="Z991" i="13"/>
  <c r="Z987" i="13"/>
  <c r="P950" i="13"/>
  <c r="R559" i="13"/>
  <c r="R561" i="13" s="1"/>
  <c r="H40" i="18" s="1"/>
  <c r="P1177" i="13"/>
  <c r="P1180" i="13"/>
  <c r="P1050" i="13"/>
  <c r="Z1046" i="13"/>
  <c r="V1180" i="13"/>
  <c r="V1176" i="13"/>
  <c r="V1181" i="13" s="1"/>
  <c r="V1048" i="13"/>
  <c r="Z1049" i="13" s="1"/>
  <c r="Z1045" i="13"/>
  <c r="X567" i="13"/>
  <c r="X568" i="13" s="1"/>
  <c r="N41" i="18" s="1"/>
  <c r="T987" i="13"/>
  <c r="T991" i="13"/>
  <c r="V568" i="13"/>
  <c r="L41" i="18" s="1"/>
  <c r="P559" i="13"/>
  <c r="P561" i="13" s="1"/>
  <c r="F40" i="18" s="1"/>
  <c r="V264" i="13"/>
  <c r="O558" i="13"/>
  <c r="P987" i="13"/>
  <c r="P991" i="13"/>
  <c r="Z54" i="13"/>
  <c r="Y54" i="13"/>
  <c r="Y559" i="13"/>
  <c r="Y561" i="13" s="1"/>
  <c r="O40" i="18" s="1"/>
  <c r="P566" i="13"/>
  <c r="X991" i="13"/>
  <c r="X987" i="13"/>
  <c r="U991" i="13"/>
  <c r="U987" i="13"/>
  <c r="Z567" i="13"/>
  <c r="Z568" i="13" s="1"/>
  <c r="P41" i="18" s="1"/>
  <c r="Y567" i="13"/>
  <c r="Y568" i="13" s="1"/>
  <c r="O41" i="18" s="1"/>
  <c r="Y410" i="13"/>
  <c r="O11" i="18" s="1"/>
  <c r="O567" i="13"/>
  <c r="O568" i="13" s="1"/>
  <c r="E41" i="18" s="1"/>
  <c r="T558" i="13"/>
  <c r="R991" i="13"/>
  <c r="R987" i="13"/>
  <c r="Z558" i="13"/>
  <c r="Y378" i="13"/>
  <c r="Z378" i="13"/>
  <c r="Q991" i="13"/>
  <c r="Q987" i="13"/>
  <c r="O183" i="13"/>
  <c r="E21" i="18" s="1"/>
  <c r="U947" i="13"/>
  <c r="W559" i="13"/>
  <c r="W561" i="13" s="1"/>
  <c r="M40" i="18" s="1"/>
  <c r="Z183" i="13"/>
  <c r="P21" i="18" s="1"/>
  <c r="Q180" i="13"/>
  <c r="P182" i="13"/>
  <c r="P181" i="13"/>
  <c r="Q558" i="13" l="1"/>
  <c r="Q559" i="13" s="1"/>
  <c r="Q561" i="13" s="1"/>
  <c r="G40" i="18" s="1"/>
  <c r="Q11" i="18"/>
  <c r="X558" i="13"/>
  <c r="Y991" i="13"/>
  <c r="Y987" i="13"/>
  <c r="Z1080" i="13"/>
  <c r="Q950" i="13"/>
  <c r="P1181" i="13"/>
  <c r="Z1081" i="13"/>
  <c r="W346" i="13"/>
  <c r="O559" i="13"/>
  <c r="O561" i="13" s="1"/>
  <c r="E40" i="18" s="1"/>
  <c r="U346" i="13"/>
  <c r="G4" i="20"/>
  <c r="P567" i="13"/>
  <c r="P568" i="13" s="1"/>
  <c r="F41" i="18" s="1"/>
  <c r="Q566" i="13"/>
  <c r="V947" i="13"/>
  <c r="Z559" i="13"/>
  <c r="Z561" i="13" s="1"/>
  <c r="P40" i="18" s="1"/>
  <c r="T559" i="13"/>
  <c r="T561" i="13" s="1"/>
  <c r="J40" i="18" s="1"/>
  <c r="P183" i="13"/>
  <c r="F21" i="18" s="1"/>
  <c r="R180" i="13"/>
  <c r="Q181" i="13"/>
  <c r="Q182" i="13"/>
  <c r="Z1098" i="13" l="1"/>
  <c r="P66" i="18" s="1"/>
  <c r="Q66" i="18" s="1"/>
  <c r="X559" i="13"/>
  <c r="X561" i="13" s="1"/>
  <c r="N40" i="18" s="1"/>
  <c r="Z1091" i="13"/>
  <c r="P71" i="18" s="1"/>
  <c r="G6" i="20"/>
  <c r="R950" i="13"/>
  <c r="Z1099" i="13"/>
  <c r="P67" i="18" s="1"/>
  <c r="Z1092" i="13"/>
  <c r="P72" i="18" s="1"/>
  <c r="W340" i="13"/>
  <c r="M24" i="18" s="1"/>
  <c r="Q346" i="13"/>
  <c r="U340" i="13"/>
  <c r="K24" i="18" s="1"/>
  <c r="Q567" i="13"/>
  <c r="Q568" i="13" s="1"/>
  <c r="G41" i="18" s="1"/>
  <c r="R566" i="13"/>
  <c r="W947" i="13"/>
  <c r="X346" i="13"/>
  <c r="G9" i="20"/>
  <c r="Q183" i="13"/>
  <c r="G21" i="18" s="1"/>
  <c r="R182" i="13"/>
  <c r="S180" i="13"/>
  <c r="R181" i="13"/>
  <c r="Q40" i="18" l="1"/>
  <c r="Q72" i="18"/>
  <c r="Q67" i="18"/>
  <c r="Q71" i="18"/>
  <c r="D5" i="20"/>
  <c r="S950" i="13"/>
  <c r="P346" i="13"/>
  <c r="Q340" i="13"/>
  <c r="G24" i="18" s="1"/>
  <c r="R346" i="13"/>
  <c r="S346" i="13"/>
  <c r="R567" i="13"/>
  <c r="R568" i="13" s="1"/>
  <c r="H41" i="18" s="1"/>
  <c r="S566" i="13"/>
  <c r="Y346" i="13"/>
  <c r="X340" i="13"/>
  <c r="N24" i="18" s="1"/>
  <c r="X947" i="13"/>
  <c r="R183" i="13"/>
  <c r="H21" i="18" s="1"/>
  <c r="S181" i="13"/>
  <c r="T180" i="13"/>
  <c r="S182" i="13"/>
  <c r="F5" i="20" l="1"/>
  <c r="D8" i="20"/>
  <c r="T950" i="13"/>
  <c r="V346" i="13"/>
  <c r="P340" i="13"/>
  <c r="F24" i="18" s="1"/>
  <c r="E5" i="20"/>
  <c r="R340" i="13"/>
  <c r="H24" i="18" s="1"/>
  <c r="S340" i="13"/>
  <c r="I24" i="18" s="1"/>
  <c r="S567" i="13"/>
  <c r="S568" i="13" s="1"/>
  <c r="I41" i="18" s="1"/>
  <c r="T346" i="13"/>
  <c r="Y947" i="13"/>
  <c r="Z346" i="13"/>
  <c r="Y340" i="13"/>
  <c r="O24" i="18" s="1"/>
  <c r="S183" i="13"/>
  <c r="I21" i="18" s="1"/>
  <c r="T181" i="13"/>
  <c r="T182" i="13"/>
  <c r="U180" i="13"/>
  <c r="Q41" i="18" l="1"/>
  <c r="G8" i="20"/>
  <c r="D4" i="20"/>
  <c r="U950" i="13"/>
  <c r="V340" i="13"/>
  <c r="L24" i="18" s="1"/>
  <c r="E8" i="20"/>
  <c r="O346" i="13"/>
  <c r="C5" i="20"/>
  <c r="T340" i="13"/>
  <c r="J24" i="18" s="1"/>
  <c r="Z947" i="13"/>
  <c r="Z340" i="13"/>
  <c r="P24" i="18" s="1"/>
  <c r="U181" i="13"/>
  <c r="U182" i="13"/>
  <c r="V180" i="13"/>
  <c r="T183" i="13"/>
  <c r="J21" i="18" s="1"/>
  <c r="F4" i="20" l="1"/>
  <c r="F7" i="20"/>
  <c r="V950" i="13"/>
  <c r="F8" i="20"/>
  <c r="D7" i="20"/>
  <c r="D11" i="20" s="1"/>
  <c r="D6" i="20"/>
  <c r="E4" i="20"/>
  <c r="O340" i="13"/>
  <c r="E24" i="18" s="1"/>
  <c r="F6" i="20"/>
  <c r="U183" i="13"/>
  <c r="K21" i="18" s="1"/>
  <c r="W180" i="13"/>
  <c r="V182" i="13"/>
  <c r="V181" i="13"/>
  <c r="Q24" i="18" l="1"/>
  <c r="V2" i="13"/>
  <c r="J6" i="17"/>
  <c r="W950" i="13"/>
  <c r="F11" i="20"/>
  <c r="Y2" i="13"/>
  <c r="M6" i="17"/>
  <c r="Z2" i="13"/>
  <c r="N6" i="17"/>
  <c r="E7" i="20"/>
  <c r="E11" i="20" s="1"/>
  <c r="E6" i="20"/>
  <c r="C4" i="20"/>
  <c r="C8" i="20"/>
  <c r="O2" i="13"/>
  <c r="C6" i="17"/>
  <c r="V183" i="13"/>
  <c r="L21" i="18" s="1"/>
  <c r="X180" i="13"/>
  <c r="W182" i="13"/>
  <c r="W181" i="13"/>
  <c r="Z605" i="13" l="1"/>
  <c r="Z669" i="13"/>
  <c r="Z376" i="13"/>
  <c r="Z228" i="13"/>
  <c r="Z188" i="13"/>
  <c r="Z175" i="13"/>
  <c r="V605" i="13"/>
  <c r="V669" i="13"/>
  <c r="V376" i="13"/>
  <c r="V228" i="13"/>
  <c r="V188" i="13"/>
  <c r="V175" i="13"/>
  <c r="O605" i="13"/>
  <c r="O228" i="13"/>
  <c r="O188" i="13"/>
  <c r="O376" i="13"/>
  <c r="O175" i="13"/>
  <c r="O669" i="13"/>
  <c r="Y605" i="13"/>
  <c r="Y669" i="13"/>
  <c r="Y376" i="13"/>
  <c r="Y228" i="13"/>
  <c r="Y188" i="13"/>
  <c r="Y175" i="13"/>
  <c r="H4" i="20"/>
  <c r="W2" i="13"/>
  <c r="K6" i="17"/>
  <c r="G7" i="20"/>
  <c r="G11" i="20" s="1"/>
  <c r="X950" i="13"/>
  <c r="F6" i="17"/>
  <c r="R2" i="13"/>
  <c r="I6" i="17"/>
  <c r="U2" i="13"/>
  <c r="L6" i="18"/>
  <c r="V303" i="13"/>
  <c r="V787" i="13"/>
  <c r="V893" i="13"/>
  <c r="V748" i="13"/>
  <c r="V872" i="13"/>
  <c r="V6" i="17"/>
  <c r="V572" i="13"/>
  <c r="V843" i="13"/>
  <c r="V880" i="13"/>
  <c r="V940" i="13" s="1"/>
  <c r="V552" i="13"/>
  <c r="V544" i="13"/>
  <c r="V588" i="13" s="1"/>
  <c r="V263" i="13"/>
  <c r="V1188" i="13"/>
  <c r="V821" i="13"/>
  <c r="V295" i="13"/>
  <c r="V902" i="13"/>
  <c r="V763" i="13"/>
  <c r="D6" i="17"/>
  <c r="P2" i="13"/>
  <c r="Y748" i="13"/>
  <c r="Y1188" i="13"/>
  <c r="Y843" i="13"/>
  <c r="Y552" i="13"/>
  <c r="Y893" i="13"/>
  <c r="Y572" i="13"/>
  <c r="Y821" i="13"/>
  <c r="Y303" i="13"/>
  <c r="Y544" i="13"/>
  <c r="Y588" i="13" s="1"/>
  <c r="Y787" i="13"/>
  <c r="Y872" i="13"/>
  <c r="Y6" i="17"/>
  <c r="Y902" i="13"/>
  <c r="O6" i="18"/>
  <c r="Y880" i="13"/>
  <c r="Y940" i="13" s="1"/>
  <c r="Y295" i="13"/>
  <c r="Y763" i="13"/>
  <c r="Y263" i="13"/>
  <c r="Z263" i="13"/>
  <c r="Z748" i="13"/>
  <c r="Z303" i="13"/>
  <c r="Z902" i="13"/>
  <c r="Z787" i="13"/>
  <c r="Z821" i="13"/>
  <c r="Z572" i="13"/>
  <c r="Z1188" i="13"/>
  <c r="Z763" i="13"/>
  <c r="Z893" i="13"/>
  <c r="Z872" i="13"/>
  <c r="Z295" i="13"/>
  <c r="Z544" i="13"/>
  <c r="Z588" i="13" s="1"/>
  <c r="Z6" i="17"/>
  <c r="Z843" i="13"/>
  <c r="Z552" i="13"/>
  <c r="Z880" i="13"/>
  <c r="Z940" i="13" s="1"/>
  <c r="P6" i="18"/>
  <c r="G6" i="17"/>
  <c r="S2" i="13"/>
  <c r="E6" i="17"/>
  <c r="Q2" i="13"/>
  <c r="C6" i="20"/>
  <c r="O787" i="13"/>
  <c r="O763" i="13"/>
  <c r="E6" i="18"/>
  <c r="O872" i="13"/>
  <c r="O303" i="13"/>
  <c r="O748" i="13"/>
  <c r="O843" i="13"/>
  <c r="O6" i="17"/>
  <c r="O880" i="13"/>
  <c r="O940" i="13" s="1"/>
  <c r="O902" i="13"/>
  <c r="O821" i="13"/>
  <c r="O1188" i="13"/>
  <c r="O295" i="13"/>
  <c r="O544" i="13"/>
  <c r="O588" i="13" s="1"/>
  <c r="O552" i="13"/>
  <c r="O893" i="13"/>
  <c r="O572" i="13"/>
  <c r="O263" i="13"/>
  <c r="W183" i="13"/>
  <c r="M21" i="18" s="1"/>
  <c r="X181" i="13"/>
  <c r="X182" i="13"/>
  <c r="W175" i="13" l="1"/>
  <c r="W669" i="13"/>
  <c r="W376" i="13"/>
  <c r="W228" i="13"/>
  <c r="W188" i="13"/>
  <c r="S605" i="13"/>
  <c r="S669" i="13"/>
  <c r="S376" i="13"/>
  <c r="S228" i="13"/>
  <c r="S188" i="13"/>
  <c r="S175" i="13"/>
  <c r="U605" i="13"/>
  <c r="U228" i="13"/>
  <c r="U376" i="13"/>
  <c r="U175" i="13"/>
  <c r="U669" i="13"/>
  <c r="U188" i="13"/>
  <c r="Q605" i="13"/>
  <c r="Q669" i="13"/>
  <c r="Q376" i="13"/>
  <c r="Q175" i="13"/>
  <c r="Q228" i="13"/>
  <c r="Q188" i="13"/>
  <c r="P605" i="13"/>
  <c r="P188" i="13"/>
  <c r="P669" i="13"/>
  <c r="P175" i="13"/>
  <c r="P376" i="13"/>
  <c r="P228" i="13"/>
  <c r="R605" i="13"/>
  <c r="R669" i="13"/>
  <c r="R376" i="13"/>
  <c r="R228" i="13"/>
  <c r="R188" i="13"/>
  <c r="R175" i="13"/>
  <c r="H6" i="20"/>
  <c r="W605" i="13"/>
  <c r="W843" i="13"/>
  <c r="W6" i="17"/>
  <c r="W544" i="13"/>
  <c r="W588" i="13" s="1"/>
  <c r="W1188" i="13"/>
  <c r="W295" i="13"/>
  <c r="W902" i="13"/>
  <c r="W787" i="13"/>
  <c r="W263" i="13"/>
  <c r="W303" i="13"/>
  <c r="W872" i="13"/>
  <c r="W748" i="13"/>
  <c r="M6" i="18"/>
  <c r="W880" i="13"/>
  <c r="W940" i="13" s="1"/>
  <c r="W552" i="13"/>
  <c r="W893" i="13"/>
  <c r="W821" i="13"/>
  <c r="W763" i="13"/>
  <c r="W572" i="13"/>
  <c r="T2" i="13"/>
  <c r="H6" i="17"/>
  <c r="L6" i="17"/>
  <c r="X2" i="13"/>
  <c r="Y950" i="13"/>
  <c r="V80" i="13"/>
  <c r="V338" i="13"/>
  <c r="V97" i="13"/>
  <c r="V143" i="13"/>
  <c r="V673" i="13"/>
  <c r="V120" i="13"/>
  <c r="V167" i="13"/>
  <c r="R902" i="13"/>
  <c r="R295" i="13"/>
  <c r="R763" i="13"/>
  <c r="R880" i="13"/>
  <c r="R940" i="13" s="1"/>
  <c r="R544" i="13"/>
  <c r="R588" i="13" s="1"/>
  <c r="R263" i="13"/>
  <c r="R843" i="13"/>
  <c r="R552" i="13"/>
  <c r="R893" i="13"/>
  <c r="R748" i="13"/>
  <c r="R872" i="13"/>
  <c r="R787" i="13"/>
  <c r="R572" i="13"/>
  <c r="R821" i="13"/>
  <c r="H6" i="18"/>
  <c r="R1188" i="13"/>
  <c r="R6" i="17"/>
  <c r="R303" i="13"/>
  <c r="U544" i="13"/>
  <c r="U588" i="13" s="1"/>
  <c r="U763" i="13"/>
  <c r="U893" i="13"/>
  <c r="U295" i="13"/>
  <c r="U552" i="13"/>
  <c r="U6" i="17"/>
  <c r="U748" i="13"/>
  <c r="U821" i="13"/>
  <c r="U572" i="13"/>
  <c r="U263" i="13"/>
  <c r="K6" i="18"/>
  <c r="U880" i="13"/>
  <c r="U940" i="13" s="1"/>
  <c r="U843" i="13"/>
  <c r="U872" i="13"/>
  <c r="U303" i="13"/>
  <c r="U1188" i="13"/>
  <c r="U902" i="13"/>
  <c r="U787" i="13"/>
  <c r="I12" i="19"/>
  <c r="I30" i="19" s="1"/>
  <c r="I21" i="19"/>
  <c r="P6" i="17"/>
  <c r="P872" i="13"/>
  <c r="P1188" i="13"/>
  <c r="P303" i="13"/>
  <c r="P843" i="13"/>
  <c r="P552" i="13"/>
  <c r="P821" i="13"/>
  <c r="P763" i="13"/>
  <c r="P748" i="13"/>
  <c r="P572" i="13"/>
  <c r="P263" i="13"/>
  <c r="F6" i="18"/>
  <c r="P544" i="13"/>
  <c r="P588" i="13" s="1"/>
  <c r="P295" i="13"/>
  <c r="P880" i="13"/>
  <c r="P940" i="13" s="1"/>
  <c r="P893" i="13"/>
  <c r="P787" i="13"/>
  <c r="P902" i="13"/>
  <c r="Y338" i="13"/>
  <c r="Y143" i="13"/>
  <c r="Y167" i="13"/>
  <c r="Y80" i="13"/>
  <c r="Y673" i="13"/>
  <c r="Y97" i="13"/>
  <c r="Y120" i="13"/>
  <c r="Z167" i="13"/>
  <c r="Z143" i="13"/>
  <c r="Z97" i="13"/>
  <c r="Z80" i="13"/>
  <c r="Z673" i="13"/>
  <c r="Z338" i="13"/>
  <c r="Z120" i="13"/>
  <c r="M12" i="19"/>
  <c r="M30" i="19" s="1"/>
  <c r="M21" i="19"/>
  <c r="L21" i="19"/>
  <c r="L12" i="19"/>
  <c r="L30" i="19" s="1"/>
  <c r="S1188" i="13"/>
  <c r="S295" i="13"/>
  <c r="S572" i="13"/>
  <c r="S843" i="13"/>
  <c r="S748" i="13"/>
  <c r="S303" i="13"/>
  <c r="S787" i="13"/>
  <c r="S6" i="17"/>
  <c r="S880" i="13"/>
  <c r="S940" i="13" s="1"/>
  <c r="S544" i="13"/>
  <c r="S588" i="13" s="1"/>
  <c r="S552" i="13"/>
  <c r="S902" i="13"/>
  <c r="S821" i="13"/>
  <c r="S263" i="13"/>
  <c r="S872" i="13"/>
  <c r="S893" i="13"/>
  <c r="I6" i="18"/>
  <c r="S763" i="13"/>
  <c r="Q748" i="13"/>
  <c r="Q880" i="13"/>
  <c r="Q940" i="13" s="1"/>
  <c r="Q6" i="17"/>
  <c r="Q902" i="13"/>
  <c r="Q893" i="13"/>
  <c r="Q787" i="13"/>
  <c r="Q295" i="13"/>
  <c r="Q303" i="13"/>
  <c r="Q263" i="13"/>
  <c r="Q572" i="13"/>
  <c r="Q843" i="13"/>
  <c r="Q544" i="13"/>
  <c r="Q588" i="13" s="1"/>
  <c r="Q763" i="13"/>
  <c r="Q872" i="13"/>
  <c r="Q1188" i="13"/>
  <c r="Q552" i="13"/>
  <c r="Q821" i="13"/>
  <c r="G6" i="18"/>
  <c r="O97" i="13"/>
  <c r="O673" i="13"/>
  <c r="O338" i="13"/>
  <c r="O143" i="13"/>
  <c r="O80" i="13"/>
  <c r="O120" i="13"/>
  <c r="O167" i="13"/>
  <c r="B21" i="19"/>
  <c r="B12" i="19"/>
  <c r="B30" i="19" s="1"/>
  <c r="X183" i="13"/>
  <c r="N21" i="18" s="1"/>
  <c r="X605" i="13" l="1"/>
  <c r="X376" i="13"/>
  <c r="X188" i="13"/>
  <c r="X175" i="13"/>
  <c r="X228" i="13"/>
  <c r="X669" i="13"/>
  <c r="T605" i="13"/>
  <c r="T669" i="13"/>
  <c r="T376" i="13"/>
  <c r="T228" i="13"/>
  <c r="T188" i="13"/>
  <c r="T175" i="13"/>
  <c r="Q21" i="18"/>
  <c r="J12" i="19"/>
  <c r="J30" i="19" s="1"/>
  <c r="J21" i="19"/>
  <c r="W143" i="13"/>
  <c r="W80" i="13"/>
  <c r="W120" i="13"/>
  <c r="W338" i="13"/>
  <c r="W673" i="13"/>
  <c r="W97" i="13"/>
  <c r="W167" i="13"/>
  <c r="X552" i="13"/>
  <c r="X263" i="13"/>
  <c r="X872" i="13"/>
  <c r="X787" i="13"/>
  <c r="X843" i="13"/>
  <c r="X880" i="13"/>
  <c r="X940" i="13" s="1"/>
  <c r="X821" i="13"/>
  <c r="X763" i="13"/>
  <c r="X748" i="13"/>
  <c r="X6" i="17"/>
  <c r="N6" i="18"/>
  <c r="X902" i="13"/>
  <c r="X893" i="13"/>
  <c r="X1188" i="13"/>
  <c r="X544" i="13"/>
  <c r="X588" i="13" s="1"/>
  <c r="X303" i="13"/>
  <c r="X295" i="13"/>
  <c r="X572" i="13"/>
  <c r="T1188" i="13"/>
  <c r="T6" i="17"/>
  <c r="J6" i="18"/>
  <c r="T263" i="13"/>
  <c r="T763" i="13"/>
  <c r="T787" i="13"/>
  <c r="T843" i="13"/>
  <c r="T303" i="13"/>
  <c r="T872" i="13"/>
  <c r="T544" i="13"/>
  <c r="T588" i="13" s="1"/>
  <c r="T748" i="13"/>
  <c r="T295" i="13"/>
  <c r="T893" i="13"/>
  <c r="T552" i="13"/>
  <c r="T902" i="13"/>
  <c r="T821" i="13"/>
  <c r="T572" i="13"/>
  <c r="T880" i="13"/>
  <c r="T940" i="13" s="1"/>
  <c r="U120" i="13"/>
  <c r="U143" i="13"/>
  <c r="U97" i="13"/>
  <c r="U80" i="13"/>
  <c r="U167" i="13"/>
  <c r="U673" i="13"/>
  <c r="U338" i="13"/>
  <c r="R80" i="13"/>
  <c r="R97" i="13"/>
  <c r="R167" i="13"/>
  <c r="R673" i="13"/>
  <c r="R120" i="13"/>
  <c r="R338" i="13"/>
  <c r="R143" i="13"/>
  <c r="E12" i="19"/>
  <c r="E30" i="19" s="1"/>
  <c r="E21" i="19"/>
  <c r="U21" i="19"/>
  <c r="U12" i="19"/>
  <c r="U30" i="19" s="1"/>
  <c r="Z950" i="13"/>
  <c r="H21" i="19"/>
  <c r="H12" i="19"/>
  <c r="H30" i="19" s="1"/>
  <c r="P120" i="13"/>
  <c r="P80" i="13"/>
  <c r="P167" i="13"/>
  <c r="P97" i="13"/>
  <c r="P673" i="13"/>
  <c r="P143" i="13"/>
  <c r="P338" i="13"/>
  <c r="C21" i="19"/>
  <c r="C12" i="19"/>
  <c r="C30" i="19" s="1"/>
  <c r="X12" i="19"/>
  <c r="X30" i="19" s="1"/>
  <c r="X21" i="19"/>
  <c r="Y21" i="19"/>
  <c r="Y12" i="19"/>
  <c r="Y30" i="19" s="1"/>
  <c r="F21" i="19"/>
  <c r="F12" i="19"/>
  <c r="F30" i="19" s="1"/>
  <c r="S143" i="13"/>
  <c r="S120" i="13"/>
  <c r="S97" i="13"/>
  <c r="S338" i="13"/>
  <c r="S673" i="13"/>
  <c r="S80" i="13"/>
  <c r="S167" i="13"/>
  <c r="D12" i="19"/>
  <c r="D30" i="19" s="1"/>
  <c r="D21" i="19"/>
  <c r="Q673" i="13"/>
  <c r="Q143" i="13"/>
  <c r="Q167" i="13"/>
  <c r="Q97" i="13"/>
  <c r="Q338" i="13"/>
  <c r="Q120" i="13"/>
  <c r="Q80" i="13"/>
  <c r="N12" i="19"/>
  <c r="N30" i="19" s="1"/>
  <c r="N21" i="19"/>
  <c r="V21" i="19" l="1"/>
  <c r="V12" i="19"/>
  <c r="V30" i="19" s="1"/>
  <c r="X338" i="13"/>
  <c r="X167" i="13"/>
  <c r="X143" i="13"/>
  <c r="X80" i="13"/>
  <c r="X673" i="13"/>
  <c r="X120" i="13"/>
  <c r="X97" i="13"/>
  <c r="K12" i="19"/>
  <c r="K30" i="19" s="1"/>
  <c r="K21" i="19"/>
  <c r="G12" i="19"/>
  <c r="G30" i="19" s="1"/>
  <c r="G21" i="19"/>
  <c r="T120" i="13"/>
  <c r="T143" i="13"/>
  <c r="T97" i="13"/>
  <c r="T167" i="13"/>
  <c r="T673" i="13"/>
  <c r="T338" i="13"/>
  <c r="T80" i="13"/>
  <c r="Q21" i="19"/>
  <c r="Q12" i="19"/>
  <c r="Q30" i="19" s="1"/>
  <c r="T12" i="19"/>
  <c r="T30" i="19" s="1"/>
  <c r="T21" i="19"/>
  <c r="O12" i="19"/>
  <c r="O30" i="19" s="1"/>
  <c r="O21" i="19"/>
  <c r="R21" i="19"/>
  <c r="R12" i="19"/>
  <c r="R30" i="19" s="1"/>
  <c r="P21" i="19"/>
  <c r="P12" i="19"/>
  <c r="P30" i="19" s="1"/>
  <c r="H8" i="20" l="1"/>
  <c r="W12" i="19"/>
  <c r="W30" i="19" s="1"/>
  <c r="W21" i="19"/>
  <c r="S12" i="19"/>
  <c r="S30" i="19" s="1"/>
  <c r="S21" i="19"/>
  <c r="C9" i="20" l="1"/>
  <c r="C7" i="20" l="1"/>
  <c r="C11" i="20" s="1"/>
  <c r="H7" i="20" l="1"/>
  <c r="H11" i="20" s="1"/>
  <c r="I4" i="20" l="1"/>
  <c r="I6" i="20" l="1"/>
  <c r="I8" i="20" l="1"/>
  <c r="I7" i="20" l="1"/>
  <c r="I11" i="20" s="1"/>
  <c r="J4" i="20" l="1"/>
  <c r="J6" i="20" l="1"/>
  <c r="J8" i="20" l="1"/>
  <c r="J7" i="20" l="1"/>
  <c r="J11" i="20" s="1"/>
  <c r="O422" i="13" l="1"/>
  <c r="P422" i="13" l="1"/>
  <c r="O423" i="13"/>
  <c r="E13" i="18" s="1"/>
  <c r="Q422" i="13" l="1"/>
  <c r="P423" i="13"/>
  <c r="F13" i="18" s="1"/>
  <c r="Q423" i="13" l="1"/>
  <c r="G13" i="18" s="1"/>
  <c r="R422" i="13"/>
  <c r="S422" i="13" l="1"/>
  <c r="R423" i="13"/>
  <c r="H13" i="18" s="1"/>
  <c r="T422" i="13" l="1"/>
  <c r="S423" i="13"/>
  <c r="I13" i="18" s="1"/>
  <c r="P194" i="13" l="1"/>
  <c r="U422" i="13"/>
  <c r="T423" i="13"/>
  <c r="J13" i="18" s="1"/>
  <c r="Q194" i="13" l="1"/>
  <c r="V422" i="13"/>
  <c r="U423" i="13"/>
  <c r="K13" i="18" s="1"/>
  <c r="O284" i="13" l="1"/>
  <c r="O270" i="13"/>
  <c r="R194" i="13"/>
  <c r="W422" i="13"/>
  <c r="V423" i="13"/>
  <c r="L13" i="18" s="1"/>
  <c r="P284" i="13" l="1"/>
  <c r="P270" i="13"/>
  <c r="S194" i="13"/>
  <c r="X422" i="13"/>
  <c r="W423" i="13"/>
  <c r="M13" i="18" s="1"/>
  <c r="Q284" i="13" l="1"/>
  <c r="Q270" i="13"/>
  <c r="T194" i="13"/>
  <c r="X423" i="13"/>
  <c r="N13" i="18" s="1"/>
  <c r="Y422" i="13"/>
  <c r="R284" i="13" l="1"/>
  <c r="R270" i="13"/>
  <c r="U194" i="13"/>
  <c r="Y423" i="13"/>
  <c r="O13" i="18" s="1"/>
  <c r="Z422" i="13"/>
  <c r="S284" i="13" l="1"/>
  <c r="S270" i="13"/>
  <c r="V194" i="13"/>
  <c r="Z423" i="13"/>
  <c r="P13" i="18" s="1"/>
  <c r="Q13" i="18" s="1"/>
  <c r="T284" i="13" l="1"/>
  <c r="T270" i="13"/>
  <c r="W194" i="13"/>
  <c r="O271" i="13"/>
  <c r="O274" i="13" s="1"/>
  <c r="E31" i="18" s="1"/>
  <c r="O287" i="13"/>
  <c r="O288" i="13" s="1"/>
  <c r="E32" i="18" s="1"/>
  <c r="U284" i="13" l="1"/>
  <c r="U270" i="13"/>
  <c r="X194" i="13"/>
  <c r="P287" i="13"/>
  <c r="P288" i="13" s="1"/>
  <c r="F32" i="18" s="1"/>
  <c r="P271" i="13"/>
  <c r="P274" i="13" s="1"/>
  <c r="F31" i="18" s="1"/>
  <c r="V284" i="13" l="1"/>
  <c r="V270" i="13"/>
  <c r="Q287" i="13"/>
  <c r="Q288" i="13" s="1"/>
  <c r="G32" i="18" s="1"/>
  <c r="Q271" i="13"/>
  <c r="Q274" i="13" s="1"/>
  <c r="G31" i="18" s="1"/>
  <c r="Y194" i="13"/>
  <c r="W284" i="13" l="1"/>
  <c r="W270" i="13"/>
  <c r="O650" i="13"/>
  <c r="Z194" i="13"/>
  <c r="R271" i="13"/>
  <c r="R274" i="13" s="1"/>
  <c r="H31" i="18" s="1"/>
  <c r="R287" i="13"/>
  <c r="R288" i="13" s="1"/>
  <c r="H32" i="18" s="1"/>
  <c r="X284" i="13" l="1"/>
  <c r="X270" i="13"/>
  <c r="P650" i="13"/>
  <c r="O654" i="13"/>
  <c r="E79" i="18" s="1"/>
  <c r="S287" i="13"/>
  <c r="S288" i="13" s="1"/>
  <c r="I32" i="18" s="1"/>
  <c r="S271" i="13"/>
  <c r="S274" i="13" s="1"/>
  <c r="I31" i="18" s="1"/>
  <c r="Y284" i="13" l="1"/>
  <c r="Y270" i="13"/>
  <c r="T287" i="13"/>
  <c r="T288" i="13" s="1"/>
  <c r="J32" i="18" s="1"/>
  <c r="T271" i="13"/>
  <c r="T274" i="13" s="1"/>
  <c r="J31" i="18" s="1"/>
  <c r="Q650" i="13"/>
  <c r="P654" i="13"/>
  <c r="F79" i="18" s="1"/>
  <c r="Z284" i="13" l="1"/>
  <c r="Z270" i="13"/>
  <c r="U287" i="13"/>
  <c r="U288" i="13" s="1"/>
  <c r="U271" i="13"/>
  <c r="U274" i="13" s="1"/>
  <c r="K31" i="18" s="1"/>
  <c r="Q654" i="13"/>
  <c r="G79" i="18" s="1"/>
  <c r="R650" i="13"/>
  <c r="K32" i="18" l="1"/>
  <c r="R654" i="13"/>
  <c r="H79" i="18" s="1"/>
  <c r="S650" i="13"/>
  <c r="V287" i="13"/>
  <c r="V288" i="13" s="1"/>
  <c r="L32" i="18" s="1"/>
  <c r="V271" i="13"/>
  <c r="V274" i="13" s="1"/>
  <c r="L31" i="18" s="1"/>
  <c r="C30" i="17" l="1"/>
  <c r="T650" i="13"/>
  <c r="S654" i="13"/>
  <c r="I79" i="18" s="1"/>
  <c r="W271" i="13"/>
  <c r="W274" i="13" s="1"/>
  <c r="M31" i="18" s="1"/>
  <c r="W287" i="13"/>
  <c r="W288" i="13" s="1"/>
  <c r="M32" i="18" s="1"/>
  <c r="D30" i="17" l="1"/>
  <c r="X287" i="13"/>
  <c r="X288" i="13" s="1"/>
  <c r="N32" i="18" s="1"/>
  <c r="X271" i="13"/>
  <c r="X274" i="13" s="1"/>
  <c r="N31" i="18" s="1"/>
  <c r="T654" i="13"/>
  <c r="J79" i="18" s="1"/>
  <c r="U650" i="13"/>
  <c r="E30" i="17" l="1"/>
  <c r="V650" i="13"/>
  <c r="U654" i="13"/>
  <c r="K79" i="18" s="1"/>
  <c r="Y287" i="13"/>
  <c r="Y288" i="13" s="1"/>
  <c r="O32" i="18" s="1"/>
  <c r="Y271" i="13"/>
  <c r="Y274" i="13" s="1"/>
  <c r="O31" i="18" s="1"/>
  <c r="F30" i="17" l="1"/>
  <c r="Z287" i="13"/>
  <c r="Z288" i="13" s="1"/>
  <c r="P32" i="18" s="1"/>
  <c r="Z271" i="13"/>
  <c r="Z274" i="13" s="1"/>
  <c r="P31" i="18" s="1"/>
  <c r="W650" i="13"/>
  <c r="V654" i="13"/>
  <c r="L79" i="18" s="1"/>
  <c r="Q32" i="18" l="1"/>
  <c r="Q31" i="18"/>
  <c r="G30" i="17"/>
  <c r="X650" i="13"/>
  <c r="W654" i="13"/>
  <c r="M79" i="18" s="1"/>
  <c r="H30" i="17" l="1"/>
  <c r="Y650" i="13"/>
  <c r="X654" i="13"/>
  <c r="N79" i="18" s="1"/>
  <c r="I30" i="17" l="1"/>
  <c r="Z650" i="13"/>
  <c r="Y654" i="13"/>
  <c r="O79" i="18" s="1"/>
  <c r="K30" i="17" l="1"/>
  <c r="J30" i="17"/>
  <c r="Z654" i="13"/>
  <c r="P79" i="18" s="1"/>
  <c r="Q79" i="18" l="1"/>
  <c r="L30" i="17"/>
  <c r="O415" i="13"/>
  <c r="M30" i="17" l="1"/>
  <c r="P415" i="13"/>
  <c r="O416" i="13"/>
  <c r="E12" i="18" s="1"/>
  <c r="N30" i="17" l="1"/>
  <c r="Q415" i="13"/>
  <c r="P416" i="13"/>
  <c r="F12" i="18" s="1"/>
  <c r="R415" i="13" l="1"/>
  <c r="Q416" i="13"/>
  <c r="G12" i="18" s="1"/>
  <c r="R416" i="13" l="1"/>
  <c r="H12" i="18" s="1"/>
  <c r="S415" i="13"/>
  <c r="T415" i="13" l="1"/>
  <c r="S416" i="13"/>
  <c r="I12" i="18" s="1"/>
  <c r="T416" i="13" l="1"/>
  <c r="J12" i="18" s="1"/>
  <c r="U415" i="13"/>
  <c r="U416" i="13" l="1"/>
  <c r="K12" i="18" s="1"/>
  <c r="V415" i="13"/>
  <c r="V416" i="13" l="1"/>
  <c r="L12" i="18" s="1"/>
  <c r="W415" i="13"/>
  <c r="X415" i="13" l="1"/>
  <c r="W416" i="13"/>
  <c r="M12" i="18" s="1"/>
  <c r="Y415" i="13" l="1"/>
  <c r="X416" i="13"/>
  <c r="N12" i="18" s="1"/>
  <c r="Y416" i="13" l="1"/>
  <c r="O12" i="18" s="1"/>
  <c r="Z415" i="13"/>
  <c r="Z416" i="13" l="1"/>
  <c r="P12" i="18" s="1"/>
  <c r="Q12" i="18" l="1"/>
  <c r="O929" i="13"/>
  <c r="O930" i="13" l="1"/>
  <c r="E59" i="18" s="1"/>
  <c r="P929" i="13"/>
  <c r="P930" i="13" l="1"/>
  <c r="F59" i="18" s="1"/>
  <c r="Q929" i="13"/>
  <c r="R929" i="13" l="1"/>
  <c r="Q930" i="13"/>
  <c r="G59" i="18" s="1"/>
  <c r="S929" i="13" l="1"/>
  <c r="R930" i="13"/>
  <c r="H59" i="18" s="1"/>
  <c r="T929" i="13" l="1"/>
  <c r="S930" i="13"/>
  <c r="I59" i="18" s="1"/>
  <c r="U929" i="13" l="1"/>
  <c r="T930" i="13"/>
  <c r="J59" i="18" s="1"/>
  <c r="V929" i="13" l="1"/>
  <c r="U930" i="13"/>
  <c r="K59" i="18" s="1"/>
  <c r="W929" i="13" l="1"/>
  <c r="V930" i="13"/>
  <c r="L59" i="18" s="1"/>
  <c r="X929" i="13" l="1"/>
  <c r="W930" i="13"/>
  <c r="M59" i="18" s="1"/>
  <c r="Y929" i="13" l="1"/>
  <c r="X930" i="13"/>
  <c r="N59" i="18" s="1"/>
  <c r="Y930" i="13" l="1"/>
  <c r="O59" i="18" s="1"/>
  <c r="Z929" i="13"/>
  <c r="Z930" i="13" l="1"/>
  <c r="P59" i="18" s="1"/>
  <c r="Q59" i="18" l="1"/>
  <c r="Q42" i="13" l="1"/>
  <c r="Q954" i="13" s="1"/>
  <c r="V42" i="13"/>
  <c r="V954" i="13" s="1"/>
  <c r="V948" i="13" l="1"/>
  <c r="V951" i="13"/>
  <c r="Q948" i="13"/>
  <c r="Q951" i="13"/>
  <c r="Q994" i="13" s="1"/>
  <c r="X42" i="13"/>
  <c r="X954" i="13" s="1"/>
  <c r="W42" i="13"/>
  <c r="W954" i="13" s="1"/>
  <c r="P42" i="13"/>
  <c r="P954" i="13" s="1"/>
  <c r="O42" i="13"/>
  <c r="O954" i="13" s="1"/>
  <c r="Y42" i="13"/>
  <c r="Y954" i="13" s="1"/>
  <c r="R42" i="13"/>
  <c r="R954" i="13" s="1"/>
  <c r="Q670" i="13"/>
  <c r="Z42" i="13"/>
  <c r="Z954" i="13" s="1"/>
  <c r="T42" i="13"/>
  <c r="T954" i="13" s="1"/>
  <c r="S42" i="13"/>
  <c r="S954" i="13" s="1"/>
  <c r="V994" i="13"/>
  <c r="V670" i="13"/>
  <c r="Z951" i="13" l="1"/>
  <c r="Z948" i="13"/>
  <c r="Y951" i="13"/>
  <c r="Y948" i="13"/>
  <c r="X951" i="13"/>
  <c r="X948" i="13"/>
  <c r="W948" i="13"/>
  <c r="W951" i="13"/>
  <c r="W994" i="13" s="1"/>
  <c r="T948" i="13"/>
  <c r="T951" i="13"/>
  <c r="T994" i="13" s="1"/>
  <c r="S951" i="13"/>
  <c r="S994" i="13" s="1"/>
  <c r="S948" i="13"/>
  <c r="R951" i="13"/>
  <c r="R948" i="13"/>
  <c r="P951" i="13"/>
  <c r="P948" i="13"/>
  <c r="O951" i="13"/>
  <c r="O948" i="13"/>
  <c r="V993" i="13"/>
  <c r="V1053" i="13"/>
  <c r="S670" i="13"/>
  <c r="Q1053" i="13"/>
  <c r="Q993" i="13"/>
  <c r="Y994" i="13"/>
  <c r="Y670" i="13"/>
  <c r="O670" i="13"/>
  <c r="O883" i="13" s="1"/>
  <c r="X994" i="13"/>
  <c r="X670" i="13"/>
  <c r="G49" i="17"/>
  <c r="V706" i="13"/>
  <c r="T670" i="13"/>
  <c r="Z994" i="13"/>
  <c r="Z670" i="13"/>
  <c r="P994" i="13"/>
  <c r="P670" i="13"/>
  <c r="W670" i="13"/>
  <c r="Q706" i="13"/>
  <c r="R994" i="13"/>
  <c r="R670" i="13"/>
  <c r="T706" i="13" l="1"/>
  <c r="F6" i="19"/>
  <c r="F14" i="19"/>
  <c r="K49" i="17"/>
  <c r="H49" i="17"/>
  <c r="X706" i="13"/>
  <c r="O994" i="13"/>
  <c r="Y1053" i="13"/>
  <c r="Y993" i="13"/>
  <c r="L49" i="17"/>
  <c r="R706" i="13"/>
  <c r="Z706" i="13"/>
  <c r="N49" i="17"/>
  <c r="E49" i="17"/>
  <c r="D49" i="17"/>
  <c r="J49" i="17"/>
  <c r="W706" i="13"/>
  <c r="P1053" i="13"/>
  <c r="P993" i="13"/>
  <c r="F5" i="19"/>
  <c r="F13" i="19"/>
  <c r="F8" i="19"/>
  <c r="F16" i="19"/>
  <c r="S1053" i="13"/>
  <c r="S993" i="13"/>
  <c r="Q723" i="13"/>
  <c r="Q722" i="13"/>
  <c r="Q725" i="13"/>
  <c r="Q727" i="13"/>
  <c r="Q726" i="13"/>
  <c r="Q728" i="13"/>
  <c r="Q49" i="17"/>
  <c r="Q724" i="13"/>
  <c r="R1053" i="13"/>
  <c r="R993" i="13"/>
  <c r="Z1053" i="13"/>
  <c r="Z993" i="13"/>
  <c r="T993" i="13"/>
  <c r="T1053" i="13"/>
  <c r="G68" i="17"/>
  <c r="F9" i="19"/>
  <c r="F17" i="19"/>
  <c r="X1053" i="13"/>
  <c r="X993" i="13"/>
  <c r="O706" i="13"/>
  <c r="Y706" i="13"/>
  <c r="W993" i="13"/>
  <c r="W1053" i="13"/>
  <c r="P706" i="13"/>
  <c r="F49" i="17"/>
  <c r="V723" i="13"/>
  <c r="V722" i="13"/>
  <c r="V728" i="13"/>
  <c r="V725" i="13"/>
  <c r="V727" i="13"/>
  <c r="V726" i="13"/>
  <c r="V724" i="13"/>
  <c r="V49" i="17"/>
  <c r="F15" i="19"/>
  <c r="F7" i="19"/>
  <c r="O993" i="13"/>
  <c r="O1053" i="13"/>
  <c r="M49" i="17"/>
  <c r="S706" i="13"/>
  <c r="G73" i="17" l="1"/>
  <c r="G74" i="17" s="1"/>
  <c r="P728" i="13"/>
  <c r="P722" i="13"/>
  <c r="P725" i="13"/>
  <c r="P726" i="13"/>
  <c r="P723" i="13"/>
  <c r="P727" i="13"/>
  <c r="P724" i="13"/>
  <c r="P49" i="17"/>
  <c r="S722" i="13"/>
  <c r="S723" i="13"/>
  <c r="S728" i="13"/>
  <c r="S726" i="13"/>
  <c r="S727" i="13"/>
  <c r="S725" i="13"/>
  <c r="S49" i="17"/>
  <c r="S724" i="13"/>
  <c r="L17" i="19"/>
  <c r="L9" i="19"/>
  <c r="V68" i="17"/>
  <c r="V73" i="17" s="1"/>
  <c r="U6" i="19"/>
  <c r="U14" i="19"/>
  <c r="F68" i="17"/>
  <c r="E15" i="19"/>
  <c r="E7" i="19"/>
  <c r="P5" i="19"/>
  <c r="P13" i="19"/>
  <c r="P16" i="19"/>
  <c r="P8" i="19"/>
  <c r="F18" i="19"/>
  <c r="I14" i="19"/>
  <c r="I6" i="19"/>
  <c r="I16" i="19"/>
  <c r="I8" i="19"/>
  <c r="C5" i="19"/>
  <c r="C13" i="19"/>
  <c r="D9" i="19"/>
  <c r="D17" i="19"/>
  <c r="M8" i="19"/>
  <c r="M16" i="19"/>
  <c r="R723" i="13"/>
  <c r="R722" i="13"/>
  <c r="R725" i="13"/>
  <c r="R727" i="13"/>
  <c r="R728" i="13"/>
  <c r="R726" i="13"/>
  <c r="R724" i="13"/>
  <c r="R49" i="17"/>
  <c r="L68" i="17"/>
  <c r="K14" i="19"/>
  <c r="K6" i="19"/>
  <c r="G15" i="19"/>
  <c r="G7" i="19"/>
  <c r="H68" i="17"/>
  <c r="J5" i="19"/>
  <c r="J13" i="19"/>
  <c r="J16" i="19"/>
  <c r="J8" i="19"/>
  <c r="T723" i="13"/>
  <c r="T722" i="13"/>
  <c r="T726" i="13"/>
  <c r="T725" i="13"/>
  <c r="T728" i="13"/>
  <c r="T727" i="13"/>
  <c r="T49" i="17"/>
  <c r="T724" i="13"/>
  <c r="L15" i="19"/>
  <c r="L7" i="19"/>
  <c r="U8" i="19"/>
  <c r="U16" i="19"/>
  <c r="E14" i="19"/>
  <c r="E6" i="19"/>
  <c r="M68" i="17"/>
  <c r="L6" i="19"/>
  <c r="L14" i="19"/>
  <c r="U5" i="19"/>
  <c r="U13" i="19"/>
  <c r="U9" i="19"/>
  <c r="U17" i="19"/>
  <c r="E5" i="19"/>
  <c r="E13" i="19"/>
  <c r="E16" i="19"/>
  <c r="E8" i="19"/>
  <c r="Y722" i="13"/>
  <c r="Y723" i="13"/>
  <c r="Y727" i="13"/>
  <c r="Y726" i="13"/>
  <c r="Y725" i="13"/>
  <c r="Y49" i="17"/>
  <c r="Y728" i="13"/>
  <c r="Y724" i="13"/>
  <c r="Q68" i="17"/>
  <c r="Q73" i="17" s="1"/>
  <c r="P14" i="19"/>
  <c r="P6" i="19"/>
  <c r="F10" i="19"/>
  <c r="W723" i="13"/>
  <c r="W722" i="13"/>
  <c r="W728" i="13"/>
  <c r="W725" i="13"/>
  <c r="W726" i="13"/>
  <c r="W727" i="13"/>
  <c r="W49" i="17"/>
  <c r="W724" i="13"/>
  <c r="J68" i="17"/>
  <c r="I15" i="19"/>
  <c r="I7" i="19"/>
  <c r="D68" i="17"/>
  <c r="D13" i="19"/>
  <c r="D5" i="19"/>
  <c r="N68" i="17"/>
  <c r="M6" i="19"/>
  <c r="M14" i="19"/>
  <c r="K5" i="19"/>
  <c r="K13" i="19"/>
  <c r="K8" i="19"/>
  <c r="K16" i="19"/>
  <c r="G17" i="19"/>
  <c r="G9" i="19"/>
  <c r="G8" i="19"/>
  <c r="G16" i="19"/>
  <c r="K68" i="17"/>
  <c r="L16" i="19"/>
  <c r="L8" i="19"/>
  <c r="O723" i="13"/>
  <c r="O722" i="13"/>
  <c r="O728" i="13"/>
  <c r="O725" i="13"/>
  <c r="O727" i="13"/>
  <c r="O726" i="13"/>
  <c r="O49" i="17"/>
  <c r="O724" i="13"/>
  <c r="P17" i="19"/>
  <c r="P9" i="19"/>
  <c r="I5" i="19"/>
  <c r="I13" i="19"/>
  <c r="I17" i="19"/>
  <c r="I9" i="19"/>
  <c r="C17" i="19"/>
  <c r="C9" i="19"/>
  <c r="C15" i="19"/>
  <c r="C7" i="19"/>
  <c r="E68" i="17"/>
  <c r="D7" i="19"/>
  <c r="D15" i="19"/>
  <c r="M5" i="19"/>
  <c r="M13" i="19"/>
  <c r="M9" i="19"/>
  <c r="M17" i="19"/>
  <c r="Z723" i="13"/>
  <c r="Z722" i="13"/>
  <c r="Z726" i="13"/>
  <c r="Z725" i="13"/>
  <c r="Z727" i="13"/>
  <c r="Z728" i="13"/>
  <c r="Z49" i="17"/>
  <c r="Z724" i="13"/>
  <c r="K7" i="19"/>
  <c r="K15" i="19"/>
  <c r="X723" i="13"/>
  <c r="X722" i="13"/>
  <c r="X727" i="13"/>
  <c r="X725" i="13"/>
  <c r="X726" i="13"/>
  <c r="X728" i="13"/>
  <c r="X49" i="17"/>
  <c r="X724" i="13"/>
  <c r="G6" i="19"/>
  <c r="G14" i="19"/>
  <c r="J15" i="19"/>
  <c r="J7" i="19"/>
  <c r="L5" i="19"/>
  <c r="L13" i="19"/>
  <c r="U15" i="19"/>
  <c r="U7" i="19"/>
  <c r="E17" i="19"/>
  <c r="E9" i="19"/>
  <c r="P7" i="19"/>
  <c r="P15" i="19"/>
  <c r="C6" i="19"/>
  <c r="C14" i="19"/>
  <c r="C16" i="19"/>
  <c r="C8" i="19"/>
  <c r="D6" i="19"/>
  <c r="D14" i="19"/>
  <c r="D16" i="19"/>
  <c r="D8" i="19"/>
  <c r="M7" i="19"/>
  <c r="M15" i="19"/>
  <c r="K9" i="19"/>
  <c r="K17" i="19"/>
  <c r="G13" i="19"/>
  <c r="G5" i="19"/>
  <c r="J14" i="19"/>
  <c r="J6" i="19"/>
  <c r="J17" i="19"/>
  <c r="J9" i="19"/>
  <c r="H73" i="17" l="1"/>
  <c r="H74" i="17" s="1"/>
  <c r="F73" i="17"/>
  <c r="F74" i="17" s="1"/>
  <c r="E73" i="17"/>
  <c r="E74" i="17" s="1"/>
  <c r="D73" i="17"/>
  <c r="D74" i="17" s="1"/>
  <c r="N73" i="17"/>
  <c r="N74" i="17" s="1"/>
  <c r="M73" i="17"/>
  <c r="M74" i="17" s="1"/>
  <c r="L73" i="17"/>
  <c r="L74" i="17" s="1"/>
  <c r="K73" i="17"/>
  <c r="K74" i="17" s="1"/>
  <c r="J73" i="17"/>
  <c r="J74" i="17" s="1"/>
  <c r="G10" i="19"/>
  <c r="G40" i="19" s="1"/>
  <c r="L10" i="19"/>
  <c r="L40" i="19" s="1"/>
  <c r="G18" i="19"/>
  <c r="L18" i="19"/>
  <c r="W15" i="19"/>
  <c r="W7" i="19"/>
  <c r="Z68" i="17"/>
  <c r="Z73" i="17" s="1"/>
  <c r="Y15" i="19"/>
  <c r="Y7" i="19"/>
  <c r="M10" i="19"/>
  <c r="I10" i="19"/>
  <c r="O68" i="17"/>
  <c r="N17" i="19"/>
  <c r="N9" i="19"/>
  <c r="D18" i="19"/>
  <c r="V16" i="19"/>
  <c r="V8" i="19"/>
  <c r="F40" i="19"/>
  <c r="G76" i="17"/>
  <c r="X14" i="19"/>
  <c r="X6" i="19"/>
  <c r="E18" i="19"/>
  <c r="U10" i="19"/>
  <c r="T68" i="17"/>
  <c r="T73" i="17" s="1"/>
  <c r="S7" i="19"/>
  <c r="S15" i="19"/>
  <c r="J18" i="19"/>
  <c r="R68" i="17"/>
  <c r="R73" i="17" s="1"/>
  <c r="Q8" i="19"/>
  <c r="Q16" i="19"/>
  <c r="C18" i="19"/>
  <c r="S68" i="17"/>
  <c r="S73" i="17" s="1"/>
  <c r="R9" i="19"/>
  <c r="R17" i="19"/>
  <c r="P68" i="17"/>
  <c r="P73" i="17" s="1"/>
  <c r="O7" i="19"/>
  <c r="O15" i="19"/>
  <c r="W5" i="19"/>
  <c r="W13" i="19"/>
  <c r="W6" i="19"/>
  <c r="W14" i="19"/>
  <c r="Y17" i="19"/>
  <c r="Y9" i="19"/>
  <c r="N7" i="19"/>
  <c r="N15" i="19"/>
  <c r="V15" i="19"/>
  <c r="V7" i="19"/>
  <c r="X5" i="19"/>
  <c r="X13" i="19"/>
  <c r="X15" i="19"/>
  <c r="X7" i="19"/>
  <c r="E10" i="19"/>
  <c r="S16" i="19"/>
  <c r="S8" i="19"/>
  <c r="J10" i="19"/>
  <c r="Q5" i="19"/>
  <c r="Q13" i="19"/>
  <c r="Q6" i="19"/>
  <c r="Q14" i="19"/>
  <c r="C10" i="19"/>
  <c r="F39" i="19"/>
  <c r="P18" i="19"/>
  <c r="R6" i="19"/>
  <c r="R14" i="19"/>
  <c r="O5" i="19"/>
  <c r="O13" i="19"/>
  <c r="O14" i="19"/>
  <c r="O6" i="19"/>
  <c r="X68" i="17"/>
  <c r="X73" i="17" s="1"/>
  <c r="W8" i="19"/>
  <c r="W16" i="19"/>
  <c r="Y8" i="19"/>
  <c r="Y16" i="19"/>
  <c r="N16" i="19"/>
  <c r="N8" i="19"/>
  <c r="K18" i="19"/>
  <c r="V13" i="19"/>
  <c r="V5" i="19"/>
  <c r="V14" i="19"/>
  <c r="V6" i="19"/>
  <c r="X9" i="19"/>
  <c r="X17" i="19"/>
  <c r="X8" i="19"/>
  <c r="X16" i="19"/>
  <c r="S9" i="19"/>
  <c r="S17" i="19"/>
  <c r="Q7" i="19"/>
  <c r="Q15" i="19"/>
  <c r="P10" i="19"/>
  <c r="R8" i="19"/>
  <c r="R16" i="19"/>
  <c r="O8" i="19"/>
  <c r="O16" i="19"/>
  <c r="W17" i="19"/>
  <c r="W9" i="19"/>
  <c r="Y5" i="19"/>
  <c r="Y13" i="19"/>
  <c r="Y6" i="19"/>
  <c r="Y14" i="19"/>
  <c r="M18" i="19"/>
  <c r="I18" i="19"/>
  <c r="N5" i="19"/>
  <c r="N13" i="19"/>
  <c r="N6" i="19"/>
  <c r="N14" i="19"/>
  <c r="K10" i="19"/>
  <c r="D10" i="19"/>
  <c r="W68" i="17"/>
  <c r="W73" i="17" s="1"/>
  <c r="V17" i="19"/>
  <c r="V9" i="19"/>
  <c r="Y68" i="17"/>
  <c r="Y73" i="17" s="1"/>
  <c r="U18" i="19"/>
  <c r="S5" i="19"/>
  <c r="S13" i="19"/>
  <c r="S14" i="19"/>
  <c r="S6" i="19"/>
  <c r="Q9" i="19"/>
  <c r="Q17" i="19"/>
  <c r="R5" i="19"/>
  <c r="R13" i="19"/>
  <c r="R15" i="19"/>
  <c r="R7" i="19"/>
  <c r="O17" i="19"/>
  <c r="O9" i="19"/>
  <c r="H76" i="17" l="1"/>
  <c r="M76" i="17"/>
  <c r="G39" i="19"/>
  <c r="L39" i="19"/>
  <c r="V707" i="13"/>
  <c r="V708" i="13" s="1"/>
  <c r="U39" i="19"/>
  <c r="M39" i="19"/>
  <c r="O10" i="19"/>
  <c r="Q18" i="19"/>
  <c r="X18" i="19"/>
  <c r="W18" i="19"/>
  <c r="M40" i="19"/>
  <c r="N76" i="17"/>
  <c r="R18" i="19"/>
  <c r="S18" i="19"/>
  <c r="R10" i="19"/>
  <c r="S10" i="19"/>
  <c r="D40" i="19"/>
  <c r="E76" i="17"/>
  <c r="K40" i="19"/>
  <c r="L76" i="17"/>
  <c r="N18" i="19"/>
  <c r="I39" i="19"/>
  <c r="Y18" i="19"/>
  <c r="P40" i="19"/>
  <c r="V10" i="19"/>
  <c r="Q10" i="19"/>
  <c r="E40" i="19"/>
  <c r="F76" i="17"/>
  <c r="X10" i="19"/>
  <c r="W10" i="19"/>
  <c r="D39" i="19"/>
  <c r="N10" i="19"/>
  <c r="Y10" i="19"/>
  <c r="V18" i="19"/>
  <c r="J40" i="19"/>
  <c r="K76" i="17"/>
  <c r="C39" i="19"/>
  <c r="U40" i="19"/>
  <c r="K39" i="19"/>
  <c r="O18" i="19"/>
  <c r="Q707" i="13"/>
  <c r="Q708" i="13" s="1"/>
  <c r="P39" i="19"/>
  <c r="C40" i="19"/>
  <c r="D76" i="17"/>
  <c r="J39" i="19"/>
  <c r="E39" i="19"/>
  <c r="O73" i="17"/>
  <c r="I40" i="19"/>
  <c r="J76" i="17"/>
  <c r="P707" i="13" l="1"/>
  <c r="P708" i="13" s="1"/>
  <c r="O39" i="19"/>
  <c r="N40" i="19"/>
  <c r="X40" i="19"/>
  <c r="Z707" i="13"/>
  <c r="Z708" i="13" s="1"/>
  <c r="Y39" i="19"/>
  <c r="T707" i="13"/>
  <c r="T708" i="13" s="1"/>
  <c r="S39" i="19"/>
  <c r="O40" i="19"/>
  <c r="W707" i="13"/>
  <c r="W708" i="13" s="1"/>
  <c r="V39" i="19"/>
  <c r="Q40" i="19"/>
  <c r="O707" i="13"/>
  <c r="O708" i="13" s="1"/>
  <c r="N39" i="19"/>
  <c r="R40" i="19"/>
  <c r="Y707" i="13"/>
  <c r="Y708" i="13" s="1"/>
  <c r="X39" i="19"/>
  <c r="V40" i="19"/>
  <c r="S40" i="19"/>
  <c r="X707" i="13"/>
  <c r="X708" i="13" s="1"/>
  <c r="W39" i="19"/>
  <c r="Y40" i="19"/>
  <c r="W40" i="19"/>
  <c r="S707" i="13"/>
  <c r="S708" i="13" s="1"/>
  <c r="R39" i="19"/>
  <c r="R707" i="13"/>
  <c r="R708" i="13" s="1"/>
  <c r="Q39" i="19"/>
  <c r="U42" i="13" l="1"/>
  <c r="U954" i="13" s="1"/>
  <c r="Z955" i="13" s="1"/>
  <c r="U948" i="13" l="1"/>
  <c r="Z949" i="13" s="1"/>
  <c r="Z956" i="13" s="1"/>
  <c r="Z1085" i="13" s="1"/>
  <c r="U951" i="13"/>
  <c r="K4" i="20"/>
  <c r="U670" i="13"/>
  <c r="U706" i="13" l="1"/>
  <c r="U993" i="13"/>
  <c r="Z995" i="13" s="1"/>
  <c r="U1053" i="13"/>
  <c r="Z1054" i="13" s="1"/>
  <c r="K6" i="20"/>
  <c r="I49" i="17"/>
  <c r="Z952" i="13"/>
  <c r="U994" i="13"/>
  <c r="Z996" i="13" s="1"/>
  <c r="Z1070" i="13" s="1"/>
  <c r="Z1084" i="13" s="1"/>
  <c r="Z1057" i="13" l="1"/>
  <c r="Z1103" i="13"/>
  <c r="P70" i="18" s="1"/>
  <c r="H6" i="19"/>
  <c r="H14" i="19"/>
  <c r="U723" i="13"/>
  <c r="U725" i="13"/>
  <c r="U722" i="13"/>
  <c r="U727" i="13"/>
  <c r="U49" i="17"/>
  <c r="AA49" i="17" s="1"/>
  <c r="U728" i="13"/>
  <c r="U726" i="13"/>
  <c r="U724" i="13"/>
  <c r="Z1102" i="13"/>
  <c r="P69" i="18" s="1"/>
  <c r="Q69" i="18" s="1"/>
  <c r="Z1094" i="13"/>
  <c r="P74" i="18" s="1"/>
  <c r="H16" i="19"/>
  <c r="H8" i="19"/>
  <c r="K8" i="20"/>
  <c r="I68" i="17"/>
  <c r="H9" i="19"/>
  <c r="H17" i="19"/>
  <c r="H5" i="19"/>
  <c r="H13" i="19"/>
  <c r="H7" i="19"/>
  <c r="H15" i="19"/>
  <c r="Z1056" i="13"/>
  <c r="Z1058" i="13" s="1"/>
  <c r="Z1082" i="13" s="1"/>
  <c r="Q70" i="18" l="1"/>
  <c r="Q74" i="18"/>
  <c r="H18" i="19"/>
  <c r="T5" i="19"/>
  <c r="T13" i="19"/>
  <c r="T8" i="19"/>
  <c r="T16" i="19"/>
  <c r="I73" i="17"/>
  <c r="T15" i="19"/>
  <c r="T7" i="19"/>
  <c r="H10" i="19"/>
  <c r="T9" i="19"/>
  <c r="T17" i="19"/>
  <c r="T6" i="19"/>
  <c r="T14" i="19"/>
  <c r="U68" i="17"/>
  <c r="AA68" i="17" s="1"/>
  <c r="U73" i="17" l="1"/>
  <c r="AA73" i="17" s="1"/>
  <c r="I74" i="17"/>
  <c r="T10" i="19"/>
  <c r="K7" i="20"/>
  <c r="K11" i="20" s="1"/>
  <c r="H40" i="19"/>
  <c r="I76" i="17"/>
  <c r="T18" i="19"/>
  <c r="H39" i="19"/>
  <c r="U707" i="13" l="1"/>
  <c r="U708" i="13" s="1"/>
  <c r="T39" i="19"/>
  <c r="T40" i="19"/>
  <c r="Z850" i="13" l="1"/>
  <c r="Z794" i="13"/>
  <c r="Z195" i="13"/>
  <c r="Z863" i="13"/>
  <c r="Z809" i="13"/>
  <c r="V195" i="13"/>
  <c r="V850" i="13"/>
  <c r="V794" i="13"/>
  <c r="V863" i="13"/>
  <c r="V809" i="13"/>
  <c r="R195" i="13"/>
  <c r="R863" i="13"/>
  <c r="R850" i="13"/>
  <c r="R809" i="13"/>
  <c r="R794" i="13"/>
  <c r="R14" i="13"/>
  <c r="R30" i="13" s="1"/>
  <c r="V14" i="13"/>
  <c r="V30" i="13" s="1"/>
  <c r="Z14" i="13"/>
  <c r="Z30" i="13" s="1"/>
  <c r="U809" i="13"/>
  <c r="U794" i="13"/>
  <c r="U863" i="13"/>
  <c r="U195" i="13"/>
  <c r="U850" i="13"/>
  <c r="P809" i="13"/>
  <c r="P195" i="13"/>
  <c r="P850" i="13"/>
  <c r="P794" i="13"/>
  <c r="P863" i="13"/>
  <c r="X794" i="13"/>
  <c r="X195" i="13"/>
  <c r="X863" i="13"/>
  <c r="X809" i="13"/>
  <c r="X850" i="13"/>
  <c r="X14" i="13"/>
  <c r="X30" i="13" s="1"/>
  <c r="T850" i="13"/>
  <c r="T195" i="13"/>
  <c r="T794" i="13"/>
  <c r="T863" i="13"/>
  <c r="T809" i="13"/>
  <c r="Y794" i="13"/>
  <c r="Y809" i="13"/>
  <c r="Y863" i="13"/>
  <c r="Y195" i="13"/>
  <c r="Y850" i="13"/>
  <c r="O809" i="13"/>
  <c r="O794" i="13"/>
  <c r="O195" i="13"/>
  <c r="O863" i="13"/>
  <c r="O850" i="13"/>
  <c r="W809" i="13"/>
  <c r="W195" i="13"/>
  <c r="W863" i="13"/>
  <c r="W794" i="13"/>
  <c r="W850" i="13"/>
  <c r="S850" i="13"/>
  <c r="S809" i="13"/>
  <c r="S195" i="13"/>
  <c r="S863" i="13"/>
  <c r="S794" i="13"/>
  <c r="Q809" i="13"/>
  <c r="Q794" i="13"/>
  <c r="Q863" i="13"/>
  <c r="Q195" i="13"/>
  <c r="Q850" i="13"/>
  <c r="O14" i="13"/>
  <c r="O30" i="13" s="1"/>
  <c r="Y14" i="13"/>
  <c r="Y30" i="13" s="1"/>
  <c r="S14" i="13"/>
  <c r="S30" i="13" s="1"/>
  <c r="U14" i="13"/>
  <c r="U30" i="13" s="1"/>
  <c r="Q14" i="13"/>
  <c r="Q30" i="13" s="1"/>
  <c r="T14" i="13"/>
  <c r="T30" i="13" s="1"/>
  <c r="W14" i="13"/>
  <c r="W30" i="13" s="1"/>
  <c r="P14" i="13"/>
  <c r="P30" i="13" s="1"/>
  <c r="X26" i="13"/>
  <c r="Y26" i="13"/>
  <c r="P26" i="13"/>
  <c r="Q26" i="13"/>
  <c r="R26" i="13"/>
  <c r="R199" i="13" s="1"/>
  <c r="S26" i="13"/>
  <c r="T26" i="13"/>
  <c r="T199" i="13" s="1"/>
  <c r="U26" i="13"/>
  <c r="V26" i="13"/>
  <c r="W26" i="13"/>
  <c r="W199" i="13" s="1"/>
  <c r="O26" i="13"/>
  <c r="Z26" i="13"/>
  <c r="Y24" i="13"/>
  <c r="V27" i="13"/>
  <c r="Q22" i="13"/>
  <c r="T23" i="13"/>
  <c r="O24" i="13"/>
  <c r="X22" i="13"/>
  <c r="W22" i="13"/>
  <c r="W735" i="13" s="1"/>
  <c r="R22" i="13"/>
  <c r="Q10" i="13"/>
  <c r="X10" i="13"/>
  <c r="V10" i="13"/>
  <c r="Y10" i="13"/>
  <c r="S22" i="13"/>
  <c r="S20" i="13"/>
  <c r="S28" i="13" s="1"/>
  <c r="R20" i="13"/>
  <c r="R28" i="13" s="1"/>
  <c r="Q20" i="13"/>
  <c r="Q28" i="13" s="1"/>
  <c r="T20" i="13"/>
  <c r="T28" i="13" s="1"/>
  <c r="R10" i="13"/>
  <c r="W10" i="13"/>
  <c r="P23" i="13"/>
  <c r="P31" i="13" s="1"/>
  <c r="P736" i="13" s="1"/>
  <c r="W20" i="13"/>
  <c r="W28" i="13" s="1"/>
  <c r="Z20" i="13"/>
  <c r="Z28" i="13" s="1"/>
  <c r="P20" i="13"/>
  <c r="P28" i="13" s="1"/>
  <c r="Z22" i="13"/>
  <c r="Z735" i="13" s="1"/>
  <c r="Y20" i="13"/>
  <c r="Y28" i="13" s="1"/>
  <c r="V20" i="13"/>
  <c r="V28" i="13" s="1"/>
  <c r="X20" i="13"/>
  <c r="X28" i="13" s="1"/>
  <c r="P10" i="13"/>
  <c r="T10" i="13"/>
  <c r="S10" i="13"/>
  <c r="U10" i="13"/>
  <c r="Z10" i="13"/>
  <c r="U20" i="13"/>
  <c r="U28" i="13" s="1"/>
  <c r="O20" i="13"/>
  <c r="O28" i="13" s="1"/>
  <c r="O10" i="13"/>
  <c r="V21" i="13"/>
  <c r="Q21" i="13"/>
  <c r="P21" i="13"/>
  <c r="W21" i="13"/>
  <c r="Y21" i="13"/>
  <c r="X21" i="13"/>
  <c r="R21" i="13"/>
  <c r="T21" i="13"/>
  <c r="S21" i="13"/>
  <c r="U21" i="13"/>
  <c r="Z21" i="13"/>
  <c r="O21" i="13"/>
  <c r="S199" i="13" l="1"/>
  <c r="U199" i="13"/>
  <c r="O199" i="13"/>
  <c r="X199" i="13"/>
  <c r="S735" i="13"/>
  <c r="Q199" i="13"/>
  <c r="R735" i="13"/>
  <c r="X735" i="13"/>
  <c r="Q735" i="13"/>
  <c r="E33" i="19"/>
  <c r="P199" i="13"/>
  <c r="P203" i="13" s="1"/>
  <c r="Z199" i="13"/>
  <c r="Z203" i="13" s="1"/>
  <c r="Y199" i="13"/>
  <c r="Y203" i="13" s="1"/>
  <c r="V199" i="13"/>
  <c r="V203" i="13" s="1"/>
  <c r="O203" i="13"/>
  <c r="O230" i="13"/>
  <c r="O856" i="13"/>
  <c r="O802" i="13"/>
  <c r="T230" i="13"/>
  <c r="T231" i="13" s="1"/>
  <c r="T856" i="13"/>
  <c r="T802" i="13"/>
  <c r="Q230" i="13"/>
  <c r="Q231" i="13" s="1"/>
  <c r="Q233" i="13" s="1"/>
  <c r="Q856" i="13"/>
  <c r="Q802" i="13"/>
  <c r="U230" i="13"/>
  <c r="U231" i="13" s="1"/>
  <c r="U233" i="13" s="1"/>
  <c r="U856" i="13"/>
  <c r="U802" i="13"/>
  <c r="S230" i="13"/>
  <c r="S231" i="13" s="1"/>
  <c r="S233" i="13" s="1"/>
  <c r="S856" i="13"/>
  <c r="S802" i="13"/>
  <c r="P230" i="13"/>
  <c r="P231" i="13" s="1"/>
  <c r="P233" i="13" s="1"/>
  <c r="P856" i="13"/>
  <c r="P802" i="13"/>
  <c r="W230" i="13"/>
  <c r="W231" i="13" s="1"/>
  <c r="W233" i="13" s="1"/>
  <c r="W856" i="13"/>
  <c r="W802" i="13"/>
  <c r="Y230" i="13"/>
  <c r="Y231" i="13" s="1"/>
  <c r="Y233" i="13" s="1"/>
  <c r="Y856" i="13"/>
  <c r="Y802" i="13"/>
  <c r="Z802" i="13"/>
  <c r="Z856" i="13"/>
  <c r="R230" i="13"/>
  <c r="R231" i="13" s="1"/>
  <c r="R802" i="13"/>
  <c r="R856" i="13"/>
  <c r="V230" i="13"/>
  <c r="V231" i="13" s="1"/>
  <c r="V232" i="13" s="1"/>
  <c r="L17" i="18" s="1"/>
  <c r="V856" i="13"/>
  <c r="V802" i="13"/>
  <c r="X230" i="13"/>
  <c r="X231" i="13" s="1"/>
  <c r="X233" i="13" s="1"/>
  <c r="X856" i="13"/>
  <c r="X802" i="13"/>
  <c r="R203" i="13"/>
  <c r="L22" i="19"/>
  <c r="W203" i="13"/>
  <c r="S203" i="13"/>
  <c r="X203" i="13"/>
  <c r="U203" i="13"/>
  <c r="E31" i="19"/>
  <c r="T733" i="13"/>
  <c r="S31" i="19" s="1"/>
  <c r="C31" i="19"/>
  <c r="I31" i="19"/>
  <c r="O733" i="13"/>
  <c r="H22" i="19"/>
  <c r="P22" i="13"/>
  <c r="P735" i="13" s="1"/>
  <c r="O33" i="19" s="1"/>
  <c r="Q203" i="13"/>
  <c r="P733" i="13"/>
  <c r="O22" i="19" s="1"/>
  <c r="F22" i="19"/>
  <c r="M31" i="19"/>
  <c r="J22" i="19"/>
  <c r="T203" i="13"/>
  <c r="Z864" i="13"/>
  <c r="Z797" i="13"/>
  <c r="Z866" i="13"/>
  <c r="Z853" i="13"/>
  <c r="Z848" i="13"/>
  <c r="Z808" i="13"/>
  <c r="Z799" i="13"/>
  <c r="Z857" i="13"/>
  <c r="Z855" i="13"/>
  <c r="Z847" i="13"/>
  <c r="Z862" i="13"/>
  <c r="Z798" i="13"/>
  <c r="Z791" i="13"/>
  <c r="Z810" i="13"/>
  <c r="Z812" i="13"/>
  <c r="Z811" i="13"/>
  <c r="Z861" i="13"/>
  <c r="Z807" i="13"/>
  <c r="Z792" i="13"/>
  <c r="Z865" i="13"/>
  <c r="Z859" i="13"/>
  <c r="Z854" i="13"/>
  <c r="Z803" i="13"/>
  <c r="Z790" i="13"/>
  <c r="Z805" i="13"/>
  <c r="Z25" i="13"/>
  <c r="Z230" i="13"/>
  <c r="Z231" i="13" s="1"/>
  <c r="Z29" i="13"/>
  <c r="Z734" i="13" s="1"/>
  <c r="S29" i="13"/>
  <c r="S734" i="13"/>
  <c r="W29" i="13"/>
  <c r="W734" i="13" s="1"/>
  <c r="V29" i="13"/>
  <c r="V734" i="13"/>
  <c r="O29" i="13"/>
  <c r="O734" i="13" s="1"/>
  <c r="R29" i="13"/>
  <c r="R734" i="13"/>
  <c r="Y29" i="13"/>
  <c r="Y734" i="13" s="1"/>
  <c r="Q29" i="13"/>
  <c r="Q734" i="13" s="1"/>
  <c r="T29" i="13"/>
  <c r="T734" i="13" s="1"/>
  <c r="X29" i="13"/>
  <c r="X734" i="13"/>
  <c r="U29" i="13"/>
  <c r="U734" i="13" s="1"/>
  <c r="P29" i="13"/>
  <c r="P734" i="13" s="1"/>
  <c r="U851" i="13"/>
  <c r="U804" i="13"/>
  <c r="U196" i="13"/>
  <c r="U801" i="13"/>
  <c r="U800" i="13"/>
  <c r="U858" i="13"/>
  <c r="U795" i="13"/>
  <c r="U806" i="13"/>
  <c r="U860" i="13"/>
  <c r="U27" i="13"/>
  <c r="R233" i="13"/>
  <c r="R232" i="13"/>
  <c r="H17" i="18" s="1"/>
  <c r="U22" i="13"/>
  <c r="U735" i="13" s="1"/>
  <c r="O34" i="19"/>
  <c r="O25" i="19"/>
  <c r="U733" i="13"/>
  <c r="U866" i="13"/>
  <c r="U808" i="13"/>
  <c r="U807" i="13"/>
  <c r="U854" i="13"/>
  <c r="U805" i="13"/>
  <c r="U853" i="13"/>
  <c r="U812" i="13"/>
  <c r="U791" i="13"/>
  <c r="U803" i="13"/>
  <c r="U864" i="13"/>
  <c r="U792" i="13"/>
  <c r="U855" i="13"/>
  <c r="U861" i="13"/>
  <c r="U848" i="13"/>
  <c r="U799" i="13"/>
  <c r="U847" i="13"/>
  <c r="U811" i="13"/>
  <c r="U859" i="13"/>
  <c r="U790" i="13"/>
  <c r="U865" i="13"/>
  <c r="U857" i="13"/>
  <c r="U798" i="13"/>
  <c r="U810" i="13"/>
  <c r="U797" i="13"/>
  <c r="U25" i="13"/>
  <c r="U862" i="13"/>
  <c r="U24" i="13"/>
  <c r="Y24" i="19"/>
  <c r="Y33" i="19"/>
  <c r="V33" i="19"/>
  <c r="V24" i="19"/>
  <c r="O797" i="13"/>
  <c r="O811" i="13"/>
  <c r="O859" i="13"/>
  <c r="O862" i="13"/>
  <c r="O805" i="13"/>
  <c r="O861" i="13"/>
  <c r="O865" i="13"/>
  <c r="O810" i="13"/>
  <c r="O792" i="13"/>
  <c r="O799" i="13"/>
  <c r="O864" i="13"/>
  <c r="O798" i="13"/>
  <c r="O855" i="13"/>
  <c r="O812" i="13"/>
  <c r="O791" i="13"/>
  <c r="O25" i="13"/>
  <c r="O847" i="13"/>
  <c r="O857" i="13"/>
  <c r="O866" i="13"/>
  <c r="O848" i="13"/>
  <c r="O854" i="13"/>
  <c r="O808" i="13"/>
  <c r="O853" i="13"/>
  <c r="O803" i="13"/>
  <c r="O807" i="13"/>
  <c r="O790" i="13"/>
  <c r="U23" i="13"/>
  <c r="T233" i="13"/>
  <c r="T232" i="13"/>
  <c r="J17" i="18" s="1"/>
  <c r="R33" i="19"/>
  <c r="R24" i="19"/>
  <c r="Q24" i="19"/>
  <c r="Q33" i="19"/>
  <c r="Y32" i="13"/>
  <c r="Y737" i="13" s="1"/>
  <c r="Z801" i="13"/>
  <c r="Z800" i="13"/>
  <c r="Z806" i="13"/>
  <c r="Z804" i="13"/>
  <c r="Z858" i="13"/>
  <c r="Z196" i="13"/>
  <c r="Z860" i="13"/>
  <c r="Z795" i="13"/>
  <c r="Z851" i="13"/>
  <c r="Z27" i="13"/>
  <c r="Z24" i="13"/>
  <c r="Z23" i="13"/>
  <c r="W800" i="13"/>
  <c r="W801" i="13"/>
  <c r="W858" i="13"/>
  <c r="W804" i="13"/>
  <c r="W851" i="13"/>
  <c r="W196" i="13"/>
  <c r="W806" i="13"/>
  <c r="W860" i="13"/>
  <c r="W795" i="13"/>
  <c r="W24" i="13"/>
  <c r="W23" i="13"/>
  <c r="W27" i="13"/>
  <c r="W24" i="19"/>
  <c r="W33" i="19"/>
  <c r="P33" i="19"/>
  <c r="P24" i="19"/>
  <c r="S854" i="13"/>
  <c r="S799" i="13"/>
  <c r="S810" i="13"/>
  <c r="S855" i="13"/>
  <c r="S812" i="13"/>
  <c r="S805" i="13"/>
  <c r="S864" i="13"/>
  <c r="S792" i="13"/>
  <c r="S807" i="13"/>
  <c r="S847" i="13"/>
  <c r="S791" i="13"/>
  <c r="S853" i="13"/>
  <c r="S862" i="13"/>
  <c r="S866" i="13"/>
  <c r="S797" i="13"/>
  <c r="S848" i="13"/>
  <c r="S25" i="13"/>
  <c r="S865" i="13"/>
  <c r="S790" i="13"/>
  <c r="S859" i="13"/>
  <c r="S811" i="13"/>
  <c r="S808" i="13"/>
  <c r="S798" i="13"/>
  <c r="S857" i="13"/>
  <c r="S803" i="13"/>
  <c r="S861" i="13"/>
  <c r="P855" i="13"/>
  <c r="P857" i="13"/>
  <c r="P25" i="13"/>
  <c r="P865" i="13"/>
  <c r="P792" i="13"/>
  <c r="P799" i="13"/>
  <c r="P854" i="13"/>
  <c r="P797" i="13"/>
  <c r="P862" i="13"/>
  <c r="P791" i="13"/>
  <c r="P866" i="13"/>
  <c r="P848" i="13"/>
  <c r="P808" i="13"/>
  <c r="P853" i="13"/>
  <c r="P864" i="13"/>
  <c r="P810" i="13"/>
  <c r="P812" i="13"/>
  <c r="P859" i="13"/>
  <c r="P803" i="13"/>
  <c r="P847" i="13"/>
  <c r="P805" i="13"/>
  <c r="P798" i="13"/>
  <c r="P811" i="13"/>
  <c r="P807" i="13"/>
  <c r="P790" i="13"/>
  <c r="P861" i="13"/>
  <c r="X733" i="13"/>
  <c r="Z733" i="13"/>
  <c r="W733" i="13"/>
  <c r="P24" i="13"/>
  <c r="W854" i="13"/>
  <c r="W866" i="13"/>
  <c r="W853" i="13"/>
  <c r="W810" i="13"/>
  <c r="W799" i="13"/>
  <c r="W862" i="13"/>
  <c r="W803" i="13"/>
  <c r="W848" i="13"/>
  <c r="W808" i="13"/>
  <c r="W865" i="13"/>
  <c r="W792" i="13"/>
  <c r="W797" i="13"/>
  <c r="W812" i="13"/>
  <c r="W805" i="13"/>
  <c r="W864" i="13"/>
  <c r="W859" i="13"/>
  <c r="W861" i="13"/>
  <c r="W798" i="13"/>
  <c r="W25" i="13"/>
  <c r="W847" i="13"/>
  <c r="W857" i="13"/>
  <c r="W855" i="13"/>
  <c r="W811" i="13"/>
  <c r="W807" i="13"/>
  <c r="W791" i="13"/>
  <c r="W790" i="13"/>
  <c r="R733" i="13"/>
  <c r="S851" i="13"/>
  <c r="S801" i="13"/>
  <c r="S800" i="13"/>
  <c r="S795" i="13"/>
  <c r="S804" i="13"/>
  <c r="S858" i="13"/>
  <c r="S806" i="13"/>
  <c r="S860" i="13"/>
  <c r="S196" i="13"/>
  <c r="S24" i="13"/>
  <c r="S27" i="13"/>
  <c r="S23" i="13"/>
  <c r="Q811" i="13"/>
  <c r="Q807" i="13"/>
  <c r="Q791" i="13"/>
  <c r="Q855" i="13"/>
  <c r="Q859" i="13"/>
  <c r="Q799" i="13"/>
  <c r="Q854" i="13"/>
  <c r="Q864" i="13"/>
  <c r="Q861" i="13"/>
  <c r="Q797" i="13"/>
  <c r="Q798" i="13"/>
  <c r="Q853" i="13"/>
  <c r="Q848" i="13"/>
  <c r="Q862" i="13"/>
  <c r="Q847" i="13"/>
  <c r="Q25" i="13"/>
  <c r="Q810" i="13"/>
  <c r="Q865" i="13"/>
  <c r="Q805" i="13"/>
  <c r="Q857" i="13"/>
  <c r="Q792" i="13"/>
  <c r="Q812" i="13"/>
  <c r="Q803" i="13"/>
  <c r="Q790" i="13"/>
  <c r="Q808" i="13"/>
  <c r="Q866" i="13"/>
  <c r="R801" i="13"/>
  <c r="R800" i="13"/>
  <c r="R806" i="13"/>
  <c r="R196" i="13"/>
  <c r="R795" i="13"/>
  <c r="R860" i="13"/>
  <c r="R804" i="13"/>
  <c r="R858" i="13"/>
  <c r="R851" i="13"/>
  <c r="R24" i="13"/>
  <c r="R23" i="13"/>
  <c r="R27" i="13"/>
  <c r="O32" i="13"/>
  <c r="O737" i="13" s="1"/>
  <c r="T807" i="13"/>
  <c r="T855" i="13"/>
  <c r="T864" i="13"/>
  <c r="T861" i="13"/>
  <c r="T791" i="13"/>
  <c r="T811" i="13"/>
  <c r="T799" i="13"/>
  <c r="T803" i="13"/>
  <c r="T857" i="13"/>
  <c r="T812" i="13"/>
  <c r="T808" i="13"/>
  <c r="T848" i="13"/>
  <c r="T859" i="13"/>
  <c r="T798" i="13"/>
  <c r="T792" i="13"/>
  <c r="T865" i="13"/>
  <c r="T853" i="13"/>
  <c r="T797" i="13"/>
  <c r="T847" i="13"/>
  <c r="T810" i="13"/>
  <c r="T790" i="13"/>
  <c r="T866" i="13"/>
  <c r="T854" i="13"/>
  <c r="T25" i="13"/>
  <c r="T862" i="13"/>
  <c r="T805" i="13"/>
  <c r="V733" i="13"/>
  <c r="Y733" i="13"/>
  <c r="P196" i="13"/>
  <c r="P851" i="13"/>
  <c r="P800" i="13"/>
  <c r="P804" i="13"/>
  <c r="P806" i="13"/>
  <c r="P860" i="13"/>
  <c r="P801" i="13"/>
  <c r="P858" i="13"/>
  <c r="P795" i="13"/>
  <c r="P27" i="13"/>
  <c r="W232" i="13"/>
  <c r="M17" i="18" s="1"/>
  <c r="R792" i="13"/>
  <c r="R797" i="13"/>
  <c r="R857" i="13"/>
  <c r="R854" i="13"/>
  <c r="R861" i="13"/>
  <c r="R805" i="13"/>
  <c r="R808" i="13"/>
  <c r="R847" i="13"/>
  <c r="R799" i="13"/>
  <c r="R810" i="13"/>
  <c r="R865" i="13"/>
  <c r="R798" i="13"/>
  <c r="R864" i="13"/>
  <c r="R807" i="13"/>
  <c r="R25" i="13"/>
  <c r="R859" i="13"/>
  <c r="R853" i="13"/>
  <c r="R803" i="13"/>
  <c r="R791" i="13"/>
  <c r="R790" i="13"/>
  <c r="R862" i="13"/>
  <c r="R866" i="13"/>
  <c r="R812" i="13"/>
  <c r="R848" i="13"/>
  <c r="R855" i="13"/>
  <c r="R811" i="13"/>
  <c r="Q733" i="13"/>
  <c r="S733" i="13"/>
  <c r="Y853" i="13"/>
  <c r="Y859" i="13"/>
  <c r="Y865" i="13"/>
  <c r="Y810" i="13"/>
  <c r="Y798" i="13"/>
  <c r="Y812" i="13"/>
  <c r="Y25" i="13"/>
  <c r="Y854" i="13"/>
  <c r="Y803" i="13"/>
  <c r="Y857" i="13"/>
  <c r="Y791" i="13"/>
  <c r="Y848" i="13"/>
  <c r="Y805" i="13"/>
  <c r="Y811" i="13"/>
  <c r="Y807" i="13"/>
  <c r="Y808" i="13"/>
  <c r="Y855" i="13"/>
  <c r="Y861" i="13"/>
  <c r="Y866" i="13"/>
  <c r="Y862" i="13"/>
  <c r="Y847" i="13"/>
  <c r="Y792" i="13"/>
  <c r="Y790" i="13"/>
  <c r="Y797" i="13"/>
  <c r="Y799" i="13"/>
  <c r="Y864" i="13"/>
  <c r="V790" i="13"/>
  <c r="V807" i="13"/>
  <c r="V25" i="13"/>
  <c r="V859" i="13"/>
  <c r="V866" i="13"/>
  <c r="V847" i="13"/>
  <c r="V810" i="13"/>
  <c r="V848" i="13"/>
  <c r="V853" i="13"/>
  <c r="V811" i="13"/>
  <c r="V798" i="13"/>
  <c r="V865" i="13"/>
  <c r="V864" i="13"/>
  <c r="V862" i="13"/>
  <c r="V805" i="13"/>
  <c r="V812" i="13"/>
  <c r="V797" i="13"/>
  <c r="V861" i="13"/>
  <c r="V854" i="13"/>
  <c r="V808" i="13"/>
  <c r="V791" i="13"/>
  <c r="V855" i="13"/>
  <c r="V799" i="13"/>
  <c r="V792" i="13"/>
  <c r="V803" i="13"/>
  <c r="V857" i="13"/>
  <c r="X807" i="13"/>
  <c r="X790" i="13"/>
  <c r="X854" i="13"/>
  <c r="X859" i="13"/>
  <c r="X865" i="13"/>
  <c r="X864" i="13"/>
  <c r="X799" i="13"/>
  <c r="X810" i="13"/>
  <c r="X811" i="13"/>
  <c r="X861" i="13"/>
  <c r="X847" i="13"/>
  <c r="X803" i="13"/>
  <c r="X862" i="13"/>
  <c r="X812" i="13"/>
  <c r="X798" i="13"/>
  <c r="X853" i="13"/>
  <c r="X791" i="13"/>
  <c r="X797" i="13"/>
  <c r="X792" i="13"/>
  <c r="X857" i="13"/>
  <c r="X866" i="13"/>
  <c r="X805" i="13"/>
  <c r="X848" i="13"/>
  <c r="X25" i="13"/>
  <c r="X808" i="13"/>
  <c r="X855" i="13"/>
  <c r="Q232" i="13"/>
  <c r="G17" i="18" s="1"/>
  <c r="T31" i="13"/>
  <c r="T736" i="13" s="1"/>
  <c r="I33" i="19"/>
  <c r="I24" i="19"/>
  <c r="J33" i="19"/>
  <c r="J24" i="19"/>
  <c r="V22" i="13"/>
  <c r="V735" i="13" s="1"/>
  <c r="Y22" i="13"/>
  <c r="Y735" i="13" s="1"/>
  <c r="Q23" i="13"/>
  <c r="X800" i="13"/>
  <c r="X795" i="13"/>
  <c r="X860" i="13"/>
  <c r="X806" i="13"/>
  <c r="X858" i="13"/>
  <c r="X851" i="13"/>
  <c r="X196" i="13"/>
  <c r="X801" i="13"/>
  <c r="X804" i="13"/>
  <c r="O23" i="13"/>
  <c r="T22" i="13"/>
  <c r="T735" i="13" s="1"/>
  <c r="Q24" i="13"/>
  <c r="V801" i="13"/>
  <c r="V800" i="13"/>
  <c r="V196" i="13"/>
  <c r="V860" i="13"/>
  <c r="V806" i="13"/>
  <c r="V851" i="13"/>
  <c r="V858" i="13"/>
  <c r="V804" i="13"/>
  <c r="V795" i="13"/>
  <c r="Y801" i="13"/>
  <c r="Y800" i="13"/>
  <c r="Y806" i="13"/>
  <c r="Y804" i="13"/>
  <c r="Y860" i="13"/>
  <c r="Y196" i="13"/>
  <c r="Y851" i="13"/>
  <c r="Y795" i="13"/>
  <c r="Y858" i="13"/>
  <c r="X24" i="13"/>
  <c r="O801" i="13"/>
  <c r="O806" i="13"/>
  <c r="O851" i="13"/>
  <c r="O800" i="13"/>
  <c r="O196" i="13"/>
  <c r="O860" i="13"/>
  <c r="O804" i="13"/>
  <c r="O858" i="13"/>
  <c r="O795" i="13"/>
  <c r="T800" i="13"/>
  <c r="T851" i="13"/>
  <c r="T804" i="13"/>
  <c r="T196" i="13"/>
  <c r="T801" i="13"/>
  <c r="T860" i="13"/>
  <c r="T858" i="13"/>
  <c r="T795" i="13"/>
  <c r="T806" i="13"/>
  <c r="Q860" i="13"/>
  <c r="Q801" i="13"/>
  <c r="Q196" i="13"/>
  <c r="Q795" i="13"/>
  <c r="Q800" i="13"/>
  <c r="Q858" i="13"/>
  <c r="Q804" i="13"/>
  <c r="Q851" i="13"/>
  <c r="Q806" i="13"/>
  <c r="O22" i="13"/>
  <c r="O735" i="13" s="1"/>
  <c r="X23" i="13"/>
  <c r="V24" i="13"/>
  <c r="V23" i="13"/>
  <c r="Y23" i="13"/>
  <c r="X27" i="13"/>
  <c r="T27" i="13"/>
  <c r="O27" i="13"/>
  <c r="Y27" i="13"/>
  <c r="Y200" i="13" s="1"/>
  <c r="T24" i="13"/>
  <c r="Q27" i="13"/>
  <c r="Y232" i="13" l="1"/>
  <c r="O17" i="18" s="1"/>
  <c r="U232" i="13"/>
  <c r="K17" i="18" s="1"/>
  <c r="T200" i="13"/>
  <c r="T204" i="13" s="1"/>
  <c r="T205" i="13" s="1"/>
  <c r="X200" i="13"/>
  <c r="O200" i="13"/>
  <c r="Q200" i="13"/>
  <c r="O231" i="13"/>
  <c r="O232" i="13" s="1"/>
  <c r="E17" i="18" s="1"/>
  <c r="V233" i="13"/>
  <c r="V234" i="13" s="1"/>
  <c r="U200" i="13"/>
  <c r="U204" i="13" s="1"/>
  <c r="U205" i="13" s="1"/>
  <c r="E24" i="19"/>
  <c r="W200" i="13"/>
  <c r="W204" i="13" s="1"/>
  <c r="W205" i="13" s="1"/>
  <c r="P232" i="13"/>
  <c r="F17" i="18" s="1"/>
  <c r="F31" i="19"/>
  <c r="V882" i="13"/>
  <c r="S200" i="13"/>
  <c r="S204" i="13" s="1"/>
  <c r="S205" i="13" s="1"/>
  <c r="S232" i="13"/>
  <c r="I17" i="18" s="1"/>
  <c r="P200" i="13"/>
  <c r="P204" i="13" s="1"/>
  <c r="R200" i="13"/>
  <c r="R204" i="13" s="1"/>
  <c r="Z200" i="13"/>
  <c r="Z204" i="13" s="1"/>
  <c r="V200" i="13"/>
  <c r="V204" i="13" s="1"/>
  <c r="V205" i="13" s="1"/>
  <c r="L22" i="18" s="1"/>
  <c r="O24" i="19"/>
  <c r="X232" i="13"/>
  <c r="N17" i="18" s="1"/>
  <c r="Z539" i="13"/>
  <c r="Y539" i="13"/>
  <c r="X539" i="13"/>
  <c r="W539" i="13"/>
  <c r="V539" i="13"/>
  <c r="U539" i="13"/>
  <c r="T539" i="13"/>
  <c r="S539" i="13"/>
  <c r="R539" i="13"/>
  <c r="Q539" i="13"/>
  <c r="P539" i="13"/>
  <c r="H31" i="19"/>
  <c r="L31" i="19"/>
  <c r="I35" i="19"/>
  <c r="O31" i="19"/>
  <c r="I22" i="19"/>
  <c r="J31" i="19"/>
  <c r="S22" i="19"/>
  <c r="C22" i="19"/>
  <c r="M22" i="19"/>
  <c r="E22" i="19"/>
  <c r="J35" i="19"/>
  <c r="M26" i="19"/>
  <c r="O894" i="13"/>
  <c r="E53" i="18" s="1"/>
  <c r="Q204" i="13"/>
  <c r="Y204" i="13"/>
  <c r="O204" i="13"/>
  <c r="X204" i="13"/>
  <c r="X205" i="13" s="1"/>
  <c r="Y234" i="13"/>
  <c r="S867" i="13"/>
  <c r="I55" i="18" s="1"/>
  <c r="T234" i="13"/>
  <c r="N22" i="19"/>
  <c r="N31" i="19"/>
  <c r="Q31" i="13"/>
  <c r="Q736" i="13" s="1"/>
  <c r="D31" i="19"/>
  <c r="D22" i="19"/>
  <c r="M25" i="19"/>
  <c r="M34" i="19"/>
  <c r="W31" i="13"/>
  <c r="W736" i="13" s="1"/>
  <c r="Z31" i="13"/>
  <c r="Z736" i="13" s="1"/>
  <c r="O814" i="13"/>
  <c r="E54" i="18" s="1"/>
  <c r="R234" i="13"/>
  <c r="Z867" i="13"/>
  <c r="P55" i="18" s="1"/>
  <c r="O31" i="13"/>
  <c r="O736" i="13" s="1"/>
  <c r="Y22" i="19"/>
  <c r="Y31" i="19"/>
  <c r="P814" i="13"/>
  <c r="F54" i="18" s="1"/>
  <c r="S814" i="13"/>
  <c r="I54" i="18" s="1"/>
  <c r="W32" i="13"/>
  <c r="W737" i="13" s="1"/>
  <c r="Z32" i="13"/>
  <c r="Z737" i="13" s="1"/>
  <c r="X26" i="19"/>
  <c r="X35" i="19"/>
  <c r="Q234" i="13"/>
  <c r="U32" i="13"/>
  <c r="U737" i="13" s="1"/>
  <c r="W32" i="19"/>
  <c r="W23" i="19"/>
  <c r="P23" i="19"/>
  <c r="P32" i="19"/>
  <c r="Q23" i="19"/>
  <c r="Q32" i="19"/>
  <c r="V23" i="19"/>
  <c r="V32" i="19"/>
  <c r="Z233" i="13"/>
  <c r="Z232" i="13"/>
  <c r="P17" i="18" s="1"/>
  <c r="Z814" i="13"/>
  <c r="P54" i="18" s="1"/>
  <c r="G33" i="19"/>
  <c r="G24" i="19"/>
  <c r="C32" i="19"/>
  <c r="C23" i="19"/>
  <c r="Y867" i="13"/>
  <c r="O55" i="18" s="1"/>
  <c r="I23" i="19"/>
  <c r="I32" i="19"/>
  <c r="P32" i="13"/>
  <c r="P737" i="13" s="1"/>
  <c r="Y31" i="13"/>
  <c r="Y736" i="13"/>
  <c r="Y738" i="13" s="1"/>
  <c r="Q32" i="13"/>
  <c r="Q737" i="13"/>
  <c r="G25" i="19"/>
  <c r="G34" i="19"/>
  <c r="X867" i="13"/>
  <c r="N55" i="18" s="1"/>
  <c r="V814" i="13"/>
  <c r="L54" i="18" s="1"/>
  <c r="R22" i="19"/>
  <c r="R31" i="19"/>
  <c r="N35" i="19"/>
  <c r="N26" i="19"/>
  <c r="M33" i="19"/>
  <c r="M24" i="19"/>
  <c r="V867" i="13"/>
  <c r="L55" i="18" s="1"/>
  <c r="R814" i="13"/>
  <c r="H54" i="18" s="1"/>
  <c r="F32" i="19"/>
  <c r="F23" i="19"/>
  <c r="T867" i="13"/>
  <c r="J55" i="18" s="1"/>
  <c r="E32" i="19"/>
  <c r="E23" i="19"/>
  <c r="R31" i="13"/>
  <c r="R736" i="13" s="1"/>
  <c r="Q814" i="13"/>
  <c r="G54" i="18" s="1"/>
  <c r="W814" i="13"/>
  <c r="M54" i="18" s="1"/>
  <c r="W867" i="13"/>
  <c r="M55" i="18" s="1"/>
  <c r="K22" i="19"/>
  <c r="K31" i="19"/>
  <c r="P867" i="13"/>
  <c r="F55" i="18" s="1"/>
  <c r="L32" i="19"/>
  <c r="L23" i="19"/>
  <c r="G32" i="19"/>
  <c r="G23" i="19"/>
  <c r="D23" i="19"/>
  <c r="D32" i="19"/>
  <c r="K35" i="19"/>
  <c r="K26" i="19"/>
  <c r="W234" i="13"/>
  <c r="K23" i="19"/>
  <c r="K32" i="19"/>
  <c r="H32" i="19"/>
  <c r="H23" i="19"/>
  <c r="O867" i="13"/>
  <c r="E55" i="18" s="1"/>
  <c r="U867" i="13"/>
  <c r="K55" i="18" s="1"/>
  <c r="U814" i="13"/>
  <c r="K54" i="18" s="1"/>
  <c r="T22" i="19"/>
  <c r="T31" i="19"/>
  <c r="O32" i="19"/>
  <c r="O23" i="19"/>
  <c r="T32" i="19"/>
  <c r="T23" i="19"/>
  <c r="H33" i="19"/>
  <c r="H24" i="19"/>
  <c r="M32" i="19"/>
  <c r="M23" i="19"/>
  <c r="V31" i="13"/>
  <c r="V736" i="13" s="1"/>
  <c r="U33" i="19"/>
  <c r="U24" i="19"/>
  <c r="J23" i="19"/>
  <c r="J32" i="19"/>
  <c r="C34" i="19"/>
  <c r="C25" i="19"/>
  <c r="X814" i="13"/>
  <c r="N54" i="18" s="1"/>
  <c r="D33" i="19"/>
  <c r="D24" i="19"/>
  <c r="Q867" i="13"/>
  <c r="G55" i="18" s="1"/>
  <c r="S32" i="13"/>
  <c r="S737" i="13"/>
  <c r="F24" i="19"/>
  <c r="F33" i="19"/>
  <c r="V32" i="13"/>
  <c r="V737" i="13"/>
  <c r="N33" i="19"/>
  <c r="N24" i="19"/>
  <c r="X33" i="19"/>
  <c r="X24" i="19"/>
  <c r="Y814" i="13"/>
  <c r="O54" i="18" s="1"/>
  <c r="P22" i="19"/>
  <c r="P31" i="19"/>
  <c r="G31" i="19"/>
  <c r="G22" i="19"/>
  <c r="T32" i="13"/>
  <c r="T737" i="13" s="1"/>
  <c r="L24" i="19"/>
  <c r="L33" i="19"/>
  <c r="X31" i="13"/>
  <c r="X736" i="13"/>
  <c r="X32" i="13"/>
  <c r="X737" i="13" s="1"/>
  <c r="S24" i="19"/>
  <c r="S33" i="19"/>
  <c r="K33" i="19"/>
  <c r="K24" i="19"/>
  <c r="S34" i="19"/>
  <c r="S25" i="19"/>
  <c r="R867" i="13"/>
  <c r="H55" i="18" s="1"/>
  <c r="X31" i="19"/>
  <c r="X22" i="19"/>
  <c r="U22" i="19"/>
  <c r="U31" i="19"/>
  <c r="T814" i="13"/>
  <c r="J54" i="18" s="1"/>
  <c r="G35" i="19"/>
  <c r="G26" i="19"/>
  <c r="L25" i="19"/>
  <c r="L34" i="19"/>
  <c r="R32" i="13"/>
  <c r="R737" i="13"/>
  <c r="S31" i="13"/>
  <c r="S736" i="13"/>
  <c r="Q22" i="19"/>
  <c r="Q31" i="19"/>
  <c r="V22" i="19"/>
  <c r="V31" i="19"/>
  <c r="W31" i="19"/>
  <c r="W22" i="19"/>
  <c r="C24" i="19"/>
  <c r="C33" i="19"/>
  <c r="U31" i="13"/>
  <c r="U736" i="13" s="1"/>
  <c r="T24" i="19"/>
  <c r="T33" i="19"/>
  <c r="R873" i="13"/>
  <c r="H50" i="18" s="1"/>
  <c r="S32" i="19"/>
  <c r="S23" i="19"/>
  <c r="X23" i="19"/>
  <c r="X32" i="19"/>
  <c r="N23" i="19"/>
  <c r="N32" i="19"/>
  <c r="U23" i="19"/>
  <c r="U32" i="19"/>
  <c r="R23" i="19"/>
  <c r="R32" i="19"/>
  <c r="Y32" i="19"/>
  <c r="Y23" i="19"/>
  <c r="U234" i="13" l="1"/>
  <c r="P234" i="13"/>
  <c r="Q55" i="18"/>
  <c r="Q54" i="18"/>
  <c r="Q17" i="18"/>
  <c r="O233" i="13"/>
  <c r="O234" i="13" s="1"/>
  <c r="S234" i="13"/>
  <c r="X234" i="13"/>
  <c r="M35" i="19"/>
  <c r="M36" i="19" s="1"/>
  <c r="M43" i="19" s="1"/>
  <c r="M49" i="19" s="1"/>
  <c r="M50" i="19" s="1"/>
  <c r="P205" i="13"/>
  <c r="F22" i="18" s="1"/>
  <c r="O205" i="13"/>
  <c r="E22" i="18" s="1"/>
  <c r="Y205" i="13"/>
  <c r="O22" i="18" s="1"/>
  <c r="M22" i="18"/>
  <c r="J22" i="18"/>
  <c r="Z205" i="13"/>
  <c r="P22" i="18" s="1"/>
  <c r="I22" i="18"/>
  <c r="N22" i="18"/>
  <c r="R205" i="13"/>
  <c r="H22" i="18" s="1"/>
  <c r="K22" i="18"/>
  <c r="Q205" i="13"/>
  <c r="G22" i="18" s="1"/>
  <c r="O539" i="13"/>
  <c r="I26" i="19"/>
  <c r="S541" i="13"/>
  <c r="I20" i="18" s="1"/>
  <c r="Z541" i="13"/>
  <c r="P20" i="18" s="1"/>
  <c r="Y541" i="13"/>
  <c r="O20" i="18" s="1"/>
  <c r="R541" i="13"/>
  <c r="H20" i="18" s="1"/>
  <c r="Q541" i="13"/>
  <c r="G20" i="18" s="1"/>
  <c r="U541" i="13"/>
  <c r="K20" i="18" s="1"/>
  <c r="P541" i="13"/>
  <c r="F20" i="18" s="1"/>
  <c r="X541" i="13"/>
  <c r="N20" i="18" s="1"/>
  <c r="T541" i="13"/>
  <c r="J20" i="18" s="1"/>
  <c r="W541" i="13"/>
  <c r="M20" i="18" s="1"/>
  <c r="V541" i="13"/>
  <c r="L20" i="18" s="1"/>
  <c r="W738" i="13"/>
  <c r="Z882" i="13"/>
  <c r="Q738" i="13"/>
  <c r="J26" i="19"/>
  <c r="V738" i="13"/>
  <c r="R738" i="13"/>
  <c r="X738" i="13"/>
  <c r="M27" i="19"/>
  <c r="M44" i="19" s="1"/>
  <c r="G27" i="19"/>
  <c r="G44" i="19" s="1"/>
  <c r="Z234" i="13"/>
  <c r="X882" i="13"/>
  <c r="W894" i="13"/>
  <c r="M53" i="18" s="1"/>
  <c r="D35" i="19"/>
  <c r="D26" i="19"/>
  <c r="S873" i="13"/>
  <c r="I50" i="18" s="1"/>
  <c r="T35" i="19"/>
  <c r="T26" i="19"/>
  <c r="D34" i="19"/>
  <c r="D25" i="19"/>
  <c r="N25" i="19"/>
  <c r="N27" i="19" s="1"/>
  <c r="N44" i="19" s="1"/>
  <c r="N34" i="19"/>
  <c r="N36" i="19" s="1"/>
  <c r="N43" i="19" s="1"/>
  <c r="H34" i="19"/>
  <c r="H25" i="19"/>
  <c r="V873" i="13"/>
  <c r="L50" i="18" s="1"/>
  <c r="O738" i="13"/>
  <c r="Z873" i="13"/>
  <c r="P50" i="18" s="1"/>
  <c r="W26" i="19"/>
  <c r="W35" i="19"/>
  <c r="W34" i="19"/>
  <c r="W25" i="19"/>
  <c r="G36" i="19"/>
  <c r="G43" i="19" s="1"/>
  <c r="G49" i="19" s="1"/>
  <c r="G50" i="19" s="1"/>
  <c r="U35" i="19"/>
  <c r="U26" i="19"/>
  <c r="R26" i="19"/>
  <c r="R35" i="19"/>
  <c r="L26" i="19"/>
  <c r="L27" i="19" s="1"/>
  <c r="L44" i="19" s="1"/>
  <c r="L35" i="19"/>
  <c r="L36" i="19" s="1"/>
  <c r="L43" i="19" s="1"/>
  <c r="L49" i="19" s="1"/>
  <c r="L50" i="19" s="1"/>
  <c r="I25" i="19"/>
  <c r="I34" i="19"/>
  <c r="I36" i="19" s="1"/>
  <c r="I43" i="19" s="1"/>
  <c r="I49" i="19" s="1"/>
  <c r="P35" i="19"/>
  <c r="P26" i="19"/>
  <c r="O35" i="19"/>
  <c r="O36" i="19" s="1"/>
  <c r="O43" i="19" s="1"/>
  <c r="O26" i="19"/>
  <c r="O27" i="19" s="1"/>
  <c r="O44" i="19" s="1"/>
  <c r="P738" i="13"/>
  <c r="T894" i="13"/>
  <c r="J53" i="18" s="1"/>
  <c r="C35" i="19"/>
  <c r="C36" i="19" s="1"/>
  <c r="C43" i="19" s="1"/>
  <c r="C49" i="19" s="1"/>
  <c r="C50" i="19" s="1"/>
  <c r="C26" i="19"/>
  <c r="C27" i="19" s="1"/>
  <c r="C44" i="19" s="1"/>
  <c r="Y35" i="19"/>
  <c r="Y26" i="19"/>
  <c r="Z738" i="13"/>
  <c r="V883" i="13"/>
  <c r="L52" i="18" s="1"/>
  <c r="L51" i="18"/>
  <c r="H26" i="19"/>
  <c r="H35" i="19"/>
  <c r="R34" i="19"/>
  <c r="R25" i="19"/>
  <c r="Q26" i="19"/>
  <c r="Q35" i="19"/>
  <c r="Q34" i="19"/>
  <c r="Q25" i="19"/>
  <c r="F35" i="19"/>
  <c r="F26" i="19"/>
  <c r="X34" i="19"/>
  <c r="X36" i="19" s="1"/>
  <c r="X43" i="19" s="1"/>
  <c r="X49" i="19" s="1"/>
  <c r="X50" i="19" s="1"/>
  <c r="O92" i="18" s="1"/>
  <c r="O94" i="18" s="1"/>
  <c r="O105" i="18" s="1"/>
  <c r="X25" i="19"/>
  <c r="X27" i="19" s="1"/>
  <c r="X44" i="19" s="1"/>
  <c r="U882" i="13"/>
  <c r="Y873" i="13"/>
  <c r="O50" i="18" s="1"/>
  <c r="U883" i="13"/>
  <c r="K52" i="18" s="1"/>
  <c r="E35" i="19"/>
  <c r="E26" i="19"/>
  <c r="V34" i="19"/>
  <c r="V25" i="19"/>
  <c r="P25" i="19"/>
  <c r="P34" i="19"/>
  <c r="T34" i="19"/>
  <c r="T25" i="19"/>
  <c r="K25" i="19"/>
  <c r="K27" i="19" s="1"/>
  <c r="K44" i="19" s="1"/>
  <c r="K34" i="19"/>
  <c r="K36" i="19" s="1"/>
  <c r="K43" i="19" s="1"/>
  <c r="J25" i="19"/>
  <c r="J34" i="19"/>
  <c r="J36" i="19" s="1"/>
  <c r="J43" i="19" s="1"/>
  <c r="J49" i="19" s="1"/>
  <c r="J50" i="19" s="1"/>
  <c r="S35" i="19"/>
  <c r="S36" i="19" s="1"/>
  <c r="S43" i="19" s="1"/>
  <c r="S49" i="19" s="1"/>
  <c r="S50" i="19" s="1"/>
  <c r="J92" i="18" s="1"/>
  <c r="J94" i="18" s="1"/>
  <c r="S26" i="19"/>
  <c r="S27" i="19" s="1"/>
  <c r="S44" i="19" s="1"/>
  <c r="T738" i="13"/>
  <c r="F25" i="19"/>
  <c r="F34" i="19"/>
  <c r="U34" i="19"/>
  <c r="U25" i="19"/>
  <c r="O873" i="13"/>
  <c r="E50" i="18" s="1"/>
  <c r="U738" i="13"/>
  <c r="E34" i="19"/>
  <c r="E25" i="19"/>
  <c r="S738" i="13"/>
  <c r="V26" i="19"/>
  <c r="V35" i="19"/>
  <c r="Y25" i="19"/>
  <c r="Y34" i="19"/>
  <c r="Q22" i="18" l="1"/>
  <c r="V881" i="13"/>
  <c r="O541" i="13"/>
  <c r="E20" i="18" s="1"/>
  <c r="D36" i="19"/>
  <c r="D43" i="19" s="1"/>
  <c r="D49" i="19" s="1"/>
  <c r="D50" i="19" s="1"/>
  <c r="I27" i="19"/>
  <c r="I44" i="19" s="1"/>
  <c r="T27" i="19"/>
  <c r="T44" i="19" s="1"/>
  <c r="J27" i="19"/>
  <c r="J44" i="19" s="1"/>
  <c r="Y36" i="19"/>
  <c r="Y43" i="19" s="1"/>
  <c r="E36" i="19"/>
  <c r="E43" i="19" s="1"/>
  <c r="E49" i="19" s="1"/>
  <c r="E50" i="19" s="1"/>
  <c r="E27" i="19"/>
  <c r="E44" i="19" s="1"/>
  <c r="O49" i="19"/>
  <c r="O50" i="19" s="1"/>
  <c r="F92" i="18" s="1"/>
  <c r="F94" i="18" s="1"/>
  <c r="F105" i="18" s="1"/>
  <c r="F27" i="19"/>
  <c r="F44" i="19" s="1"/>
  <c r="D27" i="19"/>
  <c r="D44" i="19" s="1"/>
  <c r="Q27" i="19"/>
  <c r="Q44" i="19" s="1"/>
  <c r="Y27" i="19"/>
  <c r="Y44" i="19" s="1"/>
  <c r="V36" i="19"/>
  <c r="V43" i="19" s="1"/>
  <c r="V49" i="19" s="1"/>
  <c r="V50" i="19" s="1"/>
  <c r="M92" i="18" s="1"/>
  <c r="M94" i="18" s="1"/>
  <c r="P27" i="19"/>
  <c r="P44" i="19" s="1"/>
  <c r="R36" i="19"/>
  <c r="R43" i="19" s="1"/>
  <c r="R49" i="19" s="1"/>
  <c r="R50" i="19" s="1"/>
  <c r="I92" i="18" s="1"/>
  <c r="I94" i="18" s="1"/>
  <c r="I105" i="18" s="1"/>
  <c r="T36" i="19"/>
  <c r="T43" i="19" s="1"/>
  <c r="T49" i="19" s="1"/>
  <c r="T50" i="19" s="1"/>
  <c r="K92" i="18" s="1"/>
  <c r="K94" i="18" s="1"/>
  <c r="K105" i="18" s="1"/>
  <c r="W36" i="19"/>
  <c r="W43" i="19" s="1"/>
  <c r="W49" i="19" s="1"/>
  <c r="W50" i="19" s="1"/>
  <c r="N92" i="18" s="1"/>
  <c r="N94" i="18" s="1"/>
  <c r="N105" i="18" s="1"/>
  <c r="Q36" i="19"/>
  <c r="Q43" i="19" s="1"/>
  <c r="Q49" i="19" s="1"/>
  <c r="Q50" i="19" s="1"/>
  <c r="H92" i="18" s="1"/>
  <c r="H94" i="18" s="1"/>
  <c r="H105" i="18" s="1"/>
  <c r="U36" i="19"/>
  <c r="U43" i="19" s="1"/>
  <c r="U49" i="19" s="1"/>
  <c r="U50" i="19" s="1"/>
  <c r="L92" i="18" s="1"/>
  <c r="L94" i="18" s="1"/>
  <c r="P36" i="19"/>
  <c r="P43" i="19" s="1"/>
  <c r="P49" i="19" s="1"/>
  <c r="P50" i="19" s="1"/>
  <c r="G92" i="18" s="1"/>
  <c r="G94" i="18" s="1"/>
  <c r="G105" i="18" s="1"/>
  <c r="R27" i="19"/>
  <c r="R44" i="19" s="1"/>
  <c r="V27" i="19"/>
  <c r="V44" i="19" s="1"/>
  <c r="F36" i="19"/>
  <c r="F43" i="19" s="1"/>
  <c r="F49" i="19" s="1"/>
  <c r="F50" i="19" s="1"/>
  <c r="N49" i="19"/>
  <c r="N50" i="19" s="1"/>
  <c r="E92" i="18" s="1"/>
  <c r="K49" i="19"/>
  <c r="K50" i="19" s="1"/>
  <c r="W27" i="19"/>
  <c r="W44" i="19" s="1"/>
  <c r="U27" i="19"/>
  <c r="U44" i="19" s="1"/>
  <c r="X894" i="13"/>
  <c r="N53" i="18" s="1"/>
  <c r="Q894" i="13"/>
  <c r="G53" i="18" s="1"/>
  <c r="S894" i="13"/>
  <c r="I53" i="18" s="1"/>
  <c r="H36" i="19"/>
  <c r="H43" i="19" s="1"/>
  <c r="H49" i="19" s="1"/>
  <c r="H50" i="19" s="1"/>
  <c r="U873" i="13"/>
  <c r="K50" i="18" s="1"/>
  <c r="S882" i="13"/>
  <c r="I51" i="18" s="1"/>
  <c r="O882" i="13"/>
  <c r="E51" i="18" s="1"/>
  <c r="Z883" i="13"/>
  <c r="P52" i="18" s="1"/>
  <c r="Y882" i="13"/>
  <c r="O51" i="18" s="1"/>
  <c r="J105" i="18"/>
  <c r="W873" i="13"/>
  <c r="M50" i="18" s="1"/>
  <c r="Q883" i="13"/>
  <c r="G52" i="18" s="1"/>
  <c r="X883" i="13"/>
  <c r="N52" i="18" s="1"/>
  <c r="J49" i="18"/>
  <c r="R883" i="13"/>
  <c r="H52" i="18" s="1"/>
  <c r="X873" i="13"/>
  <c r="N50" i="18" s="1"/>
  <c r="P873" i="13"/>
  <c r="F50" i="18" s="1"/>
  <c r="T873" i="13"/>
  <c r="J50" i="18" s="1"/>
  <c r="R894" i="13"/>
  <c r="H53" i="18" s="1"/>
  <c r="W883" i="13"/>
  <c r="M52" i="18" s="1"/>
  <c r="T882" i="13"/>
  <c r="Y894" i="13"/>
  <c r="O53" i="18" s="1"/>
  <c r="Z894" i="13"/>
  <c r="P53" i="18" s="1"/>
  <c r="Q882" i="13"/>
  <c r="U881" i="13"/>
  <c r="K51" i="18"/>
  <c r="W882" i="13"/>
  <c r="U894" i="13"/>
  <c r="K53" i="18" s="1"/>
  <c r="O49" i="18"/>
  <c r="V894" i="13"/>
  <c r="L53" i="18" s="1"/>
  <c r="Q873" i="13"/>
  <c r="G50" i="18" s="1"/>
  <c r="T883" i="13"/>
  <c r="J52" i="18" s="1"/>
  <c r="P51" i="18"/>
  <c r="P894" i="13"/>
  <c r="F53" i="18" s="1"/>
  <c r="R882" i="13"/>
  <c r="H27" i="19"/>
  <c r="H44" i="19" s="1"/>
  <c r="Y883" i="13"/>
  <c r="P883" i="13"/>
  <c r="F52" i="18" s="1"/>
  <c r="P882" i="13"/>
  <c r="S883" i="13"/>
  <c r="N51" i="18"/>
  <c r="Q53" i="18" l="1"/>
  <c r="Q50" i="18"/>
  <c r="Q20" i="18"/>
  <c r="E94" i="18"/>
  <c r="Y49" i="19"/>
  <c r="Y50" i="19" s="1"/>
  <c r="P92" i="18" s="1"/>
  <c r="P94" i="18" s="1"/>
  <c r="P105" i="18" s="1"/>
  <c r="I49" i="18"/>
  <c r="M49" i="18"/>
  <c r="F49" i="18"/>
  <c r="E49" i="18"/>
  <c r="N49" i="18"/>
  <c r="N90" i="18" s="1"/>
  <c r="K49" i="18"/>
  <c r="K90" i="18" s="1"/>
  <c r="K107" i="18" s="1"/>
  <c r="Z881" i="13"/>
  <c r="G49" i="18"/>
  <c r="H49" i="18"/>
  <c r="L49" i="18"/>
  <c r="L90" i="18" s="1"/>
  <c r="L107" i="18" s="1"/>
  <c r="O52" i="18"/>
  <c r="O90" i="18" s="1"/>
  <c r="Y881" i="13"/>
  <c r="W881" i="13"/>
  <c r="M51" i="18"/>
  <c r="I52" i="18"/>
  <c r="S881" i="13"/>
  <c r="X881" i="13"/>
  <c r="R881" i="13"/>
  <c r="H51" i="18"/>
  <c r="L105" i="18"/>
  <c r="P881" i="13"/>
  <c r="F51" i="18"/>
  <c r="Q881" i="13"/>
  <c r="G51" i="18"/>
  <c r="E52" i="18"/>
  <c r="O881" i="13"/>
  <c r="E105" i="18"/>
  <c r="T881" i="13"/>
  <c r="J51" i="18"/>
  <c r="J90" i="18" s="1"/>
  <c r="M105" i="18"/>
  <c r="Q52" i="18" l="1"/>
  <c r="Q51" i="18"/>
  <c r="P49" i="18"/>
  <c r="Q92" i="18"/>
  <c r="Q94" i="18"/>
  <c r="Q105" i="18"/>
  <c r="Q49" i="18"/>
  <c r="I90" i="18"/>
  <c r="I107" i="18" s="1"/>
  <c r="F90" i="18"/>
  <c r="F107" i="18" s="1"/>
  <c r="M90" i="18"/>
  <c r="M107" i="18" s="1"/>
  <c r="L95" i="18"/>
  <c r="O107" i="18"/>
  <c r="O95" i="18"/>
  <c r="J107" i="18"/>
  <c r="J95" i="18"/>
  <c r="H90" i="18"/>
  <c r="H107" i="18" s="1"/>
  <c r="G90" i="18"/>
  <c r="E90" i="18"/>
  <c r="K95" i="18"/>
  <c r="N107" i="18"/>
  <c r="N95" i="18"/>
  <c r="I95" i="18" l="1"/>
  <c r="F95" i="18"/>
  <c r="M95" i="18"/>
  <c r="H95" i="18"/>
  <c r="G107" i="18"/>
  <c r="G95" i="18"/>
  <c r="E107" i="18"/>
  <c r="E95" i="18"/>
  <c r="C21" i="17" l="1"/>
  <c r="C49" i="17" l="1"/>
  <c r="B13" i="19" l="1"/>
  <c r="B6" i="19"/>
  <c r="C68" i="17"/>
  <c r="C73" i="17" s="1"/>
  <c r="B9" i="19"/>
  <c r="B17" i="19"/>
  <c r="B15" i="19"/>
  <c r="B7" i="19"/>
  <c r="B16" i="19"/>
  <c r="B8" i="19"/>
  <c r="B23" i="19" l="1"/>
  <c r="B5" i="19"/>
  <c r="B10" i="19" s="1"/>
  <c r="B14" i="19"/>
  <c r="B18" i="19" s="1"/>
  <c r="B33" i="19"/>
  <c r="B24" i="19"/>
  <c r="B32" i="19"/>
  <c r="B34" i="19"/>
  <c r="B25" i="19"/>
  <c r="B35" i="19"/>
  <c r="B26" i="19"/>
  <c r="C74" i="17"/>
  <c r="B31" i="19" l="1"/>
  <c r="B36" i="19" s="1"/>
  <c r="B43" i="19" s="1"/>
  <c r="B22" i="19"/>
  <c r="B27" i="19" s="1"/>
  <c r="B44" i="19" s="1"/>
  <c r="B39" i="19"/>
  <c r="B40" i="19"/>
  <c r="C76" i="17"/>
  <c r="B49" i="19" l="1"/>
  <c r="B50" i="19" s="1"/>
  <c r="Z1101" i="13" l="1"/>
  <c r="Z1086" i="13"/>
  <c r="Z1060" i="13"/>
  <c r="P68" i="18"/>
  <c r="P106" i="18" s="1"/>
  <c r="Q106" i="18" s="1"/>
  <c r="Z1093" i="13"/>
  <c r="P73" i="18" s="1"/>
  <c r="Q68" i="18" l="1"/>
  <c r="P90" i="18"/>
  <c r="P107" i="18" s="1"/>
  <c r="Q73" i="18"/>
  <c r="Q90" i="18" l="1"/>
  <c r="P95" i="18"/>
  <c r="Q95" i="18" l="1"/>
  <c r="Q107"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Potter, Daniel</author>
    <author>Craig Kieny</author>
    <author>Williams, Tucker</author>
    <author xml:space="preserve"> Craig Kieny</author>
    <author>Kieny, Craig</author>
    <author>ckieny</author>
  </authors>
  <commentList>
    <comment ref="C5" authorId="0" shapeId="0" xr:uid="{55C331FD-F988-4D16-8AC5-AB43ECC24D5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5" authorId="0" shapeId="0" xr:uid="{E21F80E6-2AAE-4FF1-A3FC-C47DF08548C6}">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5" authorId="0" shapeId="0" xr:uid="{8789940F-2A4C-453F-8451-3D1D5F4D933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5" authorId="0" shapeId="0" xr:uid="{DD02F5DE-E6E1-48AF-82CA-5DDF82F57E7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5" authorId="0" shapeId="0" xr:uid="{4DD47416-9080-41BE-8C9B-F456546FFB1F}">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5" authorId="0" shapeId="0" xr:uid="{D4ABBC28-420D-4568-97B3-3015730A0E66}">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5" authorId="0" shapeId="0" xr:uid="{B07AC793-CD9E-4E84-8679-AB28EFF148E3}">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5" authorId="0" shapeId="0" xr:uid="{742FFED6-5933-41FE-B95E-DFEDE9F1831F}">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5" authorId="0" shapeId="0" xr:uid="{5A19E7DC-D2D2-428E-842F-2A2F5ABB756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5" authorId="0" shapeId="0" xr:uid="{311687AC-E8E0-4E7A-816C-E952E344B30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5" authorId="0" shapeId="0" xr:uid="{1FDE7857-D3F0-4D49-A24C-ED44604B17B2}">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5" authorId="0" shapeId="0" xr:uid="{1A0FB376-B794-4DD3-90E9-13741D9D2956}">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5" authorId="0" shapeId="0" xr:uid="{15129E36-5BFE-476A-8CB2-388412C2472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5" authorId="0" shapeId="0" xr:uid="{1D06544E-6D4C-4D7D-AE83-3DF4CA04119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5" authorId="0" shapeId="0" xr:uid="{03501CB1-892A-46D0-B346-151D68AFE17E}">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5" authorId="0" shapeId="0" xr:uid="{1956A975-1880-4C8D-81FA-C0B458191B0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5" authorId="0" shapeId="0" xr:uid="{EC31CAA5-0C49-4E60-8EB6-2C948BE7F0EB}">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5" authorId="0" shapeId="0" xr:uid="{2C4B6103-0FCC-43B2-9AB4-C23555EAECE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5" authorId="0" shapeId="0" xr:uid="{900EA17B-B205-4E6C-A732-10A9C9E90055}">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5" authorId="0" shapeId="0" xr:uid="{70C9AEF6-A28F-423E-957F-75ACC28389E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5" authorId="0" shapeId="0" xr:uid="{842971DB-6BBA-45FB-B11A-7D305FC05662}">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5" authorId="0" shapeId="0" xr:uid="{44DAE166-52E1-45CA-9A7A-C4991055AC6F}">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5" authorId="0" shapeId="0" xr:uid="{B7A7C566-C786-447C-BA24-DACA5A6CD20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5" authorId="0" shapeId="0" xr:uid="{A3714939-AE3A-45D5-8D28-F9A79F462870}">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6" authorId="0" shapeId="0" xr:uid="{629C0988-F8F2-4E61-B2CA-BDB21BD6FB78}">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6" authorId="0" shapeId="0" xr:uid="{2BC7AAC2-2EBB-4480-8A5A-1C0E66028228}">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6" authorId="0" shapeId="0" xr:uid="{36151399-FDC7-48FB-BCFF-D703EF34BD14}">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6" authorId="0" shapeId="0" xr:uid="{94727A27-8D47-4501-A9EB-6339EE6EB021}">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6" authorId="0" shapeId="0" xr:uid="{B3ECAA0A-96F1-4E18-8D6E-8B5221DDB989}">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6" authorId="0" shapeId="0" xr:uid="{B9E27273-8F02-43C5-8123-F0CA6506D25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6" authorId="0" shapeId="0" xr:uid="{F9891C34-5E5E-4A6D-B94D-9A98D9959A62}">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6" authorId="0" shapeId="0" xr:uid="{C2AE8703-C407-4D5D-A9BA-0CC4DCEE4B90}">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6" authorId="0" shapeId="0" xr:uid="{E933C848-4CC9-4CEC-97AE-731DCC29059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6" authorId="0" shapeId="0" xr:uid="{BC1731B1-F01C-44DF-980F-1D52CBF4BF2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6" authorId="0" shapeId="0" xr:uid="{F40C9428-895F-40CF-BBD6-32513DED89F3}">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6" authorId="0" shapeId="0" xr:uid="{43D339DE-65F2-404C-BFB2-1C17327469C0}">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6" authorId="0" shapeId="0" xr:uid="{A9B481EA-3970-4051-8269-9A283B60CA11}">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6" authorId="0" shapeId="0" xr:uid="{E7EA714E-D2D6-4E78-918F-9759DAD3AE6E}">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6" authorId="0" shapeId="0" xr:uid="{4DB0CB43-0315-4F4B-B7D1-9E7CCD8A1DFB}">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6" authorId="0" shapeId="0" xr:uid="{B602EC78-C366-481F-936E-970FC49915FA}">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6" authorId="0" shapeId="0" xr:uid="{ACADA679-BCC8-47C4-8EB6-5209EBB3A41B}">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6" authorId="0" shapeId="0" xr:uid="{276EF8D8-9930-43F2-83AE-2742B9C6F0C2}">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6" authorId="0" shapeId="0" xr:uid="{22032949-951E-413F-8661-DA27D02729BB}">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6" authorId="0" shapeId="0" xr:uid="{5085A038-6A91-4A78-93C8-C630AC7D4FE5}">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6" authorId="0" shapeId="0" xr:uid="{BDA3C24C-86A9-4504-926D-C5C357DC767E}">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6" authorId="0" shapeId="0" xr:uid="{2CC452A3-3569-46F5-B40C-CD1044F8192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6" authorId="0" shapeId="0" xr:uid="{EB657EC6-8BEB-42B0-A49F-27D2185DFBC0}">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6" authorId="0" shapeId="0" xr:uid="{5F36BC00-3B17-42BA-8B3D-40450BB6BEE0}">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7" authorId="0" shapeId="0" xr:uid="{528334C7-FA51-426A-8734-19D47515602F}">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7" authorId="0" shapeId="0" xr:uid="{956008BC-FBD3-4A4D-A67A-8802F8E539C4}">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7" authorId="0" shapeId="0" xr:uid="{E44C0692-6751-4D7F-B6F6-C534B6A03E4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7" authorId="0" shapeId="0" xr:uid="{15F6D711-ACC3-440B-AB87-350A148B7F5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7" authorId="0" shapeId="0" xr:uid="{D9AAD34B-0044-44A6-B43E-9E32803C507E}">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7" authorId="0" shapeId="0" xr:uid="{3BA6D631-2504-4C90-9B61-9A5B743E998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7" authorId="0" shapeId="0" xr:uid="{7CEF6D56-D0CF-40E3-8FA4-132B396FBDC6}">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7" authorId="0" shapeId="0" xr:uid="{5B6C88C4-19BB-479D-8C0B-91EBEE16602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7" authorId="0" shapeId="0" xr:uid="{E9C6C409-D1D0-4427-908A-BA52AF98DA2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7" authorId="0" shapeId="0" xr:uid="{F9DFB476-5520-4C5F-BA5B-08F626FAEA6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7" authorId="0" shapeId="0" xr:uid="{D36CEDC1-C836-4F5F-B040-4C62EE9DD01F}">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7" authorId="0" shapeId="0" xr:uid="{1F86678D-F189-4FF4-A962-23E02329F6D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7" authorId="0" shapeId="0" xr:uid="{AC1F90E9-9FE9-475A-94CD-370E676E4C0D}">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7" authorId="0" shapeId="0" xr:uid="{D8B48C2F-EDEE-4BF5-9458-0201E784C08D}">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7" authorId="0" shapeId="0" xr:uid="{83F2A77C-E0B1-49DB-A431-627712304B27}">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7" authorId="0" shapeId="0" xr:uid="{E368C5C5-AA23-424A-B3F7-A304D9FB5652}">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7" authorId="0" shapeId="0" xr:uid="{21A1E760-5D37-4515-B7CB-F9264201B5D1}">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7" authorId="0" shapeId="0" xr:uid="{80A2F36D-F9A7-4110-8543-037805193067}">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7" authorId="0" shapeId="0" xr:uid="{BFB83403-D53A-43E5-A8A1-5FDBA7F0B9C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7" authorId="0" shapeId="0" xr:uid="{8B2F02CE-CB5F-4203-8F92-A6B9150C751F}">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7" authorId="0" shapeId="0" xr:uid="{6A356012-6FE1-4079-9743-70D1CC7F815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7" authorId="0" shapeId="0" xr:uid="{F449BBA3-B350-4648-8F78-2025A0C71E44}">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7" authorId="0" shapeId="0" xr:uid="{026E5251-62FD-47F2-B2BD-8F14B26A8265}">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7" authorId="0" shapeId="0" xr:uid="{3B638E51-A1E5-49F7-A6F7-3EAFC4C10E92}">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8" authorId="0" shapeId="0" xr:uid="{A4454F38-F787-49F5-98AA-AA4FD4146D0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8" authorId="0" shapeId="0" xr:uid="{762F1AB5-0EFC-4235-973D-1C12114D48C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8" authorId="0" shapeId="0" xr:uid="{9BD5BB66-1FB0-4B70-9205-59317D5A95E3}">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8" authorId="0" shapeId="0" xr:uid="{03B13B4A-6570-4D9F-BE75-4B227366B04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8" authorId="0" shapeId="0" xr:uid="{5ABDB548-3DE6-47D2-8F08-FA235AE2A82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8" authorId="0" shapeId="0" xr:uid="{CF1B2974-BE55-49BA-836F-B81088C70B9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8" authorId="0" shapeId="0" xr:uid="{2E3C0004-21B0-45FC-94B0-D50E4BC9E8E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8" authorId="0" shapeId="0" xr:uid="{8FD35331-9551-49FF-850F-36D00F8619D1}">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8" authorId="0" shapeId="0" xr:uid="{A3C76B0B-A3AF-411E-8EED-DBCA3BBB9069}">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8" authorId="0" shapeId="0" xr:uid="{DD4AFFA3-C16A-4AC5-8E4D-0A6E366A3BCB}">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8" authorId="0" shapeId="0" xr:uid="{69EC147C-98B3-4D60-BEE9-C39F62D749F9}">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8" authorId="0" shapeId="0" xr:uid="{0DF8B873-7308-4A2B-BDC6-F9CAF06146E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8" authorId="0" shapeId="0" xr:uid="{4A638045-3C7C-4C84-841C-4B719CBA9023}">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8" authorId="0" shapeId="0" xr:uid="{C84985E9-2919-4892-BE33-7BA127BA788D}">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8" authorId="0" shapeId="0" xr:uid="{9623DC59-9193-4B66-89DE-9E41188434B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8" authorId="0" shapeId="0" xr:uid="{C35CAB86-4412-4E7A-AF19-07A265BABCD1}">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8" authorId="0" shapeId="0" xr:uid="{DCC23D1C-9FF2-42F4-B775-F28C80BF3D10}">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8" authorId="0" shapeId="0" xr:uid="{0444E041-A4BC-4D8B-B347-3A21ADA5EB3B}">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8" authorId="0" shapeId="0" xr:uid="{D2A8675C-16E0-4FB9-B56D-D59250A1B52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8" authorId="0" shapeId="0" xr:uid="{A251C9A6-F7C8-4284-8426-3EAF36AC6B43}">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8" authorId="0" shapeId="0" xr:uid="{CD7110C8-21EA-4B45-A69D-92B5D40D3A53}">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8" authorId="0" shapeId="0" xr:uid="{60C8A0B3-D660-40C8-8F7D-4F3EAB7371C7}">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8" authorId="0" shapeId="0" xr:uid="{B73AD2C2-739B-4D2A-8E0E-EE9DC2CCB12D}">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8" authorId="0" shapeId="0" xr:uid="{E2785FED-F095-426B-808C-C123A81D7E0A}">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9" authorId="0" shapeId="0" xr:uid="{C8BFF449-D427-45D0-85CC-125B9158F0A3}">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9" authorId="0" shapeId="0" xr:uid="{EDE54143-DD95-4216-A834-D46BA6734A64}">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9" authorId="0" shapeId="0" xr:uid="{7EF75DF7-4AA9-4BFE-90CB-C174378D790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9" authorId="0" shapeId="0" xr:uid="{CC6E8CB1-CBD0-4E59-B614-0147BE4913B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9" authorId="0" shapeId="0" xr:uid="{A1AB0513-AB0B-4BA3-920B-63B5F3AB5840}">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9" authorId="0" shapeId="0" xr:uid="{A91AF0C9-B51E-43C3-8D52-E4CAD17DDCA8}">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9" authorId="0" shapeId="0" xr:uid="{525DEB6A-FE86-4A22-A240-B85FEB56D2E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9" authorId="0" shapeId="0" xr:uid="{1CBD89BE-DEB5-4993-BFB2-13962D934B3E}">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9" authorId="0" shapeId="0" xr:uid="{EB54D7FB-EA32-4060-998F-699AEDA135DB}">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9" authorId="0" shapeId="0" xr:uid="{FE5C58E3-C12A-4090-BA52-7974DA68F0BB}">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9" authorId="0" shapeId="0" xr:uid="{90028E53-E990-4EAD-B44F-E7A232A5436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9" authorId="0" shapeId="0" xr:uid="{9A1EEFB3-1E52-428D-9782-B5767BEF87B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9" authorId="0" shapeId="0" xr:uid="{00570E6B-E459-49E9-9306-84ADABAF2FA7}">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9" authorId="0" shapeId="0" xr:uid="{A4D42E9F-64AF-440A-850F-0BC3B2BE098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9" authorId="0" shapeId="0" xr:uid="{6A2D35E1-9ABE-411B-BA93-B3CF2FB42CFD}">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9" authorId="0" shapeId="0" xr:uid="{46D9BDA7-2D8C-403B-92FB-40716C9F6178}">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9" authorId="0" shapeId="0" xr:uid="{DB4D78F8-A0C3-42C6-8A69-1CFFCE0010CC}">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9" authorId="0" shapeId="0" xr:uid="{EA67346E-0881-4ADB-AE07-7D2156B82951}">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9" authorId="0" shapeId="0" xr:uid="{1992D96E-7C51-4650-AD67-E9075AAE288D}">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9" authorId="0" shapeId="0" xr:uid="{0752DE5C-4048-48BF-AAED-855F35D8E0C8}">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9" authorId="0" shapeId="0" xr:uid="{D19DC8DA-7A2A-48DE-8526-A37FB3EE8BED}">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9" authorId="0" shapeId="0" xr:uid="{C9EC70D1-7CE2-4C58-A5A8-0F9770A45D08}">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9" authorId="0" shapeId="0" xr:uid="{8F8E659B-A0B3-4168-AF6B-1F0B0ED20F44}">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9" authorId="0" shapeId="0" xr:uid="{D30D68F3-5258-4A8C-8A4E-A8C17525741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11" authorId="0" shapeId="0" xr:uid="{08ACDB60-E576-4625-BD83-834E1FEF40B8}">
      <text>
        <r>
          <rPr>
            <b/>
            <sz val="9"/>
            <color indexed="81"/>
            <rFont val="Tahoma"/>
            <family val="2"/>
          </rPr>
          <t>Potter, Daniel:</t>
        </r>
        <r>
          <rPr>
            <sz val="9"/>
            <color indexed="81"/>
            <rFont val="Tahoma"/>
            <family val="2"/>
          </rPr>
          <t xml:space="preserve">
Prices from ICE Forwards on 9/19/2023 pulled on 9/20/2023</t>
        </r>
      </text>
    </comment>
    <comment ref="C15" authorId="0" shapeId="0" xr:uid="{D8E590C1-10EC-40C3-B2C7-4087F2D0A43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15" authorId="0" shapeId="0" xr:uid="{5CB0BB22-6120-4217-B927-8D9D9CFDC53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15" authorId="0" shapeId="0" xr:uid="{DDB65036-A9FF-4A1D-9D57-3023718D2A94}">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15" authorId="0" shapeId="0" xr:uid="{B88173E6-9AAC-4D34-8BC8-876752A6C81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15" authorId="0" shapeId="0" xr:uid="{C65FAB60-A84D-4439-859A-73E0D28A6D1E}">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15" authorId="0" shapeId="0" xr:uid="{4CE16E53-9409-4EE7-9EEF-34355A570D2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15" authorId="0" shapeId="0" xr:uid="{55A573B5-49D2-4C0A-9DA1-A1598332CBF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15" authorId="0" shapeId="0" xr:uid="{0E67EDDD-3E84-42C3-B91B-5690F4BE4D14}">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15" authorId="0" shapeId="0" xr:uid="{C790827B-A7BA-40D8-9C4D-606B7D80F061}">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15" authorId="0" shapeId="0" xr:uid="{4595F688-082B-4CB7-B8D2-2BC090D65AD2}">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15" authorId="0" shapeId="0" xr:uid="{D435DF8A-099A-4D5D-9EDB-00941967D60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15" authorId="0" shapeId="0" xr:uid="{078C3E8E-BE89-4BC4-AD9F-A5C1386CE3FE}">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15" authorId="0" shapeId="0" xr:uid="{53B1D423-1A22-45D0-9B1C-D964F10876EB}">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15" authorId="0" shapeId="0" xr:uid="{4A8B20D2-025A-45ED-A364-B6C8E5D1AA8E}">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15" authorId="0" shapeId="0" xr:uid="{7AACF127-9B78-43AE-B2FE-84695F12E8C8}">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15" authorId="0" shapeId="0" xr:uid="{F8FE439B-AFB4-47B0-A86A-D8FEC7A7D5B3}">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15" authorId="0" shapeId="0" xr:uid="{723ABEAD-8CC4-4574-B104-AD654C79E92A}">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15" authorId="0" shapeId="0" xr:uid="{7813081C-6A8F-4AC0-AC36-0AE7C43A23CA}">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15" authorId="0" shapeId="0" xr:uid="{62760390-E059-478C-BC5A-2FB0EAFF815F}">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15" authorId="0" shapeId="0" xr:uid="{F18BA7EF-98D0-40DE-A27A-911750D7945E}">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15" authorId="0" shapeId="0" xr:uid="{135C744D-9901-446C-8F6F-B4C3E0D8DFDF}">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15" authorId="0" shapeId="0" xr:uid="{7DA68513-E6B5-4D2B-989E-0D476C9FF018}">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15" authorId="0" shapeId="0" xr:uid="{7297862A-2BDD-43A5-A0BE-A27293E05D8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15" authorId="0" shapeId="0" xr:uid="{F41293B9-CFB2-43F5-99FE-6D0B8A833C8F}">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16" authorId="0" shapeId="0" xr:uid="{EA2AC45C-9A8C-4CDA-924B-E095A2F59E3B}">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16" authorId="0" shapeId="0" xr:uid="{0E3E3587-7134-48AE-87E4-B4696F63058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16" authorId="0" shapeId="0" xr:uid="{939967A0-411C-46A2-88AE-DDFC67B6787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16" authorId="0" shapeId="0" xr:uid="{0339D3ED-2E04-432F-869F-1EFF3174735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16" authorId="0" shapeId="0" xr:uid="{A77A714F-848B-4303-A580-56F41E27E12B}">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16" authorId="0" shapeId="0" xr:uid="{1E3BBA2F-BCE1-4D13-B766-F15F4B054B6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16" authorId="0" shapeId="0" xr:uid="{34EA59FD-59A9-4D73-B787-3AE7B8F83DFE}">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16" authorId="0" shapeId="0" xr:uid="{91F604EC-C6F7-4968-8325-8A201E910226}">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16" authorId="0" shapeId="0" xr:uid="{077F1926-097D-4A7C-BA25-193D54200954}">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16" authorId="0" shapeId="0" xr:uid="{2C508EA8-B639-40E8-BC4E-1B8FD4B05AE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16" authorId="0" shapeId="0" xr:uid="{457ECCA5-F25A-4255-85F4-3C213DB91173}">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16" authorId="0" shapeId="0" xr:uid="{696503FC-2DE3-4650-ADDC-A855EB0AD2C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16" authorId="0" shapeId="0" xr:uid="{B0AD96F6-FC27-4AE8-AD65-C5E4573ECC53}">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16" authorId="0" shapeId="0" xr:uid="{3080347A-F8D9-46CA-9B6F-F6BB5031D1EE}">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16" authorId="0" shapeId="0" xr:uid="{AC5F82F2-D067-4FC1-BC31-0AE166152F6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16" authorId="0" shapeId="0" xr:uid="{59C82B3B-B32F-429C-B064-2E546F553AE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16" authorId="0" shapeId="0" xr:uid="{285299D4-80CD-405C-8E0E-2590A8F52232}">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16" authorId="0" shapeId="0" xr:uid="{B0B3B028-CAEA-400B-A6FC-6BC255B0435D}">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16" authorId="0" shapeId="0" xr:uid="{4AF839F6-7A1F-433F-8141-80086C445722}">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16" authorId="0" shapeId="0" xr:uid="{C1225B60-7E75-40AB-86BB-6716F30524DC}">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16" authorId="0" shapeId="0" xr:uid="{5E745A85-8F23-48E0-A110-BD48341A5138}">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16" authorId="0" shapeId="0" xr:uid="{DD155B7E-FC2A-4E29-A60C-82138AE12D65}">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16" authorId="0" shapeId="0" xr:uid="{5CC09C24-493F-4316-9CD7-0F846BAF975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16" authorId="0" shapeId="0" xr:uid="{C7AD993D-7BF0-4981-B8CF-0697ABE05E88}">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17" authorId="0" shapeId="0" xr:uid="{F8D1EE18-1FE6-4104-BE5D-99D3F094262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17" authorId="0" shapeId="0" xr:uid="{44ED7C4B-46E5-4192-8D37-98BB48CADE8B}">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17" authorId="0" shapeId="0" xr:uid="{AEDB416F-E00D-4019-9452-6B4DF66D851B}">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17" authorId="0" shapeId="0" xr:uid="{94A624C5-BE44-416C-9AE1-B623A3794732}">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17" authorId="0" shapeId="0" xr:uid="{5BC8DC50-8D2C-4F91-80F6-0C35B2F1ED7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17" authorId="0" shapeId="0" xr:uid="{B6906361-9744-41E5-89CF-337A617E79E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17" authorId="0" shapeId="0" xr:uid="{12B5A48E-F283-48EC-8A25-AAD68B7246C1}">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17" authorId="0" shapeId="0" xr:uid="{55BE92AB-8F8D-4AF7-B79B-107671249FB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17" authorId="0" shapeId="0" xr:uid="{3F2D0FA8-D745-4A7D-B4A3-4A593236D269}">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17" authorId="0" shapeId="0" xr:uid="{AA6A2E22-8185-435C-AF31-4CCC90CDB329}">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17" authorId="0" shapeId="0" xr:uid="{5D0696F4-14C7-414A-AFF9-36E22C7DC59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17" authorId="0" shapeId="0" xr:uid="{C1D0B4A2-0D7D-4182-87C7-A50A14DFC796}">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17" authorId="0" shapeId="0" xr:uid="{1FC2DD6A-A0E8-43A4-AFBC-BA73B7CA3AEE}">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17" authorId="0" shapeId="0" xr:uid="{BA7704EB-B029-41B8-A2B2-67FD3443D55A}">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17" authorId="0" shapeId="0" xr:uid="{0159C0DA-B7F9-4D9A-8256-10602C3BC861}">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17" authorId="0" shapeId="0" xr:uid="{11534DA3-9B9D-4BC4-BBC8-D46AC0E5B29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17" authorId="0" shapeId="0" xr:uid="{5F158F4D-B186-4189-BABC-B4034E9953E0}">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17" authorId="0" shapeId="0" xr:uid="{C61FB0A6-0F33-48A2-A11E-D4E0E9AD5527}">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17" authorId="0" shapeId="0" xr:uid="{BF426AA1-4FA8-4ADC-8E9F-2D81574693DF}">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17" authorId="0" shapeId="0" xr:uid="{BF70BEF9-14A7-43A4-97C4-CA369D52B734}">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17" authorId="0" shapeId="0" xr:uid="{F557F71F-EACC-4F47-8F2A-7116C2647874}">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17" authorId="0" shapeId="0" xr:uid="{B1DADC3C-50D7-4A7B-943D-E4F76943F5D1}">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17" authorId="0" shapeId="0" xr:uid="{36475624-C27E-440D-B14D-82B828F506A7}">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17" authorId="0" shapeId="0" xr:uid="{FED78AFD-6603-448B-BDD4-5B2A495A20C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18" authorId="0" shapeId="0" xr:uid="{B767E6D9-71B1-45E5-A561-AA22DF3D03DF}">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18" authorId="0" shapeId="0" xr:uid="{AF19E29F-71C4-4B70-A2D1-37D071102680}">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18" authorId="0" shapeId="0" xr:uid="{35F1E709-30CF-4D77-B015-A305B317793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18" authorId="0" shapeId="0" xr:uid="{7DEAFF71-BD93-4D9E-A7E5-A84376C3B8F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18" authorId="0" shapeId="0" xr:uid="{3A6B64A2-42A9-43BD-8D9B-484762639AC5}">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18" authorId="0" shapeId="0" xr:uid="{63E450A1-76C9-40B5-A54E-7AD7BA1E6954}">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18" authorId="0" shapeId="0" xr:uid="{42B2BFA6-0670-45C8-8B11-7CEF61EE1540}">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18" authorId="0" shapeId="0" xr:uid="{C66557EA-9487-45F9-80CA-B885120E5EBB}">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18" authorId="0" shapeId="0" xr:uid="{D7CECAD7-153C-4DE2-9D85-922C13E11482}">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18" authorId="0" shapeId="0" xr:uid="{507AF1C3-BF37-4D4B-A9E0-2AD5EE31A69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18" authorId="0" shapeId="0" xr:uid="{2A1010BD-24AC-4A48-BA7E-05BA1A16C9C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18" authorId="0" shapeId="0" xr:uid="{BBCA2CF2-1AC5-4F68-B1BF-3FF4A60B535D}">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18" authorId="0" shapeId="0" xr:uid="{3E0AE608-882E-4787-A472-7766211622C5}">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18" authorId="0" shapeId="0" xr:uid="{BF4A48B8-CE31-471D-A067-C5EEA3463AE1}">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18" authorId="0" shapeId="0" xr:uid="{DDF006E6-D9C5-43AF-86F1-6D4C73ACCF2C}">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18" authorId="0" shapeId="0" xr:uid="{3A2755ED-DFAE-4A91-84C3-0289B6210E9A}">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18" authorId="0" shapeId="0" xr:uid="{744C54FA-FEBE-4486-8C58-F7F0A9C093D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18" authorId="0" shapeId="0" xr:uid="{BB513B7F-D4B5-4423-A9D8-EAEEB117CA25}">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18" authorId="0" shapeId="0" xr:uid="{346B0253-7978-4AAD-A557-44AA9B62963D}">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18" authorId="0" shapeId="0" xr:uid="{88D8E77E-F3A7-4F6D-97FD-77441192B51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18" authorId="0" shapeId="0" xr:uid="{23027BEB-380F-48BD-8F34-85437047A562}">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18" authorId="0" shapeId="0" xr:uid="{81BEAF99-207A-4662-9D2D-BB897C4B127C}">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18" authorId="0" shapeId="0" xr:uid="{76F85CBA-EE40-405E-854C-BE0FF3F50E53}">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18" authorId="0" shapeId="0" xr:uid="{83979848-D8C8-4A78-ADBA-F41005EE99CC}">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19" authorId="0" shapeId="0" xr:uid="{5B77F0B7-9AE7-4961-AEA5-BD02F0D2E448}">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D19" authorId="0" shapeId="0" xr:uid="{7C5CBD49-0C74-4BC2-977E-8CF45A28961E}">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E19" authorId="0" shapeId="0" xr:uid="{930C8808-5C5D-4D50-8545-BBD2C3B60130}">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F19" authorId="0" shapeId="0" xr:uid="{6CFA6A1A-232F-4C84-8C60-998FE6477BAB}">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G19" authorId="0" shapeId="0" xr:uid="{6F60960B-698B-46BC-B05D-8F5EA01F8E93}">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H19" authorId="0" shapeId="0" xr:uid="{653B9F19-1268-4AF1-9E35-8E979C4591DF}">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I19" authorId="0" shapeId="0" xr:uid="{A31B54F2-51F6-4EAF-97F0-78E0B187EC22}">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J19" authorId="0" shapeId="0" xr:uid="{827DF2F5-2E4C-4C61-8664-616D252CE472}">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K19" authorId="0" shapeId="0" xr:uid="{F8BAAFDA-79F8-41E1-BCBA-92C767FA432C}">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L19" authorId="0" shapeId="0" xr:uid="{145588CC-B7B2-4BE9-B315-F64E9357D547}">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M19" authorId="0" shapeId="0" xr:uid="{394B6F1A-7EF1-4ED9-A0B2-27B00CC03280}">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N19" authorId="0" shapeId="0" xr:uid="{7C97AF6F-34DC-4CA7-B0DF-9EBDF915935A}">
      <text>
        <r>
          <rPr>
            <b/>
            <sz val="9"/>
            <color indexed="81"/>
            <rFont val="Tahoma"/>
            <family val="2"/>
          </rPr>
          <t>Potter, Daniel:</t>
        </r>
        <r>
          <rPr>
            <sz val="9"/>
            <color indexed="81"/>
            <rFont val="Tahoma"/>
            <family val="2"/>
          </rPr>
          <t xml:space="preserve">
 Based on 7/1/22 - 6/30/23 hourly DA LMPs at Hub. See "Calculation of TOD Market Prices - 2023 09 19.xlsx"</t>
        </r>
      </text>
    </comment>
    <comment ref="O19" authorId="0" shapeId="0" xr:uid="{DD6AE66B-B21B-464C-98E4-90AC91D81581}">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P19" authorId="0" shapeId="0" xr:uid="{7422073A-417D-49D3-AB54-AC3EB5F98149}">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Q19" authorId="0" shapeId="0" xr:uid="{C3D00815-B0DF-4B3D-A89A-A53649D6326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R19" authorId="0" shapeId="0" xr:uid="{3B40F8BF-D0F8-49F5-87C0-05EBE0D09F14}">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S19" authorId="0" shapeId="0" xr:uid="{B935C85E-E527-466B-B335-42908DDAD09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T19" authorId="0" shapeId="0" xr:uid="{718CE98A-26A4-4421-9F1E-6E0FFE805C56}">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U19" authorId="0" shapeId="0" xr:uid="{374012CF-9EDA-45A8-9932-BF76CD2FFC32}">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V19" authorId="0" shapeId="0" xr:uid="{E4E3885C-298D-4308-9955-8A62AD303A15}">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W19" authorId="0" shapeId="0" xr:uid="{3002CF72-CE3D-45F3-83CC-6B34E928A17F}">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X19" authorId="0" shapeId="0" xr:uid="{98EBE5AD-C8F9-43FE-AF8D-CB800DA864A0}">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Y19" authorId="0" shapeId="0" xr:uid="{16ED9EC6-3112-47AA-80A2-6DB4FA875EA0}">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Z19" authorId="0" shapeId="0" xr:uid="{35AE9A09-970C-4287-A5D4-DAB44E6DB433}">
      <text>
        <r>
          <rPr>
            <b/>
            <sz val="9"/>
            <color indexed="81"/>
            <rFont val="Tahoma"/>
            <family val="2"/>
          </rPr>
          <t>Potter, Daniel:</t>
        </r>
        <r>
          <rPr>
            <sz val="9"/>
            <color indexed="81"/>
            <rFont val="Tahoma"/>
            <family val="2"/>
          </rPr>
          <t xml:space="preserve">
 Based on 7/1/23 - 6/30/24 hourly DA LMPs at Hub. See "Calculation of TOD Market Prices - 2024 10 02.xlsx"</t>
        </r>
      </text>
    </comment>
    <comment ref="C40" authorId="0" shapeId="0" xr:uid="{E8178443-611D-4FD5-B194-B6BBA4D7BD14}">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D40" authorId="0" shapeId="0" xr:uid="{EB0E9868-47A6-4222-947D-5E1EBD0E54F7}">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E40" authorId="0" shapeId="0" xr:uid="{DFFF91BD-CBF6-4320-B185-7860C3F2F721}">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F40" authorId="0" shapeId="0" xr:uid="{3D4389CE-99E2-40E3-9043-024273AE18A9}">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G40" authorId="0" shapeId="0" xr:uid="{8F9ABD1F-2AD3-40F6-92E9-7EE0BB00F790}">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H40" authorId="0" shapeId="0" xr:uid="{ACFE8F9A-F306-4D93-88F9-63B7AA486617}">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I40" authorId="0" shapeId="0" xr:uid="{5442D37C-B9E2-4EC9-A1AB-61167151984B}">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J40" authorId="0" shapeId="0" xr:uid="{8BC665C8-B639-4784-B5EE-A73AF20CFF73}">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K40" authorId="0" shapeId="0" xr:uid="{3C3AAEB4-721C-472F-89C3-DF2D2C0D8BAF}">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L40" authorId="0" shapeId="0" xr:uid="{29024374-E8C1-4F37-A40B-40103772EBEC}">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M40" authorId="0" shapeId="0" xr:uid="{7745B1F3-1255-4B4F-82C9-74F4341E59D6}">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N40" authorId="0" shapeId="0" xr:uid="{C707CE32-1BB1-4D5D-A0E8-2C33D2D2BF68}">
      <text>
        <r>
          <rPr>
            <b/>
            <sz val="9"/>
            <color indexed="81"/>
            <rFont val="Tahoma"/>
            <family val="2"/>
          </rPr>
          <t>Potter, Daniel:</t>
        </r>
        <r>
          <rPr>
            <sz val="9"/>
            <color indexed="81"/>
            <rFont val="Tahoma"/>
            <family val="2"/>
          </rPr>
          <t xml:space="preserve">
Loads held flat at 2024 levels, except for Feb, which was adjusted to account for Leap Day.  Added Leap day back in for 2028.  </t>
        </r>
      </text>
    </comment>
    <comment ref="O40" authorId="0" shapeId="0" xr:uid="{4A4F287F-82CF-46D3-B4AD-727853F74596}">
      <text>
        <r>
          <rPr>
            <b/>
            <sz val="9"/>
            <color indexed="81"/>
            <rFont val="Tahoma"/>
            <family val="2"/>
          </rPr>
          <t>Potter, Daniel:</t>
        </r>
        <r>
          <rPr>
            <sz val="9"/>
            <color indexed="81"/>
            <rFont val="Tahoma"/>
            <family val="2"/>
          </rPr>
          <t xml:space="preserve">
TY Actuals. July 2023 - June 2024</t>
        </r>
      </text>
    </comment>
    <comment ref="P40" authorId="0" shapeId="0" xr:uid="{6BC74DEE-8AFE-414A-A018-2C1DE551D014}">
      <text>
        <r>
          <rPr>
            <b/>
            <sz val="9"/>
            <color indexed="81"/>
            <rFont val="Tahoma"/>
            <family val="2"/>
          </rPr>
          <t>Potter, Daniel:</t>
        </r>
        <r>
          <rPr>
            <sz val="9"/>
            <color indexed="81"/>
            <rFont val="Tahoma"/>
            <family val="2"/>
          </rPr>
          <t xml:space="preserve">
TY Actuals. July 2023 - June 2024</t>
        </r>
      </text>
    </comment>
    <comment ref="Q40" authorId="0" shapeId="0" xr:uid="{195DD78A-50DB-4FA2-A76F-BA0C8FB5FB92}">
      <text>
        <r>
          <rPr>
            <b/>
            <sz val="9"/>
            <color indexed="81"/>
            <rFont val="Tahoma"/>
            <family val="2"/>
          </rPr>
          <t>Potter, Daniel:</t>
        </r>
        <r>
          <rPr>
            <sz val="9"/>
            <color indexed="81"/>
            <rFont val="Tahoma"/>
            <family val="2"/>
          </rPr>
          <t xml:space="preserve">
TY Actuals. July 2023 - June 2024</t>
        </r>
      </text>
    </comment>
    <comment ref="R40" authorId="0" shapeId="0" xr:uid="{EE5BCE29-00EC-435D-8328-E843586F5FC3}">
      <text>
        <r>
          <rPr>
            <b/>
            <sz val="9"/>
            <color indexed="81"/>
            <rFont val="Tahoma"/>
            <family val="2"/>
          </rPr>
          <t>Potter, Daniel:</t>
        </r>
        <r>
          <rPr>
            <sz val="9"/>
            <color indexed="81"/>
            <rFont val="Tahoma"/>
            <family val="2"/>
          </rPr>
          <t xml:space="preserve">
TY Actuals. July 2023 - June 2024</t>
        </r>
      </text>
    </comment>
    <comment ref="S40" authorId="0" shapeId="0" xr:uid="{DBBE4A8A-44E2-4651-8A31-FB0CA732728F}">
      <text>
        <r>
          <rPr>
            <b/>
            <sz val="9"/>
            <color indexed="81"/>
            <rFont val="Tahoma"/>
            <family val="2"/>
          </rPr>
          <t>Potter, Daniel:</t>
        </r>
        <r>
          <rPr>
            <sz val="9"/>
            <color indexed="81"/>
            <rFont val="Tahoma"/>
            <family val="2"/>
          </rPr>
          <t xml:space="preserve">
TY Actuals. July 2023 - June 2024</t>
        </r>
      </text>
    </comment>
    <comment ref="T40" authorId="0" shapeId="0" xr:uid="{7756344E-99C7-4501-ABBD-ACB86F21EDCC}">
      <text>
        <r>
          <rPr>
            <b/>
            <sz val="9"/>
            <color indexed="81"/>
            <rFont val="Tahoma"/>
            <family val="2"/>
          </rPr>
          <t>Potter, Daniel:</t>
        </r>
        <r>
          <rPr>
            <sz val="9"/>
            <color indexed="81"/>
            <rFont val="Tahoma"/>
            <family val="2"/>
          </rPr>
          <t xml:space="preserve">
TY Actuals. July 2023 - June 2024</t>
        </r>
      </text>
    </comment>
    <comment ref="U40" authorId="0" shapeId="0" xr:uid="{3CFE30DA-3703-4F8D-A414-BE3E16E5B268}">
      <text>
        <r>
          <rPr>
            <b/>
            <sz val="9"/>
            <color indexed="81"/>
            <rFont val="Tahoma"/>
            <family val="2"/>
          </rPr>
          <t>Potter, Daniel:</t>
        </r>
        <r>
          <rPr>
            <sz val="9"/>
            <color indexed="81"/>
            <rFont val="Tahoma"/>
            <family val="2"/>
          </rPr>
          <t xml:space="preserve">
TY Actuals. July 2023 - June 2024</t>
        </r>
      </text>
    </comment>
    <comment ref="V40" authorId="0" shapeId="0" xr:uid="{C1AFCEEA-5B22-43BD-8AD5-DB0A7F70F7D5}">
      <text>
        <r>
          <rPr>
            <b/>
            <sz val="9"/>
            <color indexed="81"/>
            <rFont val="Tahoma"/>
            <family val="2"/>
          </rPr>
          <t>Potter, Daniel:</t>
        </r>
        <r>
          <rPr>
            <sz val="9"/>
            <color indexed="81"/>
            <rFont val="Tahoma"/>
            <family val="2"/>
          </rPr>
          <t xml:space="preserve">
TY Actuals. July 2023 - June 2024</t>
        </r>
      </text>
    </comment>
    <comment ref="W40" authorId="0" shapeId="0" xr:uid="{39623080-7DCC-4235-952E-427E83F98D56}">
      <text>
        <r>
          <rPr>
            <b/>
            <sz val="9"/>
            <color indexed="81"/>
            <rFont val="Tahoma"/>
            <family val="2"/>
          </rPr>
          <t>Potter, Daniel:</t>
        </r>
        <r>
          <rPr>
            <sz val="9"/>
            <color indexed="81"/>
            <rFont val="Tahoma"/>
            <family val="2"/>
          </rPr>
          <t xml:space="preserve">
TY Actuals. July 2023 - June 2024</t>
        </r>
      </text>
    </comment>
    <comment ref="X40" authorId="0" shapeId="0" xr:uid="{C49B8FD2-8E06-4440-B245-B7F2E7BBF2A2}">
      <text>
        <r>
          <rPr>
            <b/>
            <sz val="9"/>
            <color indexed="81"/>
            <rFont val="Tahoma"/>
            <family val="2"/>
          </rPr>
          <t>Potter, Daniel:</t>
        </r>
        <r>
          <rPr>
            <sz val="9"/>
            <color indexed="81"/>
            <rFont val="Tahoma"/>
            <family val="2"/>
          </rPr>
          <t xml:space="preserve">
TY Actuals. July 2023 - June 2024</t>
        </r>
      </text>
    </comment>
    <comment ref="Y40" authorId="0" shapeId="0" xr:uid="{003C72AD-6386-4AE8-9347-94BF4A9E2E74}">
      <text>
        <r>
          <rPr>
            <b/>
            <sz val="9"/>
            <color indexed="81"/>
            <rFont val="Tahoma"/>
            <family val="2"/>
          </rPr>
          <t>Potter, Daniel:</t>
        </r>
        <r>
          <rPr>
            <sz val="9"/>
            <color indexed="81"/>
            <rFont val="Tahoma"/>
            <family val="2"/>
          </rPr>
          <t xml:space="preserve">
TY Actuals. July 2023 - June 2024</t>
        </r>
      </text>
    </comment>
    <comment ref="Z40" authorId="0" shapeId="0" xr:uid="{77E71246-39AE-4A26-A901-CB133D2FB807}">
      <text>
        <r>
          <rPr>
            <b/>
            <sz val="9"/>
            <color indexed="81"/>
            <rFont val="Tahoma"/>
            <family val="2"/>
          </rPr>
          <t>Potter, Daniel:</t>
        </r>
        <r>
          <rPr>
            <sz val="9"/>
            <color indexed="81"/>
            <rFont val="Tahoma"/>
            <family val="2"/>
          </rPr>
          <t xml:space="preserve">
TY Actuals. July 2023 - June 2024</t>
        </r>
      </text>
    </comment>
    <comment ref="C49" authorId="0" shapeId="0" xr:uid="{F47D3B42-5BB6-4E8A-B22D-5DB3FACF6075}">
      <text>
        <r>
          <rPr>
            <b/>
            <sz val="9"/>
            <color indexed="81"/>
            <rFont val="Tahoma"/>
            <family val="2"/>
          </rPr>
          <t>Potter, Daniel:</t>
        </r>
        <r>
          <rPr>
            <sz val="9"/>
            <color indexed="81"/>
            <rFont val="Tahoma"/>
            <family val="2"/>
          </rPr>
          <t xml:space="preserve">
Based on Amerex broker sheet dated 8/11/23</t>
        </r>
      </text>
    </comment>
    <comment ref="D49" authorId="0" shapeId="0" xr:uid="{CDE49C3A-2B20-46FA-863B-C397A0BE489D}">
      <text>
        <r>
          <rPr>
            <b/>
            <sz val="9"/>
            <color indexed="81"/>
            <rFont val="Tahoma"/>
            <family val="2"/>
          </rPr>
          <t>Potter, Daniel:</t>
        </r>
        <r>
          <rPr>
            <sz val="9"/>
            <color indexed="81"/>
            <rFont val="Tahoma"/>
            <family val="2"/>
          </rPr>
          <t xml:space="preserve">
Based on Amerex broker sheet dated 8/11/23</t>
        </r>
      </text>
    </comment>
    <comment ref="E49" authorId="0" shapeId="0" xr:uid="{56E9B234-9E96-4673-AE1C-776568452E46}">
      <text>
        <r>
          <rPr>
            <b/>
            <sz val="9"/>
            <color indexed="81"/>
            <rFont val="Tahoma"/>
            <family val="2"/>
          </rPr>
          <t>Potter, Daniel:</t>
        </r>
        <r>
          <rPr>
            <sz val="9"/>
            <color indexed="81"/>
            <rFont val="Tahoma"/>
            <family val="2"/>
          </rPr>
          <t xml:space="preserve">
Based on Amerex broker sheet dated 8/11/23</t>
        </r>
      </text>
    </comment>
    <comment ref="F49" authorId="0" shapeId="0" xr:uid="{FA5FDC26-09E5-407F-A0BA-A1ED652940A3}">
      <text>
        <r>
          <rPr>
            <b/>
            <sz val="9"/>
            <color indexed="81"/>
            <rFont val="Tahoma"/>
            <family val="2"/>
          </rPr>
          <t>Potter, Daniel:</t>
        </r>
        <r>
          <rPr>
            <sz val="9"/>
            <color indexed="81"/>
            <rFont val="Tahoma"/>
            <family val="2"/>
          </rPr>
          <t xml:space="preserve">
Based on Amerex broker sheet dated 8/11/23</t>
        </r>
      </text>
    </comment>
    <comment ref="G49" authorId="0" shapeId="0" xr:uid="{9011DE70-2766-43FC-8F90-C91D815280CC}">
      <text>
        <r>
          <rPr>
            <b/>
            <sz val="9"/>
            <color indexed="81"/>
            <rFont val="Tahoma"/>
            <family val="2"/>
          </rPr>
          <t>Potter, Daniel:</t>
        </r>
        <r>
          <rPr>
            <sz val="9"/>
            <color indexed="81"/>
            <rFont val="Tahoma"/>
            <family val="2"/>
          </rPr>
          <t xml:space="preserve">
Based on Amerex broker sheet dated 8/11/23</t>
        </r>
      </text>
    </comment>
    <comment ref="H49" authorId="0" shapeId="0" xr:uid="{E18E5192-3DD1-4E9B-AEF7-3FAF0742555D}">
      <text>
        <r>
          <rPr>
            <b/>
            <sz val="9"/>
            <color indexed="81"/>
            <rFont val="Tahoma"/>
            <family val="2"/>
          </rPr>
          <t>Potter, Daniel:</t>
        </r>
        <r>
          <rPr>
            <sz val="9"/>
            <color indexed="81"/>
            <rFont val="Tahoma"/>
            <family val="2"/>
          </rPr>
          <t xml:space="preserve">
Based on Amerex broker sheet dated 8/11/23</t>
        </r>
      </text>
    </comment>
    <comment ref="I49" authorId="0" shapeId="0" xr:uid="{18099423-DBD7-4BD2-A30B-E4AED840BB4B}">
      <text>
        <r>
          <rPr>
            <b/>
            <sz val="9"/>
            <color indexed="81"/>
            <rFont val="Tahoma"/>
            <family val="2"/>
          </rPr>
          <t>Potter, Daniel:</t>
        </r>
        <r>
          <rPr>
            <sz val="9"/>
            <color indexed="81"/>
            <rFont val="Tahoma"/>
            <family val="2"/>
          </rPr>
          <t xml:space="preserve">
Based on Amerex broker sheet dated 8/11/23</t>
        </r>
      </text>
    </comment>
    <comment ref="J49" authorId="0" shapeId="0" xr:uid="{D17FBA87-F607-44E5-B687-3612F2C25608}">
      <text>
        <r>
          <rPr>
            <b/>
            <sz val="9"/>
            <color indexed="81"/>
            <rFont val="Tahoma"/>
            <family val="2"/>
          </rPr>
          <t>Potter, Daniel:</t>
        </r>
        <r>
          <rPr>
            <sz val="9"/>
            <color indexed="81"/>
            <rFont val="Tahoma"/>
            <family val="2"/>
          </rPr>
          <t xml:space="preserve">
Based on Amerex broker sheet dated 8/11/23</t>
        </r>
      </text>
    </comment>
    <comment ref="K49" authorId="0" shapeId="0" xr:uid="{2F7DE14E-8374-4038-9AA1-6CA344DBA4E4}">
      <text>
        <r>
          <rPr>
            <b/>
            <sz val="9"/>
            <color indexed="81"/>
            <rFont val="Tahoma"/>
            <family val="2"/>
          </rPr>
          <t>Potter, Daniel:</t>
        </r>
        <r>
          <rPr>
            <sz val="9"/>
            <color indexed="81"/>
            <rFont val="Tahoma"/>
            <family val="2"/>
          </rPr>
          <t xml:space="preserve">
Based on Amerex broker sheet dated 8/11/23</t>
        </r>
      </text>
    </comment>
    <comment ref="L49" authorId="0" shapeId="0" xr:uid="{9878A672-C20D-4265-B5CC-20A6D0753B85}">
      <text>
        <r>
          <rPr>
            <b/>
            <sz val="9"/>
            <color indexed="81"/>
            <rFont val="Tahoma"/>
            <family val="2"/>
          </rPr>
          <t>Potter, Daniel:</t>
        </r>
        <r>
          <rPr>
            <sz val="9"/>
            <color indexed="81"/>
            <rFont val="Tahoma"/>
            <family val="2"/>
          </rPr>
          <t xml:space="preserve">
Based on Amerex broker sheet dated 8/11/23</t>
        </r>
      </text>
    </comment>
    <comment ref="M49" authorId="0" shapeId="0" xr:uid="{20DF334A-C56D-4D27-BB0B-976060A27EA1}">
      <text>
        <r>
          <rPr>
            <b/>
            <sz val="9"/>
            <color indexed="81"/>
            <rFont val="Tahoma"/>
            <family val="2"/>
          </rPr>
          <t>Potter, Daniel:</t>
        </r>
        <r>
          <rPr>
            <sz val="9"/>
            <color indexed="81"/>
            <rFont val="Tahoma"/>
            <family val="2"/>
          </rPr>
          <t xml:space="preserve">
Based on Amerex broker sheet dated 8/11/23</t>
        </r>
      </text>
    </comment>
    <comment ref="N49" authorId="0" shapeId="0" xr:uid="{97B45CAC-F5A2-4888-81B1-DB5BA4E4CF7B}">
      <text>
        <r>
          <rPr>
            <b/>
            <sz val="9"/>
            <color indexed="81"/>
            <rFont val="Tahoma"/>
            <family val="2"/>
          </rPr>
          <t>Potter, Daniel:</t>
        </r>
        <r>
          <rPr>
            <sz val="9"/>
            <color indexed="81"/>
            <rFont val="Tahoma"/>
            <family val="2"/>
          </rPr>
          <t xml:space="preserve">
Based on Amerex broker sheet dated 8/11/23</t>
        </r>
      </text>
    </comment>
    <comment ref="O49" authorId="0" shapeId="0" xr:uid="{6B2DCF53-7F16-40B2-9436-D3F3123D9B31}">
      <text>
        <r>
          <rPr>
            <b/>
            <sz val="9"/>
            <color indexed="81"/>
            <rFont val="Tahoma"/>
            <family val="2"/>
          </rPr>
          <t>Potter, Daniel:</t>
        </r>
        <r>
          <rPr>
            <sz val="9"/>
            <color indexed="81"/>
            <rFont val="Tahoma"/>
            <family val="2"/>
          </rPr>
          <t xml:space="preserve">
Amerex Broker sheet 5/06/24</t>
        </r>
      </text>
    </comment>
    <comment ref="P49" authorId="0" shapeId="0" xr:uid="{D2BF739B-5164-47A9-AD5E-9AA3076E8991}">
      <text>
        <r>
          <rPr>
            <b/>
            <sz val="9"/>
            <color indexed="81"/>
            <rFont val="Tahoma"/>
            <family val="2"/>
          </rPr>
          <t>Potter, Daniel:</t>
        </r>
        <r>
          <rPr>
            <sz val="9"/>
            <color indexed="81"/>
            <rFont val="Tahoma"/>
            <family val="2"/>
          </rPr>
          <t xml:space="preserve">
Amerex Broker sheet 5/06/24</t>
        </r>
      </text>
    </comment>
    <comment ref="Q49" authorId="0" shapeId="0" xr:uid="{039DBD7C-1A98-42FC-90CB-7B3674D7EA9E}">
      <text>
        <r>
          <rPr>
            <b/>
            <sz val="9"/>
            <color indexed="81"/>
            <rFont val="Tahoma"/>
            <family val="2"/>
          </rPr>
          <t>Potter, Daniel:</t>
        </r>
        <r>
          <rPr>
            <sz val="9"/>
            <color indexed="81"/>
            <rFont val="Tahoma"/>
            <family val="2"/>
          </rPr>
          <t xml:space="preserve">
Amerex Broker sheet 5/06/24</t>
        </r>
      </text>
    </comment>
    <comment ref="R49" authorId="0" shapeId="0" xr:uid="{CFBB8D43-C62C-4DE9-919F-C3587AC939DE}">
      <text>
        <r>
          <rPr>
            <b/>
            <sz val="9"/>
            <color indexed="81"/>
            <rFont val="Tahoma"/>
            <family val="2"/>
          </rPr>
          <t>Potter, Daniel:</t>
        </r>
        <r>
          <rPr>
            <sz val="9"/>
            <color indexed="81"/>
            <rFont val="Tahoma"/>
            <family val="2"/>
          </rPr>
          <t xml:space="preserve">
Amerex Broker sheet 5/06/24</t>
        </r>
      </text>
    </comment>
    <comment ref="S49" authorId="0" shapeId="0" xr:uid="{560D8048-AE2E-496A-8259-798595C65CD1}">
      <text>
        <r>
          <rPr>
            <b/>
            <sz val="9"/>
            <color indexed="81"/>
            <rFont val="Tahoma"/>
            <family val="2"/>
          </rPr>
          <t>Potter, Daniel:</t>
        </r>
        <r>
          <rPr>
            <sz val="9"/>
            <color indexed="81"/>
            <rFont val="Tahoma"/>
            <family val="2"/>
          </rPr>
          <t xml:space="preserve">
Amerex Broker sheet 5/06/24</t>
        </r>
      </text>
    </comment>
    <comment ref="T49" authorId="0" shapeId="0" xr:uid="{4082EE76-309A-4D94-A74F-3C8FE4E749D9}">
      <text>
        <r>
          <rPr>
            <b/>
            <sz val="9"/>
            <color indexed="81"/>
            <rFont val="Tahoma"/>
            <family val="2"/>
          </rPr>
          <t>Potter, Daniel:</t>
        </r>
        <r>
          <rPr>
            <sz val="9"/>
            <color indexed="81"/>
            <rFont val="Tahoma"/>
            <family val="2"/>
          </rPr>
          <t xml:space="preserve">
Amerex Broker sheet 5/06/24</t>
        </r>
      </text>
    </comment>
    <comment ref="U49" authorId="0" shapeId="0" xr:uid="{C13AC744-B467-4F2A-B0DB-6B450CD8DAF1}">
      <text>
        <r>
          <rPr>
            <b/>
            <sz val="9"/>
            <color indexed="81"/>
            <rFont val="Tahoma"/>
            <family val="2"/>
          </rPr>
          <t>Potter, Daniel:</t>
        </r>
        <r>
          <rPr>
            <sz val="9"/>
            <color indexed="81"/>
            <rFont val="Tahoma"/>
            <family val="2"/>
          </rPr>
          <t xml:space="preserve">
Amerex Broker sheet 5/06/24</t>
        </r>
      </text>
    </comment>
    <comment ref="V49" authorId="0" shapeId="0" xr:uid="{F8FD08EA-D29F-468F-9B9B-9D977472180A}">
      <text>
        <r>
          <rPr>
            <b/>
            <sz val="9"/>
            <color indexed="81"/>
            <rFont val="Tahoma"/>
            <family val="2"/>
          </rPr>
          <t>Potter, Daniel:</t>
        </r>
        <r>
          <rPr>
            <sz val="9"/>
            <color indexed="81"/>
            <rFont val="Tahoma"/>
            <family val="2"/>
          </rPr>
          <t xml:space="preserve">
Amerex Broker sheet 5/06/24</t>
        </r>
      </text>
    </comment>
    <comment ref="W49" authorId="0" shapeId="0" xr:uid="{5D7C4CB7-AB3F-4728-9143-7F956A7052B0}">
      <text>
        <r>
          <rPr>
            <b/>
            <sz val="9"/>
            <color indexed="81"/>
            <rFont val="Tahoma"/>
            <family val="2"/>
          </rPr>
          <t>Potter, Daniel:</t>
        </r>
        <r>
          <rPr>
            <sz val="9"/>
            <color indexed="81"/>
            <rFont val="Tahoma"/>
            <family val="2"/>
          </rPr>
          <t xml:space="preserve">
Amerex Broker sheet 5/06/24</t>
        </r>
      </text>
    </comment>
    <comment ref="X49" authorId="0" shapeId="0" xr:uid="{F9612241-AD46-4CB5-9025-4D9B207566BC}">
      <text>
        <r>
          <rPr>
            <b/>
            <sz val="9"/>
            <color indexed="81"/>
            <rFont val="Tahoma"/>
            <family val="2"/>
          </rPr>
          <t>Potter, Daniel:</t>
        </r>
        <r>
          <rPr>
            <sz val="9"/>
            <color indexed="81"/>
            <rFont val="Tahoma"/>
            <family val="2"/>
          </rPr>
          <t xml:space="preserve">
Amerex Broker sheet 5/06/24</t>
        </r>
      </text>
    </comment>
    <comment ref="Y49" authorId="0" shapeId="0" xr:uid="{23A9A04C-D769-4608-8551-62EC12E02CEA}">
      <text>
        <r>
          <rPr>
            <b/>
            <sz val="9"/>
            <color indexed="81"/>
            <rFont val="Tahoma"/>
            <family val="2"/>
          </rPr>
          <t>Potter, Daniel:</t>
        </r>
        <r>
          <rPr>
            <sz val="9"/>
            <color indexed="81"/>
            <rFont val="Tahoma"/>
            <family val="2"/>
          </rPr>
          <t xml:space="preserve">
Amerex Broker sheet 5/06/24</t>
        </r>
      </text>
    </comment>
    <comment ref="Z49" authorId="0" shapeId="0" xr:uid="{1465F8E6-4679-492A-9DCF-A8FD1F6D7C54}">
      <text>
        <r>
          <rPr>
            <b/>
            <sz val="9"/>
            <color indexed="81"/>
            <rFont val="Tahoma"/>
            <family val="2"/>
          </rPr>
          <t>Potter, Daniel:</t>
        </r>
        <r>
          <rPr>
            <sz val="9"/>
            <color indexed="81"/>
            <rFont val="Tahoma"/>
            <family val="2"/>
          </rPr>
          <t xml:space="preserve">
Amerex Broker sheet 5/06/24</t>
        </r>
      </text>
    </comment>
    <comment ref="C50" authorId="0" shapeId="0" xr:uid="{3E893BF3-5B74-441F-8CC4-D083D282C03E}">
      <text>
        <r>
          <rPr>
            <b/>
            <sz val="9"/>
            <color indexed="81"/>
            <rFont val="Tahoma"/>
            <family val="2"/>
          </rPr>
          <t>Potter, Daniel:</t>
        </r>
        <r>
          <rPr>
            <sz val="9"/>
            <color indexed="81"/>
            <rFont val="Tahoma"/>
            <family val="2"/>
          </rPr>
          <t xml:space="preserve">
Assumed same price as MA 1</t>
        </r>
      </text>
    </comment>
    <comment ref="D50" authorId="0" shapeId="0" xr:uid="{96DDD2ED-FF5D-457F-9F64-C687D8DEF1AD}">
      <text>
        <r>
          <rPr>
            <b/>
            <sz val="9"/>
            <color indexed="81"/>
            <rFont val="Tahoma"/>
            <family val="2"/>
          </rPr>
          <t>Potter, Daniel:</t>
        </r>
        <r>
          <rPr>
            <sz val="9"/>
            <color indexed="81"/>
            <rFont val="Tahoma"/>
            <family val="2"/>
          </rPr>
          <t xml:space="preserve">
Assumed same price as MA 1</t>
        </r>
      </text>
    </comment>
    <comment ref="E50" authorId="0" shapeId="0" xr:uid="{B5895377-7EA7-4FD6-8C11-A5FF297A98E9}">
      <text>
        <r>
          <rPr>
            <b/>
            <sz val="9"/>
            <color indexed="81"/>
            <rFont val="Tahoma"/>
            <family val="2"/>
          </rPr>
          <t>Potter, Daniel:</t>
        </r>
        <r>
          <rPr>
            <sz val="9"/>
            <color indexed="81"/>
            <rFont val="Tahoma"/>
            <family val="2"/>
          </rPr>
          <t xml:space="preserve">
Assumed same price as MA 1</t>
        </r>
      </text>
    </comment>
    <comment ref="F50" authorId="0" shapeId="0" xr:uid="{64AC2109-EC5F-416D-A8EE-DCADD1C60343}">
      <text>
        <r>
          <rPr>
            <b/>
            <sz val="9"/>
            <color indexed="81"/>
            <rFont val="Tahoma"/>
            <family val="2"/>
          </rPr>
          <t>Potter, Daniel:</t>
        </r>
        <r>
          <rPr>
            <sz val="9"/>
            <color indexed="81"/>
            <rFont val="Tahoma"/>
            <family val="2"/>
          </rPr>
          <t xml:space="preserve">
Assumed same price as MA 1</t>
        </r>
      </text>
    </comment>
    <comment ref="G50" authorId="0" shapeId="0" xr:uid="{D7A559E1-57AF-405C-9567-81080AA550DB}">
      <text>
        <r>
          <rPr>
            <b/>
            <sz val="9"/>
            <color indexed="81"/>
            <rFont val="Tahoma"/>
            <family val="2"/>
          </rPr>
          <t>Potter, Daniel:</t>
        </r>
        <r>
          <rPr>
            <sz val="9"/>
            <color indexed="81"/>
            <rFont val="Tahoma"/>
            <family val="2"/>
          </rPr>
          <t xml:space="preserve">
Assumed same price as MA 1</t>
        </r>
      </text>
    </comment>
    <comment ref="H50" authorId="0" shapeId="0" xr:uid="{1DA84F4D-FB73-4AA3-BEFB-FEACD0CB5B14}">
      <text>
        <r>
          <rPr>
            <b/>
            <sz val="9"/>
            <color indexed="81"/>
            <rFont val="Tahoma"/>
            <family val="2"/>
          </rPr>
          <t>Potter, Daniel:</t>
        </r>
        <r>
          <rPr>
            <sz val="9"/>
            <color indexed="81"/>
            <rFont val="Tahoma"/>
            <family val="2"/>
          </rPr>
          <t xml:space="preserve">
Assumed same price as MA 1</t>
        </r>
      </text>
    </comment>
    <comment ref="I50" authorId="0" shapeId="0" xr:uid="{29F6C2D4-99CA-47BF-8C03-51032CE8E636}">
      <text>
        <r>
          <rPr>
            <b/>
            <sz val="9"/>
            <color indexed="81"/>
            <rFont val="Tahoma"/>
            <family val="2"/>
          </rPr>
          <t>Potter, Daniel:</t>
        </r>
        <r>
          <rPr>
            <sz val="9"/>
            <color indexed="81"/>
            <rFont val="Tahoma"/>
            <family val="2"/>
          </rPr>
          <t xml:space="preserve">
Assumed same price as MA 1</t>
        </r>
      </text>
    </comment>
    <comment ref="J50" authorId="0" shapeId="0" xr:uid="{32150119-10E3-46B5-9719-DC9B910ED9BA}">
      <text>
        <r>
          <rPr>
            <b/>
            <sz val="9"/>
            <color indexed="81"/>
            <rFont val="Tahoma"/>
            <family val="2"/>
          </rPr>
          <t>Potter, Daniel:</t>
        </r>
        <r>
          <rPr>
            <sz val="9"/>
            <color indexed="81"/>
            <rFont val="Tahoma"/>
            <family val="2"/>
          </rPr>
          <t xml:space="preserve">
Assumed same price as MA 1</t>
        </r>
      </text>
    </comment>
    <comment ref="K50" authorId="0" shapeId="0" xr:uid="{6C1D8E8C-6078-4A6E-B34F-EE57AFFD48C5}">
      <text>
        <r>
          <rPr>
            <b/>
            <sz val="9"/>
            <color indexed="81"/>
            <rFont val="Tahoma"/>
            <family val="2"/>
          </rPr>
          <t>Potter, Daniel:</t>
        </r>
        <r>
          <rPr>
            <sz val="9"/>
            <color indexed="81"/>
            <rFont val="Tahoma"/>
            <family val="2"/>
          </rPr>
          <t xml:space="preserve">
Assumed same price as MA 1</t>
        </r>
      </text>
    </comment>
    <comment ref="L50" authorId="0" shapeId="0" xr:uid="{8ECAE980-23CF-4B3C-8194-070A91D96649}">
      <text>
        <r>
          <rPr>
            <b/>
            <sz val="9"/>
            <color indexed="81"/>
            <rFont val="Tahoma"/>
            <family val="2"/>
          </rPr>
          <t>Potter, Daniel:</t>
        </r>
        <r>
          <rPr>
            <sz val="9"/>
            <color indexed="81"/>
            <rFont val="Tahoma"/>
            <family val="2"/>
          </rPr>
          <t xml:space="preserve">
Assumed same price as MA 1</t>
        </r>
      </text>
    </comment>
    <comment ref="M50" authorId="0" shapeId="0" xr:uid="{C7C13DCE-7906-4EA8-816E-5B83A7081E3A}">
      <text>
        <r>
          <rPr>
            <b/>
            <sz val="9"/>
            <color indexed="81"/>
            <rFont val="Tahoma"/>
            <family val="2"/>
          </rPr>
          <t>Potter, Daniel:</t>
        </r>
        <r>
          <rPr>
            <sz val="9"/>
            <color indexed="81"/>
            <rFont val="Tahoma"/>
            <family val="2"/>
          </rPr>
          <t xml:space="preserve">
Assumed same price as MA 1</t>
        </r>
      </text>
    </comment>
    <comment ref="N50" authorId="0" shapeId="0" xr:uid="{2DE45F94-11A5-4C8D-99EC-16F80AD3BBCC}">
      <text>
        <r>
          <rPr>
            <b/>
            <sz val="9"/>
            <color indexed="81"/>
            <rFont val="Tahoma"/>
            <family val="2"/>
          </rPr>
          <t>Potter, Daniel:</t>
        </r>
        <r>
          <rPr>
            <sz val="9"/>
            <color indexed="81"/>
            <rFont val="Tahoma"/>
            <family val="2"/>
          </rPr>
          <t xml:space="preserve">
Assumed same price as MA 1</t>
        </r>
      </text>
    </comment>
    <comment ref="O50" authorId="0" shapeId="0" xr:uid="{6CA83737-B228-4463-9A02-AD179A10C1F9}">
      <text>
        <r>
          <rPr>
            <b/>
            <sz val="9"/>
            <color indexed="81"/>
            <rFont val="Tahoma"/>
            <family val="2"/>
          </rPr>
          <t>Potter, Daniel:</t>
        </r>
        <r>
          <rPr>
            <sz val="9"/>
            <color indexed="81"/>
            <rFont val="Tahoma"/>
            <family val="2"/>
          </rPr>
          <t xml:space="preserve">
Assumed same price as MA 1</t>
        </r>
      </text>
    </comment>
    <comment ref="P50" authorId="0" shapeId="0" xr:uid="{326A98C5-8CA6-497B-BE49-ACF91BFDBC52}">
      <text>
        <r>
          <rPr>
            <b/>
            <sz val="9"/>
            <color indexed="81"/>
            <rFont val="Tahoma"/>
            <family val="2"/>
          </rPr>
          <t>Potter, Daniel:</t>
        </r>
        <r>
          <rPr>
            <sz val="9"/>
            <color indexed="81"/>
            <rFont val="Tahoma"/>
            <family val="2"/>
          </rPr>
          <t xml:space="preserve">
Assumed same price as MA 1</t>
        </r>
      </text>
    </comment>
    <comment ref="Q50" authorId="0" shapeId="0" xr:uid="{3D535EE8-1FAB-4ACB-A3F7-B544329D1F45}">
      <text>
        <r>
          <rPr>
            <b/>
            <sz val="9"/>
            <color indexed="81"/>
            <rFont val="Tahoma"/>
            <family val="2"/>
          </rPr>
          <t>Potter, Daniel:</t>
        </r>
        <r>
          <rPr>
            <sz val="9"/>
            <color indexed="81"/>
            <rFont val="Tahoma"/>
            <family val="2"/>
          </rPr>
          <t xml:space="preserve">
Assumed same price as MA 1</t>
        </r>
      </text>
    </comment>
    <comment ref="R50" authorId="0" shapeId="0" xr:uid="{9CB1586A-9F55-4C80-8F8D-C938E025CC56}">
      <text>
        <r>
          <rPr>
            <b/>
            <sz val="9"/>
            <color indexed="81"/>
            <rFont val="Tahoma"/>
            <family val="2"/>
          </rPr>
          <t>Potter, Daniel:</t>
        </r>
        <r>
          <rPr>
            <sz val="9"/>
            <color indexed="81"/>
            <rFont val="Tahoma"/>
            <family val="2"/>
          </rPr>
          <t xml:space="preserve">
Assumed same price as MA 1</t>
        </r>
      </text>
    </comment>
    <comment ref="S50" authorId="0" shapeId="0" xr:uid="{C8A6AB9E-3DF4-4A59-AEAF-21A3669BEB7A}">
      <text>
        <r>
          <rPr>
            <b/>
            <sz val="9"/>
            <color indexed="81"/>
            <rFont val="Tahoma"/>
            <family val="2"/>
          </rPr>
          <t>Potter, Daniel:</t>
        </r>
        <r>
          <rPr>
            <sz val="9"/>
            <color indexed="81"/>
            <rFont val="Tahoma"/>
            <family val="2"/>
          </rPr>
          <t xml:space="preserve">
Assumed same price as MA 1</t>
        </r>
      </text>
    </comment>
    <comment ref="T50" authorId="0" shapeId="0" xr:uid="{3AEB915B-84CA-41B7-A088-2D0242964A7C}">
      <text>
        <r>
          <rPr>
            <b/>
            <sz val="9"/>
            <color indexed="81"/>
            <rFont val="Tahoma"/>
            <family val="2"/>
          </rPr>
          <t>Potter, Daniel:</t>
        </r>
        <r>
          <rPr>
            <sz val="9"/>
            <color indexed="81"/>
            <rFont val="Tahoma"/>
            <family val="2"/>
          </rPr>
          <t xml:space="preserve">
Assumed same price as MA 1</t>
        </r>
      </text>
    </comment>
    <comment ref="U50" authorId="0" shapeId="0" xr:uid="{981F407E-35CA-436C-962D-9E3D704ADE21}">
      <text>
        <r>
          <rPr>
            <b/>
            <sz val="9"/>
            <color indexed="81"/>
            <rFont val="Tahoma"/>
            <family val="2"/>
          </rPr>
          <t>Potter, Daniel:</t>
        </r>
        <r>
          <rPr>
            <sz val="9"/>
            <color indexed="81"/>
            <rFont val="Tahoma"/>
            <family val="2"/>
          </rPr>
          <t xml:space="preserve">
Assumed same price as MA 1</t>
        </r>
      </text>
    </comment>
    <comment ref="V50" authorId="0" shapeId="0" xr:uid="{59DDF049-DAFB-444A-82C8-2C22A296E655}">
      <text>
        <r>
          <rPr>
            <b/>
            <sz val="9"/>
            <color indexed="81"/>
            <rFont val="Tahoma"/>
            <family val="2"/>
          </rPr>
          <t>Potter, Daniel:</t>
        </r>
        <r>
          <rPr>
            <sz val="9"/>
            <color indexed="81"/>
            <rFont val="Tahoma"/>
            <family val="2"/>
          </rPr>
          <t xml:space="preserve">
Assumed same price as MA 1</t>
        </r>
      </text>
    </comment>
    <comment ref="W50" authorId="0" shapeId="0" xr:uid="{8ABFAF1B-C6D1-4134-B193-F26234105B49}">
      <text>
        <r>
          <rPr>
            <b/>
            <sz val="9"/>
            <color indexed="81"/>
            <rFont val="Tahoma"/>
            <family val="2"/>
          </rPr>
          <t>Potter, Daniel:</t>
        </r>
        <r>
          <rPr>
            <sz val="9"/>
            <color indexed="81"/>
            <rFont val="Tahoma"/>
            <family val="2"/>
          </rPr>
          <t xml:space="preserve">
Assumed same price as MA 1</t>
        </r>
      </text>
    </comment>
    <comment ref="X50" authorId="0" shapeId="0" xr:uid="{ACAC20D5-758B-4161-8DDF-D6E4C72C718C}">
      <text>
        <r>
          <rPr>
            <b/>
            <sz val="9"/>
            <color indexed="81"/>
            <rFont val="Tahoma"/>
            <family val="2"/>
          </rPr>
          <t>Potter, Daniel:</t>
        </r>
        <r>
          <rPr>
            <sz val="9"/>
            <color indexed="81"/>
            <rFont val="Tahoma"/>
            <family val="2"/>
          </rPr>
          <t xml:space="preserve">
Assumed same price as MA 1</t>
        </r>
      </text>
    </comment>
    <comment ref="Y50" authorId="0" shapeId="0" xr:uid="{DBDE6AEC-B03B-42F7-8CCE-261E03959B45}">
      <text>
        <r>
          <rPr>
            <b/>
            <sz val="9"/>
            <color indexed="81"/>
            <rFont val="Tahoma"/>
            <family val="2"/>
          </rPr>
          <t>Potter, Daniel:</t>
        </r>
        <r>
          <rPr>
            <sz val="9"/>
            <color indexed="81"/>
            <rFont val="Tahoma"/>
            <family val="2"/>
          </rPr>
          <t xml:space="preserve">
Assumed same price as MA 1</t>
        </r>
      </text>
    </comment>
    <comment ref="Z50" authorId="0" shapeId="0" xr:uid="{714D7E14-1DA6-4E39-8122-1287AA7E227E}">
      <text>
        <r>
          <rPr>
            <b/>
            <sz val="9"/>
            <color indexed="81"/>
            <rFont val="Tahoma"/>
            <family val="2"/>
          </rPr>
          <t>Potter, Daniel:</t>
        </r>
        <r>
          <rPr>
            <sz val="9"/>
            <color indexed="81"/>
            <rFont val="Tahoma"/>
            <family val="2"/>
          </rPr>
          <t xml:space="preserve">
Assumed same price as MA 1</t>
        </r>
      </text>
    </comment>
    <comment ref="C51" authorId="0" shapeId="0" xr:uid="{41522AD0-50BC-4CEE-9C28-86D0AE298B5F}">
      <text>
        <r>
          <rPr>
            <b/>
            <sz val="9"/>
            <color indexed="81"/>
            <rFont val="Tahoma"/>
            <family val="2"/>
          </rPr>
          <t>Potter, Daniel:</t>
        </r>
        <r>
          <rPr>
            <sz val="9"/>
            <color indexed="81"/>
            <rFont val="Tahoma"/>
            <family val="2"/>
          </rPr>
          <t xml:space="preserve">
Based on ME Existing price in Amerex REC Broker sheet dated 3/22/24</t>
        </r>
      </text>
    </comment>
    <comment ref="D51" authorId="0" shapeId="0" xr:uid="{84481810-98D5-4245-B820-13890805F914}">
      <text>
        <r>
          <rPr>
            <b/>
            <sz val="9"/>
            <color indexed="81"/>
            <rFont val="Tahoma"/>
            <family val="2"/>
          </rPr>
          <t>Potter, Daniel:</t>
        </r>
        <r>
          <rPr>
            <sz val="9"/>
            <color indexed="81"/>
            <rFont val="Tahoma"/>
            <family val="2"/>
          </rPr>
          <t xml:space="preserve">
Based on ME Existing price in Amerex REC Broker sheet dated 3/22/24</t>
        </r>
      </text>
    </comment>
    <comment ref="E51" authorId="0" shapeId="0" xr:uid="{7C5903C5-32E8-42BB-B680-6F8E6FD88E0B}">
      <text>
        <r>
          <rPr>
            <b/>
            <sz val="9"/>
            <color indexed="81"/>
            <rFont val="Tahoma"/>
            <family val="2"/>
          </rPr>
          <t>Potter, Daniel:</t>
        </r>
        <r>
          <rPr>
            <sz val="9"/>
            <color indexed="81"/>
            <rFont val="Tahoma"/>
            <family val="2"/>
          </rPr>
          <t xml:space="preserve">
Based on ME Existing price in Amerex REC Broker sheet dated 3/22/24</t>
        </r>
      </text>
    </comment>
    <comment ref="F51" authorId="0" shapeId="0" xr:uid="{182613DC-EC2D-4602-BCB0-6C913B5638AF}">
      <text>
        <r>
          <rPr>
            <b/>
            <sz val="9"/>
            <color indexed="81"/>
            <rFont val="Tahoma"/>
            <family val="2"/>
          </rPr>
          <t>Potter, Daniel:</t>
        </r>
        <r>
          <rPr>
            <sz val="9"/>
            <color indexed="81"/>
            <rFont val="Tahoma"/>
            <family val="2"/>
          </rPr>
          <t xml:space="preserve">
Based on ME Existing price in Amerex REC Broker sheet dated 3/22/24</t>
        </r>
      </text>
    </comment>
    <comment ref="G51" authorId="0" shapeId="0" xr:uid="{014F808F-BB08-44C3-B106-39A6833D788C}">
      <text>
        <r>
          <rPr>
            <b/>
            <sz val="9"/>
            <color indexed="81"/>
            <rFont val="Tahoma"/>
            <family val="2"/>
          </rPr>
          <t>Potter, Daniel:</t>
        </r>
        <r>
          <rPr>
            <sz val="9"/>
            <color indexed="81"/>
            <rFont val="Tahoma"/>
            <family val="2"/>
          </rPr>
          <t xml:space="preserve">
Based on ME Existing price in Amerex REC Broker sheet dated 3/22/24</t>
        </r>
      </text>
    </comment>
    <comment ref="H51" authorId="0" shapeId="0" xr:uid="{FCBE2E55-4105-45D9-BD76-79E3B669C8A9}">
      <text>
        <r>
          <rPr>
            <b/>
            <sz val="9"/>
            <color indexed="81"/>
            <rFont val="Tahoma"/>
            <family val="2"/>
          </rPr>
          <t>Potter, Daniel:</t>
        </r>
        <r>
          <rPr>
            <sz val="9"/>
            <color indexed="81"/>
            <rFont val="Tahoma"/>
            <family val="2"/>
          </rPr>
          <t xml:space="preserve">
Based on ME Existing price in Amerex REC Broker sheet dated 3/22/24</t>
        </r>
      </text>
    </comment>
    <comment ref="I51" authorId="0" shapeId="0" xr:uid="{5D0C29E5-58CF-4E1B-9BFF-E35EB030FE63}">
      <text>
        <r>
          <rPr>
            <b/>
            <sz val="9"/>
            <color indexed="81"/>
            <rFont val="Tahoma"/>
            <family val="2"/>
          </rPr>
          <t>Potter, Daniel:</t>
        </r>
        <r>
          <rPr>
            <sz val="9"/>
            <color indexed="81"/>
            <rFont val="Tahoma"/>
            <family val="2"/>
          </rPr>
          <t xml:space="preserve">
Based on ME Existing price in Amerex REC Broker sheet dated 3/22/24</t>
        </r>
      </text>
    </comment>
    <comment ref="J51" authorId="0" shapeId="0" xr:uid="{E9D65837-5BA9-41F5-A025-BE975799AF89}">
      <text>
        <r>
          <rPr>
            <b/>
            <sz val="9"/>
            <color indexed="81"/>
            <rFont val="Tahoma"/>
            <family val="2"/>
          </rPr>
          <t>Potter, Daniel:</t>
        </r>
        <r>
          <rPr>
            <sz val="9"/>
            <color indexed="81"/>
            <rFont val="Tahoma"/>
            <family val="2"/>
          </rPr>
          <t xml:space="preserve">
Based on ME Existing price in Amerex REC Broker sheet dated 3/22/24</t>
        </r>
      </text>
    </comment>
    <comment ref="K51" authorId="0" shapeId="0" xr:uid="{2019EF1D-9372-4D46-A985-B04AAC118E7B}">
      <text>
        <r>
          <rPr>
            <b/>
            <sz val="9"/>
            <color indexed="81"/>
            <rFont val="Tahoma"/>
            <family val="2"/>
          </rPr>
          <t>Potter, Daniel:</t>
        </r>
        <r>
          <rPr>
            <sz val="9"/>
            <color indexed="81"/>
            <rFont val="Tahoma"/>
            <family val="2"/>
          </rPr>
          <t xml:space="preserve">
Based on ME Existing price in Amerex REC Broker sheet dated 3/22/24</t>
        </r>
      </text>
    </comment>
    <comment ref="L51" authorId="0" shapeId="0" xr:uid="{DBB73B18-1984-4A39-9206-EB4224994A09}">
      <text>
        <r>
          <rPr>
            <b/>
            <sz val="9"/>
            <color indexed="81"/>
            <rFont val="Tahoma"/>
            <family val="2"/>
          </rPr>
          <t>Potter, Daniel:</t>
        </r>
        <r>
          <rPr>
            <sz val="9"/>
            <color indexed="81"/>
            <rFont val="Tahoma"/>
            <family val="2"/>
          </rPr>
          <t xml:space="preserve">
Based on ME Existing price in Amerex REC Broker sheet dated 3/22/24</t>
        </r>
      </text>
    </comment>
    <comment ref="M51" authorId="0" shapeId="0" xr:uid="{6F0700D8-4FEF-4FD8-90E9-E87E271BFE0C}">
      <text>
        <r>
          <rPr>
            <b/>
            <sz val="9"/>
            <color indexed="81"/>
            <rFont val="Tahoma"/>
            <family val="2"/>
          </rPr>
          <t>Potter, Daniel:</t>
        </r>
        <r>
          <rPr>
            <sz val="9"/>
            <color indexed="81"/>
            <rFont val="Tahoma"/>
            <family val="2"/>
          </rPr>
          <t xml:space="preserve">
Based on ME Existing price in Amerex REC Broker sheet dated 3/22/24</t>
        </r>
      </text>
    </comment>
    <comment ref="N51" authorId="0" shapeId="0" xr:uid="{6E7DA9FB-B498-49D5-B281-253573512A2B}">
      <text>
        <r>
          <rPr>
            <b/>
            <sz val="9"/>
            <color indexed="81"/>
            <rFont val="Tahoma"/>
            <family val="2"/>
          </rPr>
          <t>Potter, Daniel:</t>
        </r>
        <r>
          <rPr>
            <sz val="9"/>
            <color indexed="81"/>
            <rFont val="Tahoma"/>
            <family val="2"/>
          </rPr>
          <t xml:space="preserve">
Based on ME Existing price in Amerex REC Broker sheet dated 3/22/24</t>
        </r>
      </text>
    </comment>
    <comment ref="O51" authorId="0" shapeId="0" xr:uid="{24F90DC5-AB2D-4221-B260-1693DA75DE34}">
      <text>
        <r>
          <rPr>
            <b/>
            <sz val="9"/>
            <color indexed="81"/>
            <rFont val="Tahoma"/>
            <family val="2"/>
          </rPr>
          <t>Potter, Daniel:</t>
        </r>
        <r>
          <rPr>
            <sz val="9"/>
            <color indexed="81"/>
            <rFont val="Tahoma"/>
            <family val="2"/>
          </rPr>
          <t xml:space="preserve">
Based on ME Existing price in Amerex REC Broker sheet dated 11/1/2024</t>
        </r>
      </text>
    </comment>
    <comment ref="P51" authorId="0" shapeId="0" xr:uid="{BF1412A6-8578-4771-892D-47D297F043CC}">
      <text>
        <r>
          <rPr>
            <b/>
            <sz val="9"/>
            <color indexed="81"/>
            <rFont val="Tahoma"/>
            <family val="2"/>
          </rPr>
          <t>Potter, Daniel:</t>
        </r>
        <r>
          <rPr>
            <sz val="9"/>
            <color indexed="81"/>
            <rFont val="Tahoma"/>
            <family val="2"/>
          </rPr>
          <t xml:space="preserve">
Based on ME Existing price in Amerex REC Broker sheet dated 11/1/2024</t>
        </r>
      </text>
    </comment>
    <comment ref="Q51" authorId="0" shapeId="0" xr:uid="{13ED73AD-102A-4592-A649-6F0C90C575AE}">
      <text>
        <r>
          <rPr>
            <b/>
            <sz val="9"/>
            <color indexed="81"/>
            <rFont val="Tahoma"/>
            <family val="2"/>
          </rPr>
          <t>Potter, Daniel:</t>
        </r>
        <r>
          <rPr>
            <sz val="9"/>
            <color indexed="81"/>
            <rFont val="Tahoma"/>
            <family val="2"/>
          </rPr>
          <t xml:space="preserve">
Based on ME Existing price in Amerex REC Broker sheet dated 11/1/2024</t>
        </r>
      </text>
    </comment>
    <comment ref="R51" authorId="0" shapeId="0" xr:uid="{8C6E1F6E-2AE9-4706-BC99-533EF12FBA6B}">
      <text>
        <r>
          <rPr>
            <b/>
            <sz val="9"/>
            <color indexed="81"/>
            <rFont val="Tahoma"/>
            <family val="2"/>
          </rPr>
          <t>Potter, Daniel:</t>
        </r>
        <r>
          <rPr>
            <sz val="9"/>
            <color indexed="81"/>
            <rFont val="Tahoma"/>
            <family val="2"/>
          </rPr>
          <t xml:space="preserve">
Based on ME Existing price in Amerex REC Broker sheet dated 11/1/2024</t>
        </r>
      </text>
    </comment>
    <comment ref="S51" authorId="0" shapeId="0" xr:uid="{560FF90B-98A8-47E2-A381-2954D40964DF}">
      <text>
        <r>
          <rPr>
            <b/>
            <sz val="9"/>
            <color indexed="81"/>
            <rFont val="Tahoma"/>
            <family val="2"/>
          </rPr>
          <t>Potter, Daniel:</t>
        </r>
        <r>
          <rPr>
            <sz val="9"/>
            <color indexed="81"/>
            <rFont val="Tahoma"/>
            <family val="2"/>
          </rPr>
          <t xml:space="preserve">
Based on ME Existing price in Amerex REC Broker sheet dated 11/1/2024</t>
        </r>
      </text>
    </comment>
    <comment ref="T51" authorId="0" shapeId="0" xr:uid="{479C8435-2691-43C4-B5BE-CF992874E431}">
      <text>
        <r>
          <rPr>
            <b/>
            <sz val="9"/>
            <color indexed="81"/>
            <rFont val="Tahoma"/>
            <family val="2"/>
          </rPr>
          <t>Potter, Daniel:</t>
        </r>
        <r>
          <rPr>
            <sz val="9"/>
            <color indexed="81"/>
            <rFont val="Tahoma"/>
            <family val="2"/>
          </rPr>
          <t xml:space="preserve">
Based on ME Existing price in Amerex REC Broker sheet dated 11/1/2024</t>
        </r>
      </text>
    </comment>
    <comment ref="U51" authorId="0" shapeId="0" xr:uid="{D0433311-3B23-406F-8573-C4F00785CF43}">
      <text>
        <r>
          <rPr>
            <b/>
            <sz val="9"/>
            <color indexed="81"/>
            <rFont val="Tahoma"/>
            <family val="2"/>
          </rPr>
          <t>Potter, Daniel:</t>
        </r>
        <r>
          <rPr>
            <sz val="9"/>
            <color indexed="81"/>
            <rFont val="Tahoma"/>
            <family val="2"/>
          </rPr>
          <t xml:space="preserve">
Based on ME Existing price in Amerex REC Broker sheet dated 11/1/2024</t>
        </r>
      </text>
    </comment>
    <comment ref="V51" authorId="0" shapeId="0" xr:uid="{156C30FA-01D1-4479-B7BA-DE955E01B549}">
      <text>
        <r>
          <rPr>
            <b/>
            <sz val="9"/>
            <color indexed="81"/>
            <rFont val="Tahoma"/>
            <family val="2"/>
          </rPr>
          <t>Potter, Daniel:</t>
        </r>
        <r>
          <rPr>
            <sz val="9"/>
            <color indexed="81"/>
            <rFont val="Tahoma"/>
            <family val="2"/>
          </rPr>
          <t xml:space="preserve">
Based on ME Existing price in Amerex REC Broker sheet dated 11/1/2024</t>
        </r>
      </text>
    </comment>
    <comment ref="W51" authorId="0" shapeId="0" xr:uid="{B8244F48-FFAC-4C6C-9EB6-FD5EE04D9A61}">
      <text>
        <r>
          <rPr>
            <b/>
            <sz val="9"/>
            <color indexed="81"/>
            <rFont val="Tahoma"/>
            <family val="2"/>
          </rPr>
          <t>Potter, Daniel:</t>
        </r>
        <r>
          <rPr>
            <sz val="9"/>
            <color indexed="81"/>
            <rFont val="Tahoma"/>
            <family val="2"/>
          </rPr>
          <t xml:space="preserve">
Based on ME Existing price in Amerex REC Broker sheet dated 11/1/2024</t>
        </r>
      </text>
    </comment>
    <comment ref="X51" authorId="0" shapeId="0" xr:uid="{89F2D767-8CFC-43A6-8AD3-66C354914059}">
      <text>
        <r>
          <rPr>
            <b/>
            <sz val="9"/>
            <color indexed="81"/>
            <rFont val="Tahoma"/>
            <family val="2"/>
          </rPr>
          <t>Potter, Daniel:</t>
        </r>
        <r>
          <rPr>
            <sz val="9"/>
            <color indexed="81"/>
            <rFont val="Tahoma"/>
            <family val="2"/>
          </rPr>
          <t xml:space="preserve">
Based on ME Existing price in Amerex REC Broker sheet dated 11/1/2024</t>
        </r>
      </text>
    </comment>
    <comment ref="Y51" authorId="0" shapeId="0" xr:uid="{17491993-01CD-4CEA-938C-EC3F1AE5D971}">
      <text>
        <r>
          <rPr>
            <b/>
            <sz val="9"/>
            <color indexed="81"/>
            <rFont val="Tahoma"/>
            <family val="2"/>
          </rPr>
          <t>Potter, Daniel:</t>
        </r>
        <r>
          <rPr>
            <sz val="9"/>
            <color indexed="81"/>
            <rFont val="Tahoma"/>
            <family val="2"/>
          </rPr>
          <t xml:space="preserve">
Based on ME Existing price in Amerex REC Broker sheet dated 11/1/2024</t>
        </r>
      </text>
    </comment>
    <comment ref="Z51" authorId="0" shapeId="0" xr:uid="{A8A179C4-B2BC-4819-A896-7147BBE413F3}">
      <text>
        <r>
          <rPr>
            <b/>
            <sz val="9"/>
            <color indexed="81"/>
            <rFont val="Tahoma"/>
            <family val="2"/>
          </rPr>
          <t>Potter, Daniel:</t>
        </r>
        <r>
          <rPr>
            <sz val="9"/>
            <color indexed="81"/>
            <rFont val="Tahoma"/>
            <family val="2"/>
          </rPr>
          <t xml:space="preserve">
Based on ME Existing price in Amerex REC Broker sheet dated 11/1/2024</t>
        </r>
      </text>
    </comment>
    <comment ref="C52" authorId="0" shapeId="0" xr:uid="{DC44CA38-20D9-464E-BE17-49B93978BBFB}">
      <text>
        <r>
          <rPr>
            <b/>
            <sz val="9"/>
            <color indexed="81"/>
            <rFont val="Tahoma"/>
            <family val="2"/>
          </rPr>
          <t>Potter, Daniel:</t>
        </r>
        <r>
          <rPr>
            <sz val="9"/>
            <color indexed="81"/>
            <rFont val="Tahoma"/>
            <family val="2"/>
          </rPr>
          <t xml:space="preserve">
Assumed same price as MA 1</t>
        </r>
      </text>
    </comment>
    <comment ref="D52" authorId="0" shapeId="0" xr:uid="{AEB5A70F-0FB4-4898-936F-A8C681943CB2}">
      <text>
        <r>
          <rPr>
            <b/>
            <sz val="9"/>
            <color indexed="81"/>
            <rFont val="Tahoma"/>
            <family val="2"/>
          </rPr>
          <t>Potter, Daniel:</t>
        </r>
        <r>
          <rPr>
            <sz val="9"/>
            <color indexed="81"/>
            <rFont val="Tahoma"/>
            <family val="2"/>
          </rPr>
          <t xml:space="preserve">
Assumed same price as MA 1</t>
        </r>
      </text>
    </comment>
    <comment ref="E52" authorId="0" shapeId="0" xr:uid="{0DC23D7A-EFAE-446A-9072-26E728D25022}">
      <text>
        <r>
          <rPr>
            <b/>
            <sz val="9"/>
            <color indexed="81"/>
            <rFont val="Tahoma"/>
            <family val="2"/>
          </rPr>
          <t>Potter, Daniel:</t>
        </r>
        <r>
          <rPr>
            <sz val="9"/>
            <color indexed="81"/>
            <rFont val="Tahoma"/>
            <family val="2"/>
          </rPr>
          <t xml:space="preserve">
Assumed same price as MA 1</t>
        </r>
      </text>
    </comment>
    <comment ref="F52" authorId="0" shapeId="0" xr:uid="{AC6DCBBF-52C3-43DC-BFDB-8EB7D936F2F9}">
      <text>
        <r>
          <rPr>
            <b/>
            <sz val="9"/>
            <color indexed="81"/>
            <rFont val="Tahoma"/>
            <family val="2"/>
          </rPr>
          <t>Potter, Daniel:</t>
        </r>
        <r>
          <rPr>
            <sz val="9"/>
            <color indexed="81"/>
            <rFont val="Tahoma"/>
            <family val="2"/>
          </rPr>
          <t xml:space="preserve">
Assumed same price as MA 1</t>
        </r>
      </text>
    </comment>
    <comment ref="G52" authorId="0" shapeId="0" xr:uid="{5E6BC6A1-8DD3-4766-BEB5-B8C65E668971}">
      <text>
        <r>
          <rPr>
            <b/>
            <sz val="9"/>
            <color indexed="81"/>
            <rFont val="Tahoma"/>
            <family val="2"/>
          </rPr>
          <t>Potter, Daniel:</t>
        </r>
        <r>
          <rPr>
            <sz val="9"/>
            <color indexed="81"/>
            <rFont val="Tahoma"/>
            <family val="2"/>
          </rPr>
          <t xml:space="preserve">
Assumed same price as MA 1</t>
        </r>
      </text>
    </comment>
    <comment ref="H52" authorId="0" shapeId="0" xr:uid="{46BF45CB-C2E9-4887-8944-0B1238749543}">
      <text>
        <r>
          <rPr>
            <b/>
            <sz val="9"/>
            <color indexed="81"/>
            <rFont val="Tahoma"/>
            <family val="2"/>
          </rPr>
          <t>Potter, Daniel:</t>
        </r>
        <r>
          <rPr>
            <sz val="9"/>
            <color indexed="81"/>
            <rFont val="Tahoma"/>
            <family val="2"/>
          </rPr>
          <t xml:space="preserve">
Assumed same price as MA 1</t>
        </r>
      </text>
    </comment>
    <comment ref="I52" authorId="0" shapeId="0" xr:uid="{62A4A284-6E2B-466C-80EC-82DDAA2E1ADA}">
      <text>
        <r>
          <rPr>
            <b/>
            <sz val="9"/>
            <color indexed="81"/>
            <rFont val="Tahoma"/>
            <family val="2"/>
          </rPr>
          <t>Potter, Daniel:</t>
        </r>
        <r>
          <rPr>
            <sz val="9"/>
            <color indexed="81"/>
            <rFont val="Tahoma"/>
            <family val="2"/>
          </rPr>
          <t xml:space="preserve">
Assumed same price as MA 1</t>
        </r>
      </text>
    </comment>
    <comment ref="J52" authorId="0" shapeId="0" xr:uid="{54BFB9DC-9A89-4EBC-907B-9A25EE2D1693}">
      <text>
        <r>
          <rPr>
            <b/>
            <sz val="9"/>
            <color indexed="81"/>
            <rFont val="Tahoma"/>
            <family val="2"/>
          </rPr>
          <t>Potter, Daniel:</t>
        </r>
        <r>
          <rPr>
            <sz val="9"/>
            <color indexed="81"/>
            <rFont val="Tahoma"/>
            <family val="2"/>
          </rPr>
          <t xml:space="preserve">
Assumed same price as MA 1</t>
        </r>
      </text>
    </comment>
    <comment ref="K52" authorId="0" shapeId="0" xr:uid="{383E37B8-9560-493E-A195-4F88311CB9EF}">
      <text>
        <r>
          <rPr>
            <b/>
            <sz val="9"/>
            <color indexed="81"/>
            <rFont val="Tahoma"/>
            <family val="2"/>
          </rPr>
          <t>Potter, Daniel:</t>
        </r>
        <r>
          <rPr>
            <sz val="9"/>
            <color indexed="81"/>
            <rFont val="Tahoma"/>
            <family val="2"/>
          </rPr>
          <t xml:space="preserve">
Assumed same price as MA 1</t>
        </r>
      </text>
    </comment>
    <comment ref="L52" authorId="0" shapeId="0" xr:uid="{310207DB-8FCE-482F-B503-18B4A9127B2E}">
      <text>
        <r>
          <rPr>
            <b/>
            <sz val="9"/>
            <color indexed="81"/>
            <rFont val="Tahoma"/>
            <family val="2"/>
          </rPr>
          <t>Potter, Daniel:</t>
        </r>
        <r>
          <rPr>
            <sz val="9"/>
            <color indexed="81"/>
            <rFont val="Tahoma"/>
            <family val="2"/>
          </rPr>
          <t xml:space="preserve">
Assumed same price as MA 1</t>
        </r>
      </text>
    </comment>
    <comment ref="M52" authorId="0" shapeId="0" xr:uid="{AA82CFA5-F2DB-4CBD-A6DE-8AF1F9168FA2}">
      <text>
        <r>
          <rPr>
            <b/>
            <sz val="9"/>
            <color indexed="81"/>
            <rFont val="Tahoma"/>
            <family val="2"/>
          </rPr>
          <t>Potter, Daniel:</t>
        </r>
        <r>
          <rPr>
            <sz val="9"/>
            <color indexed="81"/>
            <rFont val="Tahoma"/>
            <family val="2"/>
          </rPr>
          <t xml:space="preserve">
Assumed same price as MA 1</t>
        </r>
      </text>
    </comment>
    <comment ref="N52" authorId="0" shapeId="0" xr:uid="{B2C9C52C-A953-4C44-9F08-52D33E86B365}">
      <text>
        <r>
          <rPr>
            <b/>
            <sz val="9"/>
            <color indexed="81"/>
            <rFont val="Tahoma"/>
            <family val="2"/>
          </rPr>
          <t>Potter, Daniel:</t>
        </r>
        <r>
          <rPr>
            <sz val="9"/>
            <color indexed="81"/>
            <rFont val="Tahoma"/>
            <family val="2"/>
          </rPr>
          <t xml:space="preserve">
Assumed same price as MA 1</t>
        </r>
      </text>
    </comment>
    <comment ref="O52" authorId="0" shapeId="0" xr:uid="{3891FAD2-6D58-442B-BA32-4A0F8B84599E}">
      <text>
        <r>
          <rPr>
            <b/>
            <sz val="9"/>
            <color indexed="81"/>
            <rFont val="Tahoma"/>
            <family val="2"/>
          </rPr>
          <t>Potter, Daniel:</t>
        </r>
        <r>
          <rPr>
            <sz val="9"/>
            <color indexed="81"/>
            <rFont val="Tahoma"/>
            <family val="2"/>
          </rPr>
          <t xml:space="preserve">
Assumed same price as MA 1</t>
        </r>
      </text>
    </comment>
    <comment ref="P52" authorId="0" shapeId="0" xr:uid="{0857C00B-8B38-4B63-88B9-CDFF18794974}">
      <text>
        <r>
          <rPr>
            <b/>
            <sz val="9"/>
            <color indexed="81"/>
            <rFont val="Tahoma"/>
            <family val="2"/>
          </rPr>
          <t>Potter, Daniel:</t>
        </r>
        <r>
          <rPr>
            <sz val="9"/>
            <color indexed="81"/>
            <rFont val="Tahoma"/>
            <family val="2"/>
          </rPr>
          <t xml:space="preserve">
Assumed same price as MA 1</t>
        </r>
      </text>
    </comment>
    <comment ref="Q52" authorId="0" shapeId="0" xr:uid="{9931DB97-35A9-42A4-A266-B1A328803A93}">
      <text>
        <r>
          <rPr>
            <b/>
            <sz val="9"/>
            <color indexed="81"/>
            <rFont val="Tahoma"/>
            <family val="2"/>
          </rPr>
          <t>Potter, Daniel:</t>
        </r>
        <r>
          <rPr>
            <sz val="9"/>
            <color indexed="81"/>
            <rFont val="Tahoma"/>
            <family val="2"/>
          </rPr>
          <t xml:space="preserve">
Assumed same price as MA 1</t>
        </r>
      </text>
    </comment>
    <comment ref="R52" authorId="0" shapeId="0" xr:uid="{A1384283-5D1D-43BD-BEAD-F46DE2C71CD2}">
      <text>
        <r>
          <rPr>
            <b/>
            <sz val="9"/>
            <color indexed="81"/>
            <rFont val="Tahoma"/>
            <family val="2"/>
          </rPr>
          <t>Potter, Daniel:</t>
        </r>
        <r>
          <rPr>
            <sz val="9"/>
            <color indexed="81"/>
            <rFont val="Tahoma"/>
            <family val="2"/>
          </rPr>
          <t xml:space="preserve">
Assumed same price as MA 1</t>
        </r>
      </text>
    </comment>
    <comment ref="S52" authorId="0" shapeId="0" xr:uid="{2285B8BD-6EFA-4B83-AA92-A781BCE1A866}">
      <text>
        <r>
          <rPr>
            <b/>
            <sz val="9"/>
            <color indexed="81"/>
            <rFont val="Tahoma"/>
            <family val="2"/>
          </rPr>
          <t>Potter, Daniel:</t>
        </r>
        <r>
          <rPr>
            <sz val="9"/>
            <color indexed="81"/>
            <rFont val="Tahoma"/>
            <family val="2"/>
          </rPr>
          <t xml:space="preserve">
Assumed same price as MA 1</t>
        </r>
      </text>
    </comment>
    <comment ref="T52" authorId="0" shapeId="0" xr:uid="{1AEB96A2-0577-43BA-B270-54068AC88764}">
      <text>
        <r>
          <rPr>
            <b/>
            <sz val="9"/>
            <color indexed="81"/>
            <rFont val="Tahoma"/>
            <family val="2"/>
          </rPr>
          <t>Potter, Daniel:</t>
        </r>
        <r>
          <rPr>
            <sz val="9"/>
            <color indexed="81"/>
            <rFont val="Tahoma"/>
            <family val="2"/>
          </rPr>
          <t xml:space="preserve">
Assumed same price as MA 1</t>
        </r>
      </text>
    </comment>
    <comment ref="U52" authorId="0" shapeId="0" xr:uid="{A5692273-672E-47D8-BC6E-440EDE7C5B53}">
      <text>
        <r>
          <rPr>
            <b/>
            <sz val="9"/>
            <color indexed="81"/>
            <rFont val="Tahoma"/>
            <family val="2"/>
          </rPr>
          <t>Potter, Daniel:</t>
        </r>
        <r>
          <rPr>
            <sz val="9"/>
            <color indexed="81"/>
            <rFont val="Tahoma"/>
            <family val="2"/>
          </rPr>
          <t xml:space="preserve">
Assumed same price as MA 1</t>
        </r>
      </text>
    </comment>
    <comment ref="V52" authorId="0" shapeId="0" xr:uid="{B3CD7589-15EE-4866-BF10-12ADF6625165}">
      <text>
        <r>
          <rPr>
            <b/>
            <sz val="9"/>
            <color indexed="81"/>
            <rFont val="Tahoma"/>
            <family val="2"/>
          </rPr>
          <t>Potter, Daniel:</t>
        </r>
        <r>
          <rPr>
            <sz val="9"/>
            <color indexed="81"/>
            <rFont val="Tahoma"/>
            <family val="2"/>
          </rPr>
          <t xml:space="preserve">
Assumed same price as MA 1</t>
        </r>
      </text>
    </comment>
    <comment ref="W52" authorId="0" shapeId="0" xr:uid="{DE2D9D20-90E5-4A22-86F4-7A11F27C538E}">
      <text>
        <r>
          <rPr>
            <b/>
            <sz val="9"/>
            <color indexed="81"/>
            <rFont val="Tahoma"/>
            <family val="2"/>
          </rPr>
          <t>Potter, Daniel:</t>
        </r>
        <r>
          <rPr>
            <sz val="9"/>
            <color indexed="81"/>
            <rFont val="Tahoma"/>
            <family val="2"/>
          </rPr>
          <t xml:space="preserve">
Assumed same price as MA 1</t>
        </r>
      </text>
    </comment>
    <comment ref="X52" authorId="0" shapeId="0" xr:uid="{4A62DB0B-62C9-4026-84CC-4A7A6C357387}">
      <text>
        <r>
          <rPr>
            <b/>
            <sz val="9"/>
            <color indexed="81"/>
            <rFont val="Tahoma"/>
            <family val="2"/>
          </rPr>
          <t>Potter, Daniel:</t>
        </r>
        <r>
          <rPr>
            <sz val="9"/>
            <color indexed="81"/>
            <rFont val="Tahoma"/>
            <family val="2"/>
          </rPr>
          <t xml:space="preserve">
Assumed same price as MA 1</t>
        </r>
      </text>
    </comment>
    <comment ref="Y52" authorId="0" shapeId="0" xr:uid="{A5C79D42-36F1-4646-9E4B-660F6B2DA9ED}">
      <text>
        <r>
          <rPr>
            <b/>
            <sz val="9"/>
            <color indexed="81"/>
            <rFont val="Tahoma"/>
            <family val="2"/>
          </rPr>
          <t>Potter, Daniel:</t>
        </r>
        <r>
          <rPr>
            <sz val="9"/>
            <color indexed="81"/>
            <rFont val="Tahoma"/>
            <family val="2"/>
          </rPr>
          <t xml:space="preserve">
Assumed same price as MA 1</t>
        </r>
      </text>
    </comment>
    <comment ref="Z52" authorId="0" shapeId="0" xr:uid="{0DDF2AC4-E37D-4346-AF38-91083AC4A872}">
      <text>
        <r>
          <rPr>
            <b/>
            <sz val="9"/>
            <color indexed="81"/>
            <rFont val="Tahoma"/>
            <family val="2"/>
          </rPr>
          <t>Potter, Daniel:</t>
        </r>
        <r>
          <rPr>
            <sz val="9"/>
            <color indexed="81"/>
            <rFont val="Tahoma"/>
            <family val="2"/>
          </rPr>
          <t xml:space="preserve">
Assumed same price as MA 1</t>
        </r>
      </text>
    </comment>
    <comment ref="C59" authorId="0" shapeId="0" xr:uid="{D70C83ED-EB64-43C3-BEA2-CF40112391AC}">
      <text>
        <r>
          <rPr>
            <b/>
            <sz val="9"/>
            <color indexed="81"/>
            <rFont val="Tahoma"/>
            <family val="2"/>
          </rPr>
          <t>Potter, Daniel:</t>
        </r>
        <r>
          <rPr>
            <sz val="9"/>
            <color indexed="81"/>
            <rFont val="Tahoma"/>
            <family val="2"/>
          </rPr>
          <t xml:space="preserve">
TY Actuals. 07/22-06/23</t>
        </r>
      </text>
    </comment>
    <comment ref="D59" authorId="0" shapeId="0" xr:uid="{BBDCA437-D36C-4EFE-A691-1E54E54B8056}">
      <text>
        <r>
          <rPr>
            <b/>
            <sz val="9"/>
            <color indexed="81"/>
            <rFont val="Tahoma"/>
            <family val="2"/>
          </rPr>
          <t>Potter, Daniel:</t>
        </r>
        <r>
          <rPr>
            <sz val="9"/>
            <color indexed="81"/>
            <rFont val="Tahoma"/>
            <family val="2"/>
          </rPr>
          <t xml:space="preserve">
TY Actuals. 07/22-06/23</t>
        </r>
      </text>
    </comment>
    <comment ref="E59" authorId="0" shapeId="0" xr:uid="{EA8EA9E1-BE01-4ACA-92FF-A62B3ADDBDA9}">
      <text>
        <r>
          <rPr>
            <b/>
            <sz val="9"/>
            <color indexed="81"/>
            <rFont val="Tahoma"/>
            <family val="2"/>
          </rPr>
          <t>Potter, Daniel:</t>
        </r>
        <r>
          <rPr>
            <sz val="9"/>
            <color indexed="81"/>
            <rFont val="Tahoma"/>
            <family val="2"/>
          </rPr>
          <t xml:space="preserve">
TY Actuals. 07/22-06/23</t>
        </r>
      </text>
    </comment>
    <comment ref="F59" authorId="0" shapeId="0" xr:uid="{F553A203-BE9E-4538-B01D-084E50C407AF}">
      <text>
        <r>
          <rPr>
            <b/>
            <sz val="9"/>
            <color indexed="81"/>
            <rFont val="Tahoma"/>
            <family val="2"/>
          </rPr>
          <t>Potter, Daniel:</t>
        </r>
        <r>
          <rPr>
            <sz val="9"/>
            <color indexed="81"/>
            <rFont val="Tahoma"/>
            <family val="2"/>
          </rPr>
          <t xml:space="preserve">
TY Actuals. 07/22-06/23</t>
        </r>
      </text>
    </comment>
    <comment ref="G59" authorId="0" shapeId="0" xr:uid="{E9803509-CB05-4D59-8EAC-7C4013CE63DB}">
      <text>
        <r>
          <rPr>
            <b/>
            <sz val="9"/>
            <color indexed="81"/>
            <rFont val="Tahoma"/>
            <family val="2"/>
          </rPr>
          <t>Potter, Daniel:</t>
        </r>
        <r>
          <rPr>
            <sz val="9"/>
            <color indexed="81"/>
            <rFont val="Tahoma"/>
            <family val="2"/>
          </rPr>
          <t xml:space="preserve">
TY Actuals. 07/22-06/23</t>
        </r>
      </text>
    </comment>
    <comment ref="H59" authorId="0" shapeId="0" xr:uid="{A76E87E6-0C9E-40FC-9654-44DEF5520546}">
      <text>
        <r>
          <rPr>
            <b/>
            <sz val="9"/>
            <color indexed="81"/>
            <rFont val="Tahoma"/>
            <family val="2"/>
          </rPr>
          <t>Potter, Daniel:</t>
        </r>
        <r>
          <rPr>
            <sz val="9"/>
            <color indexed="81"/>
            <rFont val="Tahoma"/>
            <family val="2"/>
          </rPr>
          <t xml:space="preserve">
TY Actuals. 07/22-06/23</t>
        </r>
      </text>
    </comment>
    <comment ref="I59" authorId="0" shapeId="0" xr:uid="{9449969B-5270-4E2D-AC9B-61A340A0DB51}">
      <text>
        <r>
          <rPr>
            <b/>
            <sz val="9"/>
            <color indexed="81"/>
            <rFont val="Tahoma"/>
            <family val="2"/>
          </rPr>
          <t>Potter, Daniel:</t>
        </r>
        <r>
          <rPr>
            <sz val="9"/>
            <color indexed="81"/>
            <rFont val="Tahoma"/>
            <family val="2"/>
          </rPr>
          <t xml:space="preserve">
TY Actuals. 07/22-06/23</t>
        </r>
      </text>
    </comment>
    <comment ref="J59" authorId="0" shapeId="0" xr:uid="{02884801-85E3-4251-B976-7EAC20552309}">
      <text>
        <r>
          <rPr>
            <b/>
            <sz val="9"/>
            <color indexed="81"/>
            <rFont val="Tahoma"/>
            <family val="2"/>
          </rPr>
          <t>Potter, Daniel:</t>
        </r>
        <r>
          <rPr>
            <sz val="9"/>
            <color indexed="81"/>
            <rFont val="Tahoma"/>
            <family val="2"/>
          </rPr>
          <t xml:space="preserve">
TY Actuals. 07/22-06/23</t>
        </r>
      </text>
    </comment>
    <comment ref="K59" authorId="0" shapeId="0" xr:uid="{8812C3F0-D6BE-4175-957C-85BC8F99F2E8}">
      <text>
        <r>
          <rPr>
            <b/>
            <sz val="9"/>
            <color indexed="81"/>
            <rFont val="Tahoma"/>
            <family val="2"/>
          </rPr>
          <t>Potter, Daniel:</t>
        </r>
        <r>
          <rPr>
            <sz val="9"/>
            <color indexed="81"/>
            <rFont val="Tahoma"/>
            <family val="2"/>
          </rPr>
          <t xml:space="preserve">
TY Actuals. 07/22-06/23</t>
        </r>
      </text>
    </comment>
    <comment ref="L59" authorId="0" shapeId="0" xr:uid="{C39C0BA0-47E6-40FF-ADE0-EAA6825847A0}">
      <text>
        <r>
          <rPr>
            <b/>
            <sz val="9"/>
            <color indexed="81"/>
            <rFont val="Tahoma"/>
            <family val="2"/>
          </rPr>
          <t>Potter, Daniel:</t>
        </r>
        <r>
          <rPr>
            <sz val="9"/>
            <color indexed="81"/>
            <rFont val="Tahoma"/>
            <family val="2"/>
          </rPr>
          <t xml:space="preserve">
TY Actuals. 07/22-06/23</t>
        </r>
      </text>
    </comment>
    <comment ref="M59" authorId="0" shapeId="0" xr:uid="{456FD779-098D-4FE6-855D-3B2220F8BFB3}">
      <text>
        <r>
          <rPr>
            <b/>
            <sz val="9"/>
            <color indexed="81"/>
            <rFont val="Tahoma"/>
            <family val="2"/>
          </rPr>
          <t>Potter, Daniel:</t>
        </r>
        <r>
          <rPr>
            <sz val="9"/>
            <color indexed="81"/>
            <rFont val="Tahoma"/>
            <family val="2"/>
          </rPr>
          <t xml:space="preserve">
TY Actuals. 07/22-06/23</t>
        </r>
      </text>
    </comment>
    <comment ref="N59" authorId="0" shapeId="0" xr:uid="{A931A8F9-FD3B-4B9D-BD99-C35691BD9B21}">
      <text>
        <r>
          <rPr>
            <b/>
            <sz val="9"/>
            <color indexed="81"/>
            <rFont val="Tahoma"/>
            <family val="2"/>
          </rPr>
          <t>Potter, Daniel:</t>
        </r>
        <r>
          <rPr>
            <sz val="9"/>
            <color indexed="81"/>
            <rFont val="Tahoma"/>
            <family val="2"/>
          </rPr>
          <t xml:space="preserve">
TY Actuals. 07/22-06/23</t>
        </r>
      </text>
    </comment>
    <comment ref="O59" authorId="0" shapeId="0" xr:uid="{39E3DECE-6099-4E0A-A86D-B634EB4F6812}">
      <text>
        <r>
          <rPr>
            <b/>
            <sz val="9"/>
            <color indexed="81"/>
            <rFont val="Tahoma"/>
            <family val="2"/>
          </rPr>
          <t>Potter, Daniel:</t>
        </r>
        <r>
          <rPr>
            <sz val="9"/>
            <color indexed="81"/>
            <rFont val="Tahoma"/>
            <family val="2"/>
          </rPr>
          <t xml:space="preserve">
TY Actuals.  07/23-06/24</t>
        </r>
      </text>
    </comment>
    <comment ref="P59" authorId="0" shapeId="0" xr:uid="{5722C981-767E-4601-9805-07E06A46AFCC}">
      <text>
        <r>
          <rPr>
            <b/>
            <sz val="9"/>
            <color indexed="81"/>
            <rFont val="Tahoma"/>
            <family val="2"/>
          </rPr>
          <t>Potter, Daniel:</t>
        </r>
        <r>
          <rPr>
            <sz val="9"/>
            <color indexed="81"/>
            <rFont val="Tahoma"/>
            <family val="2"/>
          </rPr>
          <t xml:space="preserve">
TY Actuals.  07/23-06/24</t>
        </r>
      </text>
    </comment>
    <comment ref="Q59" authorId="0" shapeId="0" xr:uid="{28797B7B-6F8C-4281-8482-9489D5910B70}">
      <text>
        <r>
          <rPr>
            <b/>
            <sz val="9"/>
            <color indexed="81"/>
            <rFont val="Tahoma"/>
            <family val="2"/>
          </rPr>
          <t>Potter, Daniel:</t>
        </r>
        <r>
          <rPr>
            <sz val="9"/>
            <color indexed="81"/>
            <rFont val="Tahoma"/>
            <family val="2"/>
          </rPr>
          <t xml:space="preserve">
TY Actuals.  07/23-06/24</t>
        </r>
      </text>
    </comment>
    <comment ref="R59" authorId="0" shapeId="0" xr:uid="{5C3FB55C-2938-4A98-A67E-66E895EFF23F}">
      <text>
        <r>
          <rPr>
            <b/>
            <sz val="9"/>
            <color indexed="81"/>
            <rFont val="Tahoma"/>
            <family val="2"/>
          </rPr>
          <t>Potter, Daniel:</t>
        </r>
        <r>
          <rPr>
            <sz val="9"/>
            <color indexed="81"/>
            <rFont val="Tahoma"/>
            <family val="2"/>
          </rPr>
          <t xml:space="preserve">
TY Actuals.  07/23-06/24</t>
        </r>
      </text>
    </comment>
    <comment ref="S59" authorId="0" shapeId="0" xr:uid="{3113ABFE-EBAC-4DEC-8740-3D595620E4A3}">
      <text>
        <r>
          <rPr>
            <b/>
            <sz val="9"/>
            <color indexed="81"/>
            <rFont val="Tahoma"/>
            <family val="2"/>
          </rPr>
          <t>Potter, Daniel:</t>
        </r>
        <r>
          <rPr>
            <sz val="9"/>
            <color indexed="81"/>
            <rFont val="Tahoma"/>
            <family val="2"/>
          </rPr>
          <t xml:space="preserve">
TY Actuals.  07/23-06/24</t>
        </r>
      </text>
    </comment>
    <comment ref="T59" authorId="0" shapeId="0" xr:uid="{BB2BF708-3E63-4E75-823C-859C1CAD7080}">
      <text>
        <r>
          <rPr>
            <b/>
            <sz val="9"/>
            <color indexed="81"/>
            <rFont val="Tahoma"/>
            <family val="2"/>
          </rPr>
          <t>Potter, Daniel:</t>
        </r>
        <r>
          <rPr>
            <sz val="9"/>
            <color indexed="81"/>
            <rFont val="Tahoma"/>
            <family val="2"/>
          </rPr>
          <t xml:space="preserve">
TY Actuals.  07/23-06/24</t>
        </r>
      </text>
    </comment>
    <comment ref="U59" authorId="0" shapeId="0" xr:uid="{657213B2-53C7-4085-A644-A5046E663D11}">
      <text>
        <r>
          <rPr>
            <b/>
            <sz val="9"/>
            <color indexed="81"/>
            <rFont val="Tahoma"/>
            <family val="2"/>
          </rPr>
          <t>Potter, Daniel:</t>
        </r>
        <r>
          <rPr>
            <sz val="9"/>
            <color indexed="81"/>
            <rFont val="Tahoma"/>
            <family val="2"/>
          </rPr>
          <t xml:space="preserve">
TY Actuals.  07/23-06/24</t>
        </r>
      </text>
    </comment>
    <comment ref="V59" authorId="0" shapeId="0" xr:uid="{C43F4B73-C4DA-4F8D-892F-FDAC9B015F50}">
      <text>
        <r>
          <rPr>
            <b/>
            <sz val="9"/>
            <color indexed="81"/>
            <rFont val="Tahoma"/>
            <family val="2"/>
          </rPr>
          <t>Potter, Daniel:</t>
        </r>
        <r>
          <rPr>
            <sz val="9"/>
            <color indexed="81"/>
            <rFont val="Tahoma"/>
            <family val="2"/>
          </rPr>
          <t xml:space="preserve">
TY Actuals.  07/23-06/24</t>
        </r>
      </text>
    </comment>
    <comment ref="W59" authorId="0" shapeId="0" xr:uid="{4103A497-3ECA-4113-9F90-B99B0632153B}">
      <text>
        <r>
          <rPr>
            <b/>
            <sz val="9"/>
            <color indexed="81"/>
            <rFont val="Tahoma"/>
            <family val="2"/>
          </rPr>
          <t>Potter, Daniel:</t>
        </r>
        <r>
          <rPr>
            <sz val="9"/>
            <color indexed="81"/>
            <rFont val="Tahoma"/>
            <family val="2"/>
          </rPr>
          <t xml:space="preserve">
TY Actuals.  07/23-06/24</t>
        </r>
      </text>
    </comment>
    <comment ref="X59" authorId="0" shapeId="0" xr:uid="{EB57D557-0497-4346-9DB9-49D654C87117}">
      <text>
        <r>
          <rPr>
            <b/>
            <sz val="9"/>
            <color indexed="81"/>
            <rFont val="Tahoma"/>
            <family val="2"/>
          </rPr>
          <t>Potter, Daniel:</t>
        </r>
        <r>
          <rPr>
            <sz val="9"/>
            <color indexed="81"/>
            <rFont val="Tahoma"/>
            <family val="2"/>
          </rPr>
          <t xml:space="preserve">
TY Actuals.  07/23-06/24</t>
        </r>
      </text>
    </comment>
    <comment ref="Y59" authorId="0" shapeId="0" xr:uid="{9568D70C-6111-4EA1-A3E9-E52DA86375A7}">
      <text>
        <r>
          <rPr>
            <b/>
            <sz val="9"/>
            <color indexed="81"/>
            <rFont val="Tahoma"/>
            <family val="2"/>
          </rPr>
          <t>Potter, Daniel:</t>
        </r>
        <r>
          <rPr>
            <sz val="9"/>
            <color indexed="81"/>
            <rFont val="Tahoma"/>
            <family val="2"/>
          </rPr>
          <t xml:space="preserve">
TY Actuals.  07/23-06/24</t>
        </r>
      </text>
    </comment>
    <comment ref="Z59" authorId="0" shapeId="0" xr:uid="{90C5FA33-3281-445E-BF11-68A0124D5179}">
      <text>
        <r>
          <rPr>
            <b/>
            <sz val="9"/>
            <color indexed="81"/>
            <rFont val="Tahoma"/>
            <family val="2"/>
          </rPr>
          <t>Potter, Daniel:</t>
        </r>
        <r>
          <rPr>
            <sz val="9"/>
            <color indexed="81"/>
            <rFont val="Tahoma"/>
            <family val="2"/>
          </rPr>
          <t xml:space="preserve">
TY Actuals.  07/23-06/24</t>
        </r>
      </text>
    </comment>
    <comment ref="C62" authorId="0" shapeId="0" xr:uid="{9F2B5B49-3DEA-48B9-B15A-D2BB510783A6}">
      <text>
        <r>
          <rPr>
            <b/>
            <sz val="9"/>
            <color indexed="81"/>
            <rFont val="Tahoma"/>
            <family val="2"/>
          </rPr>
          <t>Potter, Daniel:</t>
        </r>
        <r>
          <rPr>
            <sz val="9"/>
            <color indexed="81"/>
            <rFont val="Tahoma"/>
            <family val="2"/>
          </rPr>
          <t xml:space="preserve">
TY Actuals. 07/22-06/23</t>
        </r>
      </text>
    </comment>
    <comment ref="D62" authorId="0" shapeId="0" xr:uid="{0F6E3453-5A43-4D6F-994F-EB35BABA8D35}">
      <text>
        <r>
          <rPr>
            <b/>
            <sz val="9"/>
            <color indexed="81"/>
            <rFont val="Tahoma"/>
            <family val="2"/>
          </rPr>
          <t>Potter, Daniel:</t>
        </r>
        <r>
          <rPr>
            <sz val="9"/>
            <color indexed="81"/>
            <rFont val="Tahoma"/>
            <family val="2"/>
          </rPr>
          <t xml:space="preserve">
TY Actuals. 07/22-06/23</t>
        </r>
      </text>
    </comment>
    <comment ref="E62" authorId="0" shapeId="0" xr:uid="{AF9AB3BE-3007-4F59-BC4F-9DEB1B17078B}">
      <text>
        <r>
          <rPr>
            <b/>
            <sz val="9"/>
            <color indexed="81"/>
            <rFont val="Tahoma"/>
            <family val="2"/>
          </rPr>
          <t>Potter, Daniel:</t>
        </r>
        <r>
          <rPr>
            <sz val="9"/>
            <color indexed="81"/>
            <rFont val="Tahoma"/>
            <family val="2"/>
          </rPr>
          <t xml:space="preserve">
TY Actuals. 07/22-06/23</t>
        </r>
      </text>
    </comment>
    <comment ref="F62" authorId="0" shapeId="0" xr:uid="{D53446D9-8C75-47CF-9CC7-1833F3B55A8D}">
      <text>
        <r>
          <rPr>
            <b/>
            <sz val="9"/>
            <color indexed="81"/>
            <rFont val="Tahoma"/>
            <family val="2"/>
          </rPr>
          <t>Potter, Daniel:</t>
        </r>
        <r>
          <rPr>
            <sz val="9"/>
            <color indexed="81"/>
            <rFont val="Tahoma"/>
            <family val="2"/>
          </rPr>
          <t xml:space="preserve">
TY Actuals. 07/22-06/23</t>
        </r>
      </text>
    </comment>
    <comment ref="G62" authorId="0" shapeId="0" xr:uid="{4D26A3F0-E31A-4F44-9F53-85B189F3A15D}">
      <text>
        <r>
          <rPr>
            <b/>
            <sz val="9"/>
            <color indexed="81"/>
            <rFont val="Tahoma"/>
            <family val="2"/>
          </rPr>
          <t>Potter, Daniel:</t>
        </r>
        <r>
          <rPr>
            <sz val="9"/>
            <color indexed="81"/>
            <rFont val="Tahoma"/>
            <family val="2"/>
          </rPr>
          <t xml:space="preserve">
TY Actuals. 07/22-06/23</t>
        </r>
      </text>
    </comment>
    <comment ref="H62" authorId="0" shapeId="0" xr:uid="{EC090F7F-9CE4-4E9D-85D3-9DD18F1D1067}">
      <text>
        <r>
          <rPr>
            <b/>
            <sz val="9"/>
            <color indexed="81"/>
            <rFont val="Tahoma"/>
            <family val="2"/>
          </rPr>
          <t>Potter, Daniel:</t>
        </r>
        <r>
          <rPr>
            <sz val="9"/>
            <color indexed="81"/>
            <rFont val="Tahoma"/>
            <family val="2"/>
          </rPr>
          <t xml:space="preserve">
TY Actuals. 07/22-06/23</t>
        </r>
      </text>
    </comment>
    <comment ref="I62" authorId="0" shapeId="0" xr:uid="{0FC13C6A-4E31-4E97-B7A5-A9387653EB58}">
      <text>
        <r>
          <rPr>
            <b/>
            <sz val="9"/>
            <color indexed="81"/>
            <rFont val="Tahoma"/>
            <family val="2"/>
          </rPr>
          <t>Potter, Daniel:</t>
        </r>
        <r>
          <rPr>
            <sz val="9"/>
            <color indexed="81"/>
            <rFont val="Tahoma"/>
            <family val="2"/>
          </rPr>
          <t xml:space="preserve">
TY Actuals. 07/22-06/23</t>
        </r>
      </text>
    </comment>
    <comment ref="J62" authorId="0" shapeId="0" xr:uid="{5B9E3548-FDE8-42D1-966E-8B966426A64F}">
      <text>
        <r>
          <rPr>
            <b/>
            <sz val="9"/>
            <color indexed="81"/>
            <rFont val="Tahoma"/>
            <family val="2"/>
          </rPr>
          <t>Potter, Daniel:</t>
        </r>
        <r>
          <rPr>
            <sz val="9"/>
            <color indexed="81"/>
            <rFont val="Tahoma"/>
            <family val="2"/>
          </rPr>
          <t xml:space="preserve">
TY Actuals. 07/22-06/23</t>
        </r>
      </text>
    </comment>
    <comment ref="K62" authorId="0" shapeId="0" xr:uid="{F4E4B0F3-88DC-4875-A2DC-9C2796A6F174}">
      <text>
        <r>
          <rPr>
            <b/>
            <sz val="9"/>
            <color indexed="81"/>
            <rFont val="Tahoma"/>
            <family val="2"/>
          </rPr>
          <t>Potter, Daniel:</t>
        </r>
        <r>
          <rPr>
            <sz val="9"/>
            <color indexed="81"/>
            <rFont val="Tahoma"/>
            <family val="2"/>
          </rPr>
          <t xml:space="preserve">
TY Actuals. 07/22-06/23</t>
        </r>
      </text>
    </comment>
    <comment ref="L62" authorId="0" shapeId="0" xr:uid="{2EA1FFBE-2828-486C-80BE-FA178D4657AC}">
      <text>
        <r>
          <rPr>
            <b/>
            <sz val="9"/>
            <color indexed="81"/>
            <rFont val="Tahoma"/>
            <family val="2"/>
          </rPr>
          <t>Potter, Daniel:</t>
        </r>
        <r>
          <rPr>
            <sz val="9"/>
            <color indexed="81"/>
            <rFont val="Tahoma"/>
            <family val="2"/>
          </rPr>
          <t xml:space="preserve">
TY Actuals. 07/22-06/23</t>
        </r>
      </text>
    </comment>
    <comment ref="M62" authorId="0" shapeId="0" xr:uid="{1DCE42BD-3CE3-4FC1-BF90-2196BC6285DD}">
      <text>
        <r>
          <rPr>
            <b/>
            <sz val="9"/>
            <color indexed="81"/>
            <rFont val="Tahoma"/>
            <family val="2"/>
          </rPr>
          <t>Potter, Daniel:</t>
        </r>
        <r>
          <rPr>
            <sz val="9"/>
            <color indexed="81"/>
            <rFont val="Tahoma"/>
            <family val="2"/>
          </rPr>
          <t xml:space="preserve">
TY Actuals. 07/22-06/23</t>
        </r>
      </text>
    </comment>
    <comment ref="N62" authorId="0" shapeId="0" xr:uid="{BFD3A30B-70AC-4012-8F4F-2DC72C7D2961}">
      <text>
        <r>
          <rPr>
            <b/>
            <sz val="9"/>
            <color indexed="81"/>
            <rFont val="Tahoma"/>
            <family val="2"/>
          </rPr>
          <t>Potter, Daniel:</t>
        </r>
        <r>
          <rPr>
            <sz val="9"/>
            <color indexed="81"/>
            <rFont val="Tahoma"/>
            <family val="2"/>
          </rPr>
          <t xml:space="preserve">
TY Actuals. 07/22-06/23</t>
        </r>
      </text>
    </comment>
    <comment ref="O62" authorId="0" shapeId="0" xr:uid="{E80E853D-2E89-467F-A5B4-A7BE88B6740D}">
      <text>
        <r>
          <rPr>
            <b/>
            <sz val="9"/>
            <color indexed="81"/>
            <rFont val="Tahoma"/>
            <family val="2"/>
          </rPr>
          <t>Potter, Daniel:</t>
        </r>
        <r>
          <rPr>
            <sz val="9"/>
            <color indexed="81"/>
            <rFont val="Tahoma"/>
            <family val="2"/>
          </rPr>
          <t xml:space="preserve">
TY Actuals.  07/23-06/24</t>
        </r>
      </text>
    </comment>
    <comment ref="P62" authorId="0" shapeId="0" xr:uid="{BB3A9650-7471-441D-B873-C405CCBC80E6}">
      <text>
        <r>
          <rPr>
            <b/>
            <sz val="9"/>
            <color indexed="81"/>
            <rFont val="Tahoma"/>
            <family val="2"/>
          </rPr>
          <t>Potter, Daniel:</t>
        </r>
        <r>
          <rPr>
            <sz val="9"/>
            <color indexed="81"/>
            <rFont val="Tahoma"/>
            <family val="2"/>
          </rPr>
          <t xml:space="preserve">
TY Actuals.  07/23-06/24</t>
        </r>
      </text>
    </comment>
    <comment ref="Q62" authorId="0" shapeId="0" xr:uid="{C06620C8-A1D8-412F-BBEE-FA5C3F2D2A18}">
      <text>
        <r>
          <rPr>
            <b/>
            <sz val="9"/>
            <color indexed="81"/>
            <rFont val="Tahoma"/>
            <family val="2"/>
          </rPr>
          <t>Potter, Daniel:</t>
        </r>
        <r>
          <rPr>
            <sz val="9"/>
            <color indexed="81"/>
            <rFont val="Tahoma"/>
            <family val="2"/>
          </rPr>
          <t xml:space="preserve">
TY Actuals.  07/23-06/24</t>
        </r>
      </text>
    </comment>
    <comment ref="R62" authorId="0" shapeId="0" xr:uid="{198A1DCF-F552-4F4B-8845-0C026D3647A8}">
      <text>
        <r>
          <rPr>
            <b/>
            <sz val="9"/>
            <color indexed="81"/>
            <rFont val="Tahoma"/>
            <family val="2"/>
          </rPr>
          <t>Potter, Daniel:</t>
        </r>
        <r>
          <rPr>
            <sz val="9"/>
            <color indexed="81"/>
            <rFont val="Tahoma"/>
            <family val="2"/>
          </rPr>
          <t xml:space="preserve">
TY Actuals.  07/23-06/24</t>
        </r>
      </text>
    </comment>
    <comment ref="S62" authorId="0" shapeId="0" xr:uid="{7B68B043-3572-4335-B41F-DD35DDC0E207}">
      <text>
        <r>
          <rPr>
            <b/>
            <sz val="9"/>
            <color indexed="81"/>
            <rFont val="Tahoma"/>
            <family val="2"/>
          </rPr>
          <t>Potter, Daniel:</t>
        </r>
        <r>
          <rPr>
            <sz val="9"/>
            <color indexed="81"/>
            <rFont val="Tahoma"/>
            <family val="2"/>
          </rPr>
          <t xml:space="preserve">
TY Actuals.  07/23-06/24</t>
        </r>
      </text>
    </comment>
    <comment ref="T62" authorId="0" shapeId="0" xr:uid="{5CC7F166-D7E6-4C26-A111-6BD71B0B48A3}">
      <text>
        <r>
          <rPr>
            <b/>
            <sz val="9"/>
            <color indexed="81"/>
            <rFont val="Tahoma"/>
            <family val="2"/>
          </rPr>
          <t>Potter, Daniel:</t>
        </r>
        <r>
          <rPr>
            <sz val="9"/>
            <color indexed="81"/>
            <rFont val="Tahoma"/>
            <family val="2"/>
          </rPr>
          <t xml:space="preserve">
TY Actuals.  07/23-06/24</t>
        </r>
      </text>
    </comment>
    <comment ref="U62" authorId="0" shapeId="0" xr:uid="{EB643A68-0E69-48E9-8821-6B27D916171A}">
      <text>
        <r>
          <rPr>
            <b/>
            <sz val="9"/>
            <color indexed="81"/>
            <rFont val="Tahoma"/>
            <family val="2"/>
          </rPr>
          <t>Potter, Daniel:</t>
        </r>
        <r>
          <rPr>
            <sz val="9"/>
            <color indexed="81"/>
            <rFont val="Tahoma"/>
            <family val="2"/>
          </rPr>
          <t xml:space="preserve">
TY Actuals.  07/23-06/24</t>
        </r>
      </text>
    </comment>
    <comment ref="V62" authorId="0" shapeId="0" xr:uid="{245AB3CE-77F0-4735-9546-48ED8D56A4F0}">
      <text>
        <r>
          <rPr>
            <b/>
            <sz val="9"/>
            <color indexed="81"/>
            <rFont val="Tahoma"/>
            <family val="2"/>
          </rPr>
          <t>Potter, Daniel:</t>
        </r>
        <r>
          <rPr>
            <sz val="9"/>
            <color indexed="81"/>
            <rFont val="Tahoma"/>
            <family val="2"/>
          </rPr>
          <t xml:space="preserve">
TY Actuals.  07/23-06/24</t>
        </r>
      </text>
    </comment>
    <comment ref="W62" authorId="0" shapeId="0" xr:uid="{7C6F4911-DCC8-4A4B-9271-C30DE89BC402}">
      <text>
        <r>
          <rPr>
            <b/>
            <sz val="9"/>
            <color indexed="81"/>
            <rFont val="Tahoma"/>
            <family val="2"/>
          </rPr>
          <t>Potter, Daniel:</t>
        </r>
        <r>
          <rPr>
            <sz val="9"/>
            <color indexed="81"/>
            <rFont val="Tahoma"/>
            <family val="2"/>
          </rPr>
          <t xml:space="preserve">
TY Actuals.  07/23-06/24</t>
        </r>
      </text>
    </comment>
    <comment ref="X62" authorId="0" shapeId="0" xr:uid="{560808F1-64DB-4AA6-916D-0602C8299822}">
      <text>
        <r>
          <rPr>
            <b/>
            <sz val="9"/>
            <color indexed="81"/>
            <rFont val="Tahoma"/>
            <family val="2"/>
          </rPr>
          <t>Potter, Daniel:</t>
        </r>
        <r>
          <rPr>
            <sz val="9"/>
            <color indexed="81"/>
            <rFont val="Tahoma"/>
            <family val="2"/>
          </rPr>
          <t xml:space="preserve">
TY Actuals.  07/23-06/24</t>
        </r>
      </text>
    </comment>
    <comment ref="Y62" authorId="0" shapeId="0" xr:uid="{38EE1DF4-6CCF-4565-9E4D-8E4799834AE5}">
      <text>
        <r>
          <rPr>
            <b/>
            <sz val="9"/>
            <color indexed="81"/>
            <rFont val="Tahoma"/>
            <family val="2"/>
          </rPr>
          <t>Potter, Daniel:</t>
        </r>
        <r>
          <rPr>
            <sz val="9"/>
            <color indexed="81"/>
            <rFont val="Tahoma"/>
            <family val="2"/>
          </rPr>
          <t xml:space="preserve">
TY Actuals.  07/23-06/24</t>
        </r>
      </text>
    </comment>
    <comment ref="Z62" authorId="0" shapeId="0" xr:uid="{C8B19BE9-0FC9-4E39-A3B2-41037E54909E}">
      <text>
        <r>
          <rPr>
            <b/>
            <sz val="9"/>
            <color indexed="81"/>
            <rFont val="Tahoma"/>
            <family val="2"/>
          </rPr>
          <t>Potter, Daniel:</t>
        </r>
        <r>
          <rPr>
            <sz val="9"/>
            <color indexed="81"/>
            <rFont val="Tahoma"/>
            <family val="2"/>
          </rPr>
          <t xml:space="preserve">
TY Actuals.  07/23-06/24</t>
        </r>
      </text>
    </comment>
    <comment ref="C177" authorId="1" shapeId="0" xr:uid="{00000000-0006-0000-0500-0000CD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D177" authorId="1" shapeId="0" xr:uid="{00000000-0006-0000-0500-0000CE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E177" authorId="1" shapeId="0" xr:uid="{00000000-0006-0000-0500-0000CF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F177" authorId="1" shapeId="0" xr:uid="{00000000-0006-0000-0500-0000D0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G177" authorId="1" shapeId="0" xr:uid="{00000000-0006-0000-0500-0000D1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H177" authorId="1" shapeId="0" xr:uid="{00000000-0006-0000-0500-0000D2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I177" authorId="1" shapeId="0" xr:uid="{00000000-0006-0000-0500-0000D3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J177" authorId="1" shapeId="0" xr:uid="{00000000-0006-0000-0500-0000D4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K177" authorId="1" shapeId="0" xr:uid="{00000000-0006-0000-0500-0000D5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L177" authorId="1" shapeId="0" xr:uid="{00000000-0006-0000-0500-0000D6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M177" authorId="1" shapeId="0" xr:uid="{00000000-0006-0000-0500-0000D7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N177" authorId="1" shapeId="0" xr:uid="{00000000-0006-0000-0500-0000D8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O177" authorId="1" shapeId="0" xr:uid="{00000000-0006-0000-0500-0000D9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P177" authorId="1" shapeId="0" xr:uid="{00000000-0006-0000-0500-0000DA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Q177" authorId="1" shapeId="0" xr:uid="{00000000-0006-0000-0500-0000DB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R177" authorId="1" shapeId="0" xr:uid="{00000000-0006-0000-0500-0000DC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S177" authorId="1" shapeId="0" xr:uid="{00000000-0006-0000-0500-0000DD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T177" authorId="1" shapeId="0" xr:uid="{00000000-0006-0000-0500-0000DE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U177" authorId="1" shapeId="0" xr:uid="{00000000-0006-0000-0500-0000DF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V177" authorId="1" shapeId="0" xr:uid="{00000000-0006-0000-0500-0000E0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W177" authorId="1" shapeId="0" xr:uid="{00000000-0006-0000-0500-0000E1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X177" authorId="1" shapeId="0" xr:uid="{00000000-0006-0000-0500-0000E2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Y177" authorId="1" shapeId="0" xr:uid="{00000000-0006-0000-0500-0000E3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Z177" authorId="1" shapeId="0" xr:uid="{00000000-0006-0000-0500-0000E4070000}">
      <text>
        <r>
          <rPr>
            <b/>
            <sz val="9"/>
            <color indexed="81"/>
            <rFont val="Tahoma"/>
            <family val="2"/>
          </rPr>
          <t>Craig Kieny:</t>
        </r>
        <r>
          <rPr>
            <sz val="9"/>
            <color indexed="81"/>
            <rFont val="Tahoma"/>
            <family val="2"/>
          </rPr>
          <t xml:space="preserve">
Per e-mail from Patty Richards dated 1/28/16 in which she says their most recent analysis shows they will not need any of their share until April 2020 and at that point they expect to only need 0.500 MW.  I assumed they would take 0.500 MW beyond that point for the remainder of the contract until I hear otherwise.</t>
        </r>
      </text>
    </comment>
    <comment ref="C179" authorId="1" shapeId="0" xr:uid="{9E498804-2E86-4A50-8801-7E05198F19CA}">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D179" authorId="1" shapeId="0" xr:uid="{C6B2C417-7B3E-44D6-BB08-7CC81D80035E}">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E179" authorId="1" shapeId="0" xr:uid="{4829988B-3F60-4C0F-A11C-94A2E116DB9E}">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F179" authorId="1" shapeId="0" xr:uid="{958AF160-CCB6-41F6-B74F-B320C688FCC5}">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G179" authorId="1" shapeId="0" xr:uid="{E2589601-051F-4430-823A-A885B27F6275}">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H179" authorId="1" shapeId="0" xr:uid="{A55C5C06-8101-4883-8E99-5C5DEBB108B0}">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I179" authorId="1" shapeId="0" xr:uid="{86066A84-3488-43FE-8063-8AC9B7F1BC8E}">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J179" authorId="1" shapeId="0" xr:uid="{1A30B500-1DA6-4194-A3A4-4E35AF4AC454}">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K179" authorId="1" shapeId="0" xr:uid="{3E18B05C-5B74-4564-B9A7-3D8A5BFFE1E8}">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L179" authorId="1" shapeId="0" xr:uid="{7C8E7378-FB53-41A4-9B8C-D90BC11B3333}">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M179" authorId="1" shapeId="0" xr:uid="{9206D5A0-507C-4992-8D3D-8DF84E9EE299}">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N179" authorId="1" shapeId="0" xr:uid="{C159BC33-454C-4E04-ABCD-E2F8C8E38863}">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O179" authorId="1" shapeId="0" xr:uid="{92115312-F179-4B88-B472-7FC2589E7E00}">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P179" authorId="1" shapeId="0" xr:uid="{6F794846-14AE-413B-B298-BB865FA24E21}">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Q179" authorId="1" shapeId="0" xr:uid="{C7210B01-67F0-4993-AD62-129C31FC7158}">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R179" authorId="1" shapeId="0" xr:uid="{720B47E6-E436-4579-9334-F6D70CE3514A}">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S179" authorId="1" shapeId="0" xr:uid="{3BCCE5B5-7489-4143-B944-4D2E7CD79CDA}">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T179" authorId="1" shapeId="0" xr:uid="{99CB2DDB-A2C1-422F-9ED9-B55F8897B6C0}">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U179" authorId="1" shapeId="0" xr:uid="{50272779-27B8-4D83-9F61-B49AECF44799}">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V179" authorId="1" shapeId="0" xr:uid="{ED16BFF5-8877-471A-A7A7-AC75694F4E0F}">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W179" authorId="1" shapeId="0" xr:uid="{A68F5CC7-8326-42AA-9DE2-00BABEDBD062}">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X179" authorId="1" shapeId="0" xr:uid="{02B6B446-F32F-48EC-AF7D-0496E239E57E}">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Y179" authorId="1" shapeId="0" xr:uid="{2C52D9A2-81CE-4DB0-91A5-C96AD4E5476D}">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Z179" authorId="1" shapeId="0" xr:uid="{E3CE138F-8198-45EB-B46F-D1DD4BD4C0A5}">
      <text>
        <r>
          <rPr>
            <b/>
            <sz val="9"/>
            <color indexed="81"/>
            <rFont val="Tahoma"/>
            <family val="2"/>
          </rPr>
          <t>Craig Kieny:</t>
        </r>
        <r>
          <rPr>
            <sz val="9"/>
            <color indexed="81"/>
            <rFont val="Tahoma"/>
            <family val="2"/>
          </rPr>
          <t xml:space="preserve">
Assumes WEC takes back 1 MW of the 4 MW they currently provide us through the agreement we have with them to purchase the HQ US they don't need.  See notice from WEC received in May or June 2022.</t>
        </r>
      </text>
    </comment>
    <comment ref="M180" authorId="0" shapeId="0" xr:uid="{C77DA4D3-D714-43EB-A5B4-85F1C9FCFE95}">
      <text>
        <r>
          <rPr>
            <b/>
            <sz val="9"/>
            <color indexed="81"/>
            <rFont val="Tahoma"/>
            <family val="2"/>
          </rPr>
          <t>Potter, Daniel:</t>
        </r>
        <r>
          <rPr>
            <sz val="9"/>
            <color indexed="81"/>
            <rFont val="Tahoma"/>
            <family val="2"/>
          </rPr>
          <t xml:space="preserve">
See email from Karine Warda dated 10/11/24</t>
        </r>
      </text>
    </comment>
    <comment ref="Y180" authorId="2" shapeId="0" xr:uid="{00000000-0006-0000-0500-00007C080000}">
      <text>
        <r>
          <rPr>
            <b/>
            <sz val="9"/>
            <color indexed="81"/>
            <rFont val="Tahoma"/>
            <family val="2"/>
          </rPr>
          <t>Williams, Tucker:</t>
        </r>
        <r>
          <rPr>
            <sz val="9"/>
            <color indexed="81"/>
            <rFont val="Tahoma"/>
            <family val="2"/>
          </rPr>
          <t xml:space="preserve">
Need to update once pricing is finalized with HQ.</t>
        </r>
      </text>
    </comment>
    <comment ref="C189" authorId="0" shapeId="0" xr:uid="{027123EE-C607-4381-83FA-29ECD2D365F5}">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D189" authorId="0" shapeId="0" xr:uid="{74BBC4F6-8FEE-4D68-9A6A-7AF615B5758F}">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E189" authorId="0" shapeId="0" xr:uid="{80DEFE7D-414B-471F-B3D2-62C43DDD5BEF}">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F189" authorId="0" shapeId="0" xr:uid="{A9048520-28F5-4F93-B78B-39EE46B952A0}">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G189" authorId="0" shapeId="0" xr:uid="{399A435A-8FE2-4F43-9AB2-983D175EC91B}">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H189" authorId="0" shapeId="0" xr:uid="{34CD0E5B-50C7-4EB2-B02E-154EB75765FD}">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I189" authorId="0" shapeId="0" xr:uid="{D9AE8EB4-1E73-4DBD-924A-52CC94576E7B}">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J189" authorId="0" shapeId="0" xr:uid="{B74387DF-83E2-42EA-BBDC-A209E7D28CEC}">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K189" authorId="0" shapeId="0" xr:uid="{9F7BD4A2-C2F2-4327-967D-3C75CC6AA5B7}">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L189" authorId="0" shapeId="0" xr:uid="{D046714A-B7BE-450F-A633-9D9E4899368F}">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M189" authorId="0" shapeId="0" xr:uid="{4B98D5D8-E0F7-43C5-9F63-3AC621371BA8}">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N189" authorId="0" shapeId="0" xr:uid="{6C4E9464-E0FD-4859-9FF0-AF1BCD425E7E}">
      <text>
        <r>
          <rPr>
            <b/>
            <sz val="9"/>
            <color indexed="81"/>
            <rFont val="Tahoma"/>
            <family val="2"/>
          </rPr>
          <t>Potter, Daniel:</t>
        </r>
        <r>
          <rPr>
            <sz val="9"/>
            <color indexed="81"/>
            <rFont val="Tahoma"/>
            <family val="2"/>
          </rPr>
          <t xml:space="preserve">
Test Year actuals.  07/22-06/23 actuals.  See </t>
        </r>
        <r>
          <rPr>
            <i/>
            <sz val="9"/>
            <color indexed="81"/>
            <rFont val="Tahoma"/>
            <family val="2"/>
          </rPr>
          <t xml:space="preserve">ASE Floor Impact 07 2022-06 2023 2023 08 30 </t>
        </r>
        <r>
          <rPr>
            <sz val="9"/>
            <color indexed="81"/>
            <rFont val="Tahoma"/>
            <family val="2"/>
          </rPr>
          <t xml:space="preserve">for backup. </t>
        </r>
      </text>
    </comment>
    <comment ref="O189" authorId="0" shapeId="0" xr:uid="{D8A20F10-5BD8-49A6-ABA5-696BA4230D6B}">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P189" authorId="0" shapeId="0" xr:uid="{D0592600-FCBF-4D67-9A3B-7EAA56CCEAB5}">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Q189" authorId="0" shapeId="0" xr:uid="{59AD971C-F4CF-4136-9CEB-8CA8353196A3}">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R189" authorId="0" shapeId="0" xr:uid="{65C2D9A5-4348-43C1-B2A7-E258C4EB6137}">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S189" authorId="0" shapeId="0" xr:uid="{D4AACE7A-D48B-4029-8EAC-3BA30B33EDEA}">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T189" authorId="0" shapeId="0" xr:uid="{EE2FA5B4-7C45-4AF8-9A19-FD99E9A85293}">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U189" authorId="0" shapeId="0" xr:uid="{994C40A2-F96F-4959-97A8-E78878973A98}">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V189" authorId="0" shapeId="0" xr:uid="{A28A55D8-55A0-4F27-AEBD-7B00C924CB6B}">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W189" authorId="0" shapeId="0" xr:uid="{F4892871-A100-48B4-BC6D-C24E28876C63}">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X189" authorId="0" shapeId="0" xr:uid="{37F6C94B-F704-43E5-95C1-2D4C13CB944D}">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Y189" authorId="0" shapeId="0" xr:uid="{6D1C908A-4079-495C-82AF-7811F64B2859}">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Z189" authorId="0" shapeId="0" xr:uid="{A70B3E0C-2BFE-40B4-BF4C-9D469C553822}">
      <text>
        <r>
          <rPr>
            <b/>
            <sz val="9"/>
            <color indexed="81"/>
            <rFont val="Tahoma"/>
            <family val="2"/>
          </rPr>
          <t>Potter, Daniel:</t>
        </r>
        <r>
          <rPr>
            <sz val="9"/>
            <color indexed="81"/>
            <rFont val="Tahoma"/>
            <family val="2"/>
          </rPr>
          <t xml:space="preserve">
Test Year actuals.  07/23-06/24 actuals.  See </t>
        </r>
        <r>
          <rPr>
            <i/>
            <sz val="9"/>
            <color indexed="81"/>
            <rFont val="Tahoma"/>
            <family val="2"/>
          </rPr>
          <t xml:space="preserve">ASE Floor Impact 07 2023-06 2024 2024 10 02 </t>
        </r>
        <r>
          <rPr>
            <sz val="9"/>
            <color indexed="81"/>
            <rFont val="Tahoma"/>
            <family val="2"/>
          </rPr>
          <t>for backup.</t>
        </r>
      </text>
    </comment>
    <comment ref="C191" authorId="0" shapeId="0" xr:uid="{1A9E7720-EB13-4223-A92F-1F42E2B9AAAF}">
      <text>
        <r>
          <rPr>
            <b/>
            <sz val="9"/>
            <color indexed="81"/>
            <rFont val="Tahoma"/>
            <family val="2"/>
          </rPr>
          <t>Potter, Daniel:</t>
        </r>
        <r>
          <rPr>
            <sz val="9"/>
            <color indexed="81"/>
            <rFont val="Tahoma"/>
            <family val="2"/>
          </rPr>
          <t xml:space="preserve">
TY Actuals. 07/22-06/23</t>
        </r>
      </text>
    </comment>
    <comment ref="D191" authorId="0" shapeId="0" xr:uid="{627A82A6-2A99-4242-8FDD-CE726F55E3DF}">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E191" authorId="0" shapeId="0" xr:uid="{06E91FD2-3471-4A3F-A610-7618197B672F}">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F191" authorId="0" shapeId="0" xr:uid="{12FD7F63-3082-42FB-8255-26D733E602EA}">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G191" authorId="0" shapeId="0" xr:uid="{0FD71CDC-7EAA-4FF4-8BCD-10695AE0EC3E}">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H191" authorId="0" shapeId="0" xr:uid="{D16ADA99-0BE1-41E4-93D8-0EB5041311E3}">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I191" authorId="0" shapeId="0" xr:uid="{7A32B933-55BA-4D58-84C3-9786AD9FF997}">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J191" authorId="0" shapeId="0" xr:uid="{D6C37BAF-4DF8-4970-9F43-2CBCDB6EE786}">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K191" authorId="0" shapeId="0" xr:uid="{DCAF5942-987E-4BE3-8090-E6A8785D52D6}">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L191" authorId="0" shapeId="0" xr:uid="{A7299331-7F78-4164-80AC-FF3A2A1D9738}">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M191" authorId="0" shapeId="0" xr:uid="{58581C22-83C5-448F-ACB1-5C03F81459D6}">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N191" authorId="0" shapeId="0" xr:uid="{BB9109CA-F51C-468A-9453-D32F319983CD}">
      <text>
        <r>
          <rPr>
            <b/>
            <sz val="9"/>
            <color indexed="81"/>
            <rFont val="Tahoma"/>
            <family val="2"/>
          </rPr>
          <t>Potter, Daniel:</t>
        </r>
        <r>
          <rPr>
            <sz val="9"/>
            <color indexed="81"/>
            <rFont val="Tahoma"/>
            <family val="2"/>
          </rPr>
          <t xml:space="preserve">
Updated to what TY actuals will be.  With exception of Apr-Jun.  April is modeled as Mar and May-Jun are from previous TY. </t>
        </r>
      </text>
    </comment>
    <comment ref="O191" authorId="0" shapeId="0" xr:uid="{0CDD9278-2B64-4BBC-BBE9-203E5800F1C3}">
      <text>
        <r>
          <rPr>
            <b/>
            <sz val="9"/>
            <color indexed="81"/>
            <rFont val="Tahoma"/>
            <family val="2"/>
          </rPr>
          <t>Potter, Daniel:</t>
        </r>
        <r>
          <rPr>
            <sz val="9"/>
            <color indexed="81"/>
            <rFont val="Tahoma"/>
            <family val="2"/>
          </rPr>
          <t xml:space="preserve">
Jan &amp; Feb Set at Estimated ASE values if we had been on HQ 100% of the time.  See Block Load Calculations for Jan &amp; Feb Adjustments 2024 10 16 file. </t>
        </r>
      </text>
    </comment>
    <comment ref="P191" authorId="0" shapeId="0" xr:uid="{642F01AB-7494-49F0-8010-E50CB072AC97}">
      <text>
        <r>
          <rPr>
            <b/>
            <sz val="9"/>
            <color indexed="81"/>
            <rFont val="Tahoma"/>
            <family val="2"/>
          </rPr>
          <t>Potter, Daniel:</t>
        </r>
        <r>
          <rPr>
            <sz val="9"/>
            <color indexed="81"/>
            <rFont val="Tahoma"/>
            <family val="2"/>
          </rPr>
          <t xml:space="preserve">
Jan &amp; Feb Set at Estimated ASE values if we had been on HQ 100% of the time.  See Block Load Calculations for Jan &amp; Feb Adjustments 2024 10 16 file. </t>
        </r>
      </text>
    </comment>
    <comment ref="Q191" authorId="0" shapeId="0" xr:uid="{F52D2BCD-2AD7-41D9-9E8C-A69ED5CC56AC}">
      <text>
        <r>
          <rPr>
            <b/>
            <sz val="9"/>
            <color indexed="81"/>
            <rFont val="Tahoma"/>
            <family val="2"/>
          </rPr>
          <t>Potter, Daniel:</t>
        </r>
        <r>
          <rPr>
            <sz val="9"/>
            <color indexed="81"/>
            <rFont val="Tahoma"/>
            <family val="2"/>
          </rPr>
          <t xml:space="preserve">
TY Actuals. 07/23-06/24</t>
        </r>
      </text>
    </comment>
    <comment ref="R191" authorId="0" shapeId="0" xr:uid="{E48385FC-0D1D-4DA9-83A9-8E6329FC77BC}">
      <text>
        <r>
          <rPr>
            <b/>
            <sz val="9"/>
            <color indexed="81"/>
            <rFont val="Tahoma"/>
            <family val="2"/>
          </rPr>
          <t>Potter, Daniel:</t>
        </r>
        <r>
          <rPr>
            <sz val="9"/>
            <color indexed="81"/>
            <rFont val="Tahoma"/>
            <family val="2"/>
          </rPr>
          <t xml:space="preserve">
TY Actuals. 07/23-06/24</t>
        </r>
      </text>
    </comment>
    <comment ref="S191" authorId="0" shapeId="0" xr:uid="{EDC86AB2-EDDD-4898-8352-01C413B6E3B0}">
      <text>
        <r>
          <rPr>
            <b/>
            <sz val="9"/>
            <color indexed="81"/>
            <rFont val="Tahoma"/>
            <family val="2"/>
          </rPr>
          <t>Potter, Daniel:</t>
        </r>
        <r>
          <rPr>
            <sz val="9"/>
            <color indexed="81"/>
            <rFont val="Tahoma"/>
            <family val="2"/>
          </rPr>
          <t xml:space="preserve">
TY Actuals. 07/23-06/24</t>
        </r>
      </text>
    </comment>
    <comment ref="T191" authorId="0" shapeId="0" xr:uid="{51503DA7-5D63-4304-AB42-5EC3BC67B904}">
      <text>
        <r>
          <rPr>
            <b/>
            <sz val="9"/>
            <color indexed="81"/>
            <rFont val="Tahoma"/>
            <family val="2"/>
          </rPr>
          <t>Potter, Daniel:</t>
        </r>
        <r>
          <rPr>
            <sz val="9"/>
            <color indexed="81"/>
            <rFont val="Tahoma"/>
            <family val="2"/>
          </rPr>
          <t xml:space="preserve">
TY Actuals. 07/23-06/24</t>
        </r>
      </text>
    </comment>
    <comment ref="U191" authorId="0" shapeId="0" xr:uid="{4B1F968F-6FE3-4CA9-8AC5-540D6FF53D43}">
      <text>
        <r>
          <rPr>
            <b/>
            <sz val="9"/>
            <color indexed="81"/>
            <rFont val="Tahoma"/>
            <family val="2"/>
          </rPr>
          <t>Potter, Daniel:</t>
        </r>
        <r>
          <rPr>
            <sz val="9"/>
            <color indexed="81"/>
            <rFont val="Tahoma"/>
            <family val="2"/>
          </rPr>
          <t xml:space="preserve">
TY Actuals. 07/23-06/24</t>
        </r>
      </text>
    </comment>
    <comment ref="V191" authorId="0" shapeId="0" xr:uid="{1AA78F92-7A85-409B-9AB7-95F2FF8DA15A}">
      <text>
        <r>
          <rPr>
            <b/>
            <sz val="9"/>
            <color indexed="81"/>
            <rFont val="Tahoma"/>
            <family val="2"/>
          </rPr>
          <t>Potter, Daniel:</t>
        </r>
        <r>
          <rPr>
            <sz val="9"/>
            <color indexed="81"/>
            <rFont val="Tahoma"/>
            <family val="2"/>
          </rPr>
          <t xml:space="preserve">
TY Actuals. 07/23-06/24</t>
        </r>
      </text>
    </comment>
    <comment ref="W191" authorId="0" shapeId="0" xr:uid="{8EA1A762-A0B3-47AE-BD88-77F8CD177C32}">
      <text>
        <r>
          <rPr>
            <b/>
            <sz val="9"/>
            <color indexed="81"/>
            <rFont val="Tahoma"/>
            <family val="2"/>
          </rPr>
          <t>Potter, Daniel:</t>
        </r>
        <r>
          <rPr>
            <sz val="9"/>
            <color indexed="81"/>
            <rFont val="Tahoma"/>
            <family val="2"/>
          </rPr>
          <t xml:space="preserve">
TY Actuals. 07/23-06/24</t>
        </r>
      </text>
    </comment>
    <comment ref="X191" authorId="0" shapeId="0" xr:uid="{BBC13842-1959-48B6-90A8-3CBA155EC8FE}">
      <text>
        <r>
          <rPr>
            <b/>
            <sz val="9"/>
            <color indexed="81"/>
            <rFont val="Tahoma"/>
            <family val="2"/>
          </rPr>
          <t>Potter, Daniel:</t>
        </r>
        <r>
          <rPr>
            <sz val="9"/>
            <color indexed="81"/>
            <rFont val="Tahoma"/>
            <family val="2"/>
          </rPr>
          <t xml:space="preserve">
TY Actuals. 07/23-06/24</t>
        </r>
      </text>
    </comment>
    <comment ref="Y191" authorId="0" shapeId="0" xr:uid="{76248F55-1E22-4C4C-8D4A-ECB3817B7A01}">
      <text>
        <r>
          <rPr>
            <b/>
            <sz val="9"/>
            <color indexed="81"/>
            <rFont val="Tahoma"/>
            <family val="2"/>
          </rPr>
          <t>Potter, Daniel:</t>
        </r>
        <r>
          <rPr>
            <sz val="9"/>
            <color indexed="81"/>
            <rFont val="Tahoma"/>
            <family val="2"/>
          </rPr>
          <t xml:space="preserve">
TY Actuals. 07/23-06/24</t>
        </r>
      </text>
    </comment>
    <comment ref="Z191" authorId="0" shapeId="0" xr:uid="{7945B958-B02B-4520-B247-AC1F8C8B5EC8}">
      <text>
        <r>
          <rPr>
            <b/>
            <sz val="9"/>
            <color indexed="81"/>
            <rFont val="Tahoma"/>
            <family val="2"/>
          </rPr>
          <t>Potter, Daniel:</t>
        </r>
        <r>
          <rPr>
            <sz val="9"/>
            <color indexed="81"/>
            <rFont val="Tahoma"/>
            <family val="2"/>
          </rPr>
          <t xml:space="preserve">
TY Actuals. 07/23-06/24</t>
        </r>
      </text>
    </comment>
    <comment ref="C194" authorId="0" shapeId="0" xr:uid="{CA2EDA0B-F09F-48F2-B0A5-C82CE2A092F6}">
      <text>
        <r>
          <rPr>
            <b/>
            <sz val="9"/>
            <color indexed="81"/>
            <rFont val="Tahoma"/>
            <family val="2"/>
          </rPr>
          <t>Potter, Daniel:</t>
        </r>
        <r>
          <rPr>
            <sz val="9"/>
            <color indexed="81"/>
            <rFont val="Tahoma"/>
            <family val="2"/>
          </rPr>
          <t xml:space="preserve">
See "HQ Tertiary Adder 0124-1224 2023 08 30" for backup</t>
        </r>
      </text>
    </comment>
    <comment ref="O201" authorId="0" shapeId="0" xr:uid="{435E3D89-E3B1-45BE-8F9E-4C20F93A40EE}">
      <text>
        <r>
          <rPr>
            <b/>
            <sz val="9"/>
            <color indexed="81"/>
            <rFont val="Tahoma"/>
            <family val="2"/>
          </rPr>
          <t>Potter, Daniel:</t>
        </r>
        <r>
          <rPr>
            <sz val="9"/>
            <color indexed="81"/>
            <rFont val="Tahoma"/>
            <family val="2"/>
          </rPr>
          <t xml:space="preserve">
Mid point for ME Existing Attributes per Amerex broker sheet dated 10/21/24</t>
        </r>
      </text>
    </comment>
    <comment ref="P201" authorId="0" shapeId="0" xr:uid="{3D875588-E5FC-430D-9DB9-F1503F851348}">
      <text>
        <r>
          <rPr>
            <b/>
            <sz val="9"/>
            <color indexed="81"/>
            <rFont val="Tahoma"/>
            <family val="2"/>
          </rPr>
          <t>Potter, Daniel:</t>
        </r>
        <r>
          <rPr>
            <sz val="9"/>
            <color indexed="81"/>
            <rFont val="Tahoma"/>
            <family val="2"/>
          </rPr>
          <t xml:space="preserve">
Mid point for ME Existing Attributes per Amerex broker sheet dated 10/21/24</t>
        </r>
      </text>
    </comment>
    <comment ref="Q201" authorId="0" shapeId="0" xr:uid="{1EE51A22-0EFA-4A6F-8FE8-20F373AF2BA3}">
      <text>
        <r>
          <rPr>
            <b/>
            <sz val="9"/>
            <color indexed="81"/>
            <rFont val="Tahoma"/>
            <family val="2"/>
          </rPr>
          <t>Potter, Daniel:</t>
        </r>
        <r>
          <rPr>
            <sz val="9"/>
            <color indexed="81"/>
            <rFont val="Tahoma"/>
            <family val="2"/>
          </rPr>
          <t xml:space="preserve">
Mid point for ME Existing Attributes per Amerex broker sheet dated 10/21/24</t>
        </r>
      </text>
    </comment>
    <comment ref="R201" authorId="0" shapeId="0" xr:uid="{31FE33F2-D8D3-4F01-8939-9237FE1A1AE4}">
      <text>
        <r>
          <rPr>
            <b/>
            <sz val="9"/>
            <color indexed="81"/>
            <rFont val="Tahoma"/>
            <family val="2"/>
          </rPr>
          <t>Potter, Daniel:</t>
        </r>
        <r>
          <rPr>
            <sz val="9"/>
            <color indexed="81"/>
            <rFont val="Tahoma"/>
            <family val="2"/>
          </rPr>
          <t xml:space="preserve">
Mid point for ME Existing Attributes per Amerex broker sheet dated 10/21/24</t>
        </r>
      </text>
    </comment>
    <comment ref="S201" authorId="0" shapeId="0" xr:uid="{4B892E70-29F3-4C42-A2FE-A9EB79B2210B}">
      <text>
        <r>
          <rPr>
            <b/>
            <sz val="9"/>
            <color indexed="81"/>
            <rFont val="Tahoma"/>
            <family val="2"/>
          </rPr>
          <t>Potter, Daniel:</t>
        </r>
        <r>
          <rPr>
            <sz val="9"/>
            <color indexed="81"/>
            <rFont val="Tahoma"/>
            <family val="2"/>
          </rPr>
          <t xml:space="preserve">
Mid point for ME Existing Attributes per Amerex broker sheet dated 10/21/24</t>
        </r>
      </text>
    </comment>
    <comment ref="T201" authorId="0" shapeId="0" xr:uid="{826E35ED-90F4-44C7-8E13-924434015E64}">
      <text>
        <r>
          <rPr>
            <b/>
            <sz val="9"/>
            <color indexed="81"/>
            <rFont val="Tahoma"/>
            <family val="2"/>
          </rPr>
          <t>Potter, Daniel:</t>
        </r>
        <r>
          <rPr>
            <sz val="9"/>
            <color indexed="81"/>
            <rFont val="Tahoma"/>
            <family val="2"/>
          </rPr>
          <t xml:space="preserve">
Mid point for ME Existing Attributes per Amerex broker sheet dated 10/21/24</t>
        </r>
      </text>
    </comment>
    <comment ref="U201" authorId="0" shapeId="0" xr:uid="{FC3C03A8-1CDA-4F95-8FE9-8C148BDD0BF0}">
      <text>
        <r>
          <rPr>
            <b/>
            <sz val="9"/>
            <color indexed="81"/>
            <rFont val="Tahoma"/>
            <family val="2"/>
          </rPr>
          <t>Potter, Daniel:</t>
        </r>
        <r>
          <rPr>
            <sz val="9"/>
            <color indexed="81"/>
            <rFont val="Tahoma"/>
            <family val="2"/>
          </rPr>
          <t xml:space="preserve">
Mid point for ME Existing Attributes per Amerex broker sheet dated 10/21/24</t>
        </r>
      </text>
    </comment>
    <comment ref="V201" authorId="0" shapeId="0" xr:uid="{9A74EB6E-B7B2-4C33-A73E-65EC7AFE631E}">
      <text>
        <r>
          <rPr>
            <b/>
            <sz val="9"/>
            <color indexed="81"/>
            <rFont val="Tahoma"/>
            <family val="2"/>
          </rPr>
          <t>Potter, Daniel:</t>
        </r>
        <r>
          <rPr>
            <sz val="9"/>
            <color indexed="81"/>
            <rFont val="Tahoma"/>
            <family val="2"/>
          </rPr>
          <t xml:space="preserve">
Mid point for ME Existing Attributes per Amerex broker sheet dated 10/21/24</t>
        </r>
      </text>
    </comment>
    <comment ref="W201" authorId="0" shapeId="0" xr:uid="{8405DB22-0252-4D0D-88A5-586D00E8C71E}">
      <text>
        <r>
          <rPr>
            <b/>
            <sz val="9"/>
            <color indexed="81"/>
            <rFont val="Tahoma"/>
            <family val="2"/>
          </rPr>
          <t>Potter, Daniel:</t>
        </r>
        <r>
          <rPr>
            <sz val="9"/>
            <color indexed="81"/>
            <rFont val="Tahoma"/>
            <family val="2"/>
          </rPr>
          <t xml:space="preserve">
Mid point for ME Existing Attributes per Amerex broker sheet dated 10/21/24</t>
        </r>
      </text>
    </comment>
    <comment ref="X201" authorId="0" shapeId="0" xr:uid="{7E31F26C-44D5-4AF4-ACC3-FFE1A28741BF}">
      <text>
        <r>
          <rPr>
            <b/>
            <sz val="9"/>
            <color indexed="81"/>
            <rFont val="Tahoma"/>
            <family val="2"/>
          </rPr>
          <t>Potter, Daniel:</t>
        </r>
        <r>
          <rPr>
            <sz val="9"/>
            <color indexed="81"/>
            <rFont val="Tahoma"/>
            <family val="2"/>
          </rPr>
          <t xml:space="preserve">
Mid point for ME Existing Attributes per Amerex broker sheet dated 10/21/24</t>
        </r>
      </text>
    </comment>
    <comment ref="Y201" authorId="0" shapeId="0" xr:uid="{445ECDE5-ED92-4D64-A94E-09F6C77A8747}">
      <text>
        <r>
          <rPr>
            <b/>
            <sz val="9"/>
            <color indexed="81"/>
            <rFont val="Tahoma"/>
            <family val="2"/>
          </rPr>
          <t>Potter, Daniel:</t>
        </r>
        <r>
          <rPr>
            <sz val="9"/>
            <color indexed="81"/>
            <rFont val="Tahoma"/>
            <family val="2"/>
          </rPr>
          <t xml:space="preserve">
Mid point for ME Existing Attributes per Amerex broker sheet dated 10/21/24</t>
        </r>
      </text>
    </comment>
    <comment ref="Z201" authorId="0" shapeId="0" xr:uid="{367293C4-CB26-49C9-9E6D-2ACED9A8ABCD}">
      <text>
        <r>
          <rPr>
            <b/>
            <sz val="9"/>
            <color indexed="81"/>
            <rFont val="Tahoma"/>
            <family val="2"/>
          </rPr>
          <t>Potter, Daniel:</t>
        </r>
        <r>
          <rPr>
            <sz val="9"/>
            <color indexed="81"/>
            <rFont val="Tahoma"/>
            <family val="2"/>
          </rPr>
          <t xml:space="preserve">
Mid point for ME Existing Attributes per Amerex broker sheet dated 10/21/24</t>
        </r>
      </text>
    </comment>
    <comment ref="B214" authorId="3" shapeId="0" xr:uid="{00000000-0006-0000-0500-0000E10A0000}">
      <text>
        <r>
          <rPr>
            <b/>
            <sz val="10"/>
            <color indexed="81"/>
            <rFont val="Tahoma"/>
            <family val="2"/>
          </rPr>
          <t xml:space="preserve"> Craig Kieny:</t>
        </r>
        <r>
          <rPr>
            <sz val="10"/>
            <color indexed="81"/>
            <rFont val="Tahoma"/>
            <family val="2"/>
          </rPr>
          <t xml:space="preserve">
Come from row 121 of "12x24_based_on_GH report_04_10_2007 - Revised 2015-08-18.xls"</t>
        </r>
      </text>
    </comment>
    <comment ref="B226" authorId="1" shapeId="0" xr:uid="{00000000-0006-0000-0500-0000EE0A0000}">
      <text>
        <r>
          <rPr>
            <b/>
            <sz val="9"/>
            <color indexed="81"/>
            <rFont val="Tahoma"/>
            <family val="2"/>
          </rPr>
          <t>Craig Kieny:</t>
        </r>
        <r>
          <rPr>
            <sz val="9"/>
            <color indexed="81"/>
            <rFont val="Tahoma"/>
            <family val="2"/>
          </rPr>
          <t xml:space="preserve">
on 9/10/15 changed this CF to be equal to an annual output of 22,500 MWh which is the contract minimum. They have yet to be able to show they can reach this target.</t>
        </r>
      </text>
    </comment>
    <comment ref="C229" authorId="0" shapeId="0" xr:uid="{6FD6939E-D22C-453C-8BB8-382391CE7F5D}">
      <text>
        <r>
          <rPr>
            <b/>
            <sz val="9"/>
            <color indexed="81"/>
            <rFont val="Tahoma"/>
            <family val="2"/>
          </rPr>
          <t>Potter, Daniel:</t>
        </r>
        <r>
          <rPr>
            <sz val="9"/>
            <color indexed="81"/>
            <rFont val="Tahoma"/>
            <family val="2"/>
          </rPr>
          <t xml:space="preserve">
TY Actuals. 07/22-06/23</t>
        </r>
      </text>
    </comment>
    <comment ref="D229" authorId="0" shapeId="0" xr:uid="{BEE74232-FD5A-4845-84BA-97CB8966A0D3}">
      <text>
        <r>
          <rPr>
            <b/>
            <sz val="9"/>
            <color indexed="81"/>
            <rFont val="Tahoma"/>
            <family val="2"/>
          </rPr>
          <t>Potter, Daniel:</t>
        </r>
        <r>
          <rPr>
            <sz val="9"/>
            <color indexed="81"/>
            <rFont val="Tahoma"/>
            <family val="2"/>
          </rPr>
          <t xml:space="preserve">
TY Actuals. 07/22-06/23</t>
        </r>
      </text>
    </comment>
    <comment ref="E229" authorId="0" shapeId="0" xr:uid="{307E0689-6F09-4AB6-BFFE-3FAF60794D80}">
      <text>
        <r>
          <rPr>
            <b/>
            <sz val="9"/>
            <color indexed="81"/>
            <rFont val="Tahoma"/>
            <family val="2"/>
          </rPr>
          <t>Potter, Daniel:</t>
        </r>
        <r>
          <rPr>
            <sz val="9"/>
            <color indexed="81"/>
            <rFont val="Tahoma"/>
            <family val="2"/>
          </rPr>
          <t xml:space="preserve">
TY Actuals. 07/22-06/23</t>
        </r>
      </text>
    </comment>
    <comment ref="F229" authorId="0" shapeId="0" xr:uid="{DDD29222-E127-44D7-A45D-3B544DC55535}">
      <text>
        <r>
          <rPr>
            <b/>
            <sz val="9"/>
            <color indexed="81"/>
            <rFont val="Tahoma"/>
            <family val="2"/>
          </rPr>
          <t>Potter, Daniel:</t>
        </r>
        <r>
          <rPr>
            <sz val="9"/>
            <color indexed="81"/>
            <rFont val="Tahoma"/>
            <family val="2"/>
          </rPr>
          <t xml:space="preserve">
TY Actuals. 07/22-06/23</t>
        </r>
      </text>
    </comment>
    <comment ref="G229" authorId="0" shapeId="0" xr:uid="{70F8BF72-5927-4871-AEB0-940F30AD1553}">
      <text>
        <r>
          <rPr>
            <b/>
            <sz val="9"/>
            <color indexed="81"/>
            <rFont val="Tahoma"/>
            <family val="2"/>
          </rPr>
          <t>Potter, Daniel:</t>
        </r>
        <r>
          <rPr>
            <sz val="9"/>
            <color indexed="81"/>
            <rFont val="Tahoma"/>
            <family val="2"/>
          </rPr>
          <t xml:space="preserve">
TY Actuals. 07/22-06/23</t>
        </r>
      </text>
    </comment>
    <comment ref="H229" authorId="0" shapeId="0" xr:uid="{37A2DC42-5CF0-4650-AED7-B22F7508C5AF}">
      <text>
        <r>
          <rPr>
            <b/>
            <sz val="9"/>
            <color indexed="81"/>
            <rFont val="Tahoma"/>
            <family val="2"/>
          </rPr>
          <t>Potter, Daniel:</t>
        </r>
        <r>
          <rPr>
            <sz val="9"/>
            <color indexed="81"/>
            <rFont val="Tahoma"/>
            <family val="2"/>
          </rPr>
          <t xml:space="preserve">
TY Actuals. 07/22-06/23</t>
        </r>
      </text>
    </comment>
    <comment ref="I229" authorId="0" shapeId="0" xr:uid="{70EB6056-68DD-4580-A8CD-D5CD6E8081F3}">
      <text>
        <r>
          <rPr>
            <b/>
            <sz val="9"/>
            <color indexed="81"/>
            <rFont val="Tahoma"/>
            <family val="2"/>
          </rPr>
          <t>Potter, Daniel:</t>
        </r>
        <r>
          <rPr>
            <sz val="9"/>
            <color indexed="81"/>
            <rFont val="Tahoma"/>
            <family val="2"/>
          </rPr>
          <t xml:space="preserve">
TY Actuals. 07/22-06/23</t>
        </r>
      </text>
    </comment>
    <comment ref="J229" authorId="0" shapeId="0" xr:uid="{DE979184-30B9-41D8-A060-DF94F9AD551A}">
      <text>
        <r>
          <rPr>
            <b/>
            <sz val="9"/>
            <color indexed="81"/>
            <rFont val="Tahoma"/>
            <family val="2"/>
          </rPr>
          <t>Potter, Daniel:</t>
        </r>
        <r>
          <rPr>
            <sz val="9"/>
            <color indexed="81"/>
            <rFont val="Tahoma"/>
            <family val="2"/>
          </rPr>
          <t xml:space="preserve">
TY Actuals. 07/22-06/23</t>
        </r>
      </text>
    </comment>
    <comment ref="K229" authorId="0" shapeId="0" xr:uid="{3C77D89B-DE1B-447C-A71F-95662CB833D5}">
      <text>
        <r>
          <rPr>
            <b/>
            <sz val="9"/>
            <color indexed="81"/>
            <rFont val="Tahoma"/>
            <family val="2"/>
          </rPr>
          <t>Potter, Daniel:</t>
        </r>
        <r>
          <rPr>
            <sz val="9"/>
            <color indexed="81"/>
            <rFont val="Tahoma"/>
            <family val="2"/>
          </rPr>
          <t xml:space="preserve">
TY Actuals. 07/22-06/23</t>
        </r>
      </text>
    </comment>
    <comment ref="L229" authorId="0" shapeId="0" xr:uid="{7DDFA0EE-E7DB-4B2C-8E89-4421D53CE60A}">
      <text>
        <r>
          <rPr>
            <b/>
            <sz val="9"/>
            <color indexed="81"/>
            <rFont val="Tahoma"/>
            <family val="2"/>
          </rPr>
          <t>Potter, Daniel:</t>
        </r>
        <r>
          <rPr>
            <sz val="9"/>
            <color indexed="81"/>
            <rFont val="Tahoma"/>
            <family val="2"/>
          </rPr>
          <t xml:space="preserve">
TY Actuals. 07/22-06/23</t>
        </r>
      </text>
    </comment>
    <comment ref="M229" authorId="0" shapeId="0" xr:uid="{BE46745F-DC25-4D24-B9C4-3C437D9D8119}">
      <text>
        <r>
          <rPr>
            <b/>
            <sz val="9"/>
            <color indexed="81"/>
            <rFont val="Tahoma"/>
            <family val="2"/>
          </rPr>
          <t>Potter, Daniel:</t>
        </r>
        <r>
          <rPr>
            <sz val="9"/>
            <color indexed="81"/>
            <rFont val="Tahoma"/>
            <family val="2"/>
          </rPr>
          <t xml:space="preserve">
TY Actuals. 07/22-06/23</t>
        </r>
      </text>
    </comment>
    <comment ref="N229" authorId="0" shapeId="0" xr:uid="{F1E03471-2F42-47D2-B71D-9C721F3CC8C4}">
      <text>
        <r>
          <rPr>
            <b/>
            <sz val="9"/>
            <color indexed="81"/>
            <rFont val="Tahoma"/>
            <family val="2"/>
          </rPr>
          <t>Potter, Daniel:</t>
        </r>
        <r>
          <rPr>
            <sz val="9"/>
            <color indexed="81"/>
            <rFont val="Tahoma"/>
            <family val="2"/>
          </rPr>
          <t xml:space="preserve">
TY Actuals. 07/22-06/23</t>
        </r>
      </text>
    </comment>
    <comment ref="O229" authorId="0" shapeId="0" xr:uid="{BD2422BD-BB5C-4C6A-BDBF-8C73C9059E77}">
      <text>
        <r>
          <rPr>
            <b/>
            <sz val="9"/>
            <color indexed="81"/>
            <rFont val="Tahoma"/>
            <family val="2"/>
          </rPr>
          <t>Potter, Daniel:</t>
        </r>
        <r>
          <rPr>
            <sz val="9"/>
            <color indexed="81"/>
            <rFont val="Tahoma"/>
            <family val="2"/>
          </rPr>
          <t xml:space="preserve">
TY Actuals. 07/23-06/24</t>
        </r>
      </text>
    </comment>
    <comment ref="P229" authorId="0" shapeId="0" xr:uid="{412FB436-A19A-47CB-9497-637E748F910F}">
      <text>
        <r>
          <rPr>
            <b/>
            <sz val="9"/>
            <color indexed="81"/>
            <rFont val="Tahoma"/>
            <family val="2"/>
          </rPr>
          <t>Potter, Daniel:</t>
        </r>
        <r>
          <rPr>
            <sz val="9"/>
            <color indexed="81"/>
            <rFont val="Tahoma"/>
            <family val="2"/>
          </rPr>
          <t xml:space="preserve">
TY Actuals. 07/23-06/24</t>
        </r>
      </text>
    </comment>
    <comment ref="Q229" authorId="0" shapeId="0" xr:uid="{364CE331-FF7D-42E0-A555-C655FCD426DA}">
      <text>
        <r>
          <rPr>
            <b/>
            <sz val="9"/>
            <color indexed="81"/>
            <rFont val="Tahoma"/>
            <family val="2"/>
          </rPr>
          <t>Potter, Daniel:</t>
        </r>
        <r>
          <rPr>
            <sz val="9"/>
            <color indexed="81"/>
            <rFont val="Tahoma"/>
            <family val="2"/>
          </rPr>
          <t xml:space="preserve">
TY Actuals. 07/23-06/24</t>
        </r>
      </text>
    </comment>
    <comment ref="R229" authorId="0" shapeId="0" xr:uid="{72271B32-4003-45B0-9AD8-B0C34795EF63}">
      <text>
        <r>
          <rPr>
            <b/>
            <sz val="9"/>
            <color indexed="81"/>
            <rFont val="Tahoma"/>
            <family val="2"/>
          </rPr>
          <t>Potter, Daniel:</t>
        </r>
        <r>
          <rPr>
            <sz val="9"/>
            <color indexed="81"/>
            <rFont val="Tahoma"/>
            <family val="2"/>
          </rPr>
          <t xml:space="preserve">
TY Actuals. 07/23-06/24</t>
        </r>
      </text>
    </comment>
    <comment ref="S229" authorId="0" shapeId="0" xr:uid="{CC958ACD-DB3F-4BBD-BEAB-675EF1FE3BD9}">
      <text>
        <r>
          <rPr>
            <b/>
            <sz val="9"/>
            <color indexed="81"/>
            <rFont val="Tahoma"/>
            <family val="2"/>
          </rPr>
          <t>Potter, Daniel:</t>
        </r>
        <r>
          <rPr>
            <sz val="9"/>
            <color indexed="81"/>
            <rFont val="Tahoma"/>
            <family val="2"/>
          </rPr>
          <t xml:space="preserve">
TY Actuals. 07/23-06/24</t>
        </r>
      </text>
    </comment>
    <comment ref="T229" authorId="0" shapeId="0" xr:uid="{B3CD0C14-BF78-463A-AF31-7D06C9815AD4}">
      <text>
        <r>
          <rPr>
            <b/>
            <sz val="9"/>
            <color indexed="81"/>
            <rFont val="Tahoma"/>
            <family val="2"/>
          </rPr>
          <t>Potter, Daniel:</t>
        </r>
        <r>
          <rPr>
            <sz val="9"/>
            <color indexed="81"/>
            <rFont val="Tahoma"/>
            <family val="2"/>
          </rPr>
          <t xml:space="preserve">
TY Actuals. 07/23-06/24</t>
        </r>
      </text>
    </comment>
    <comment ref="U229" authorId="0" shapeId="0" xr:uid="{880A9ACC-1ACF-4FE5-B493-322F8069FA3E}">
      <text>
        <r>
          <rPr>
            <b/>
            <sz val="9"/>
            <color indexed="81"/>
            <rFont val="Tahoma"/>
            <family val="2"/>
          </rPr>
          <t>Potter, Daniel:</t>
        </r>
        <r>
          <rPr>
            <sz val="9"/>
            <color indexed="81"/>
            <rFont val="Tahoma"/>
            <family val="2"/>
          </rPr>
          <t xml:space="preserve">
TY Actuals. 07/23-06/24</t>
        </r>
      </text>
    </comment>
    <comment ref="V229" authorId="0" shapeId="0" xr:uid="{048C6ED8-8C38-4D4B-9AC8-FEC3472C84BE}">
      <text>
        <r>
          <rPr>
            <b/>
            <sz val="9"/>
            <color indexed="81"/>
            <rFont val="Tahoma"/>
            <family val="2"/>
          </rPr>
          <t>Potter, Daniel:</t>
        </r>
        <r>
          <rPr>
            <sz val="9"/>
            <color indexed="81"/>
            <rFont val="Tahoma"/>
            <family val="2"/>
          </rPr>
          <t xml:space="preserve">
TY Actuals. 07/23-06/24</t>
        </r>
      </text>
    </comment>
    <comment ref="W229" authorId="0" shapeId="0" xr:uid="{7F9CD572-699B-43BE-94E7-A20FDBF9DEFF}">
      <text>
        <r>
          <rPr>
            <b/>
            <sz val="9"/>
            <color indexed="81"/>
            <rFont val="Tahoma"/>
            <family val="2"/>
          </rPr>
          <t>Potter, Daniel:</t>
        </r>
        <r>
          <rPr>
            <sz val="9"/>
            <color indexed="81"/>
            <rFont val="Tahoma"/>
            <family val="2"/>
          </rPr>
          <t xml:space="preserve">
TY Actuals. 07/23-06/24</t>
        </r>
      </text>
    </comment>
    <comment ref="X229" authorId="0" shapeId="0" xr:uid="{AF262E63-67B5-4CAC-B60F-E760A148F037}">
      <text>
        <r>
          <rPr>
            <b/>
            <sz val="9"/>
            <color indexed="81"/>
            <rFont val="Tahoma"/>
            <family val="2"/>
          </rPr>
          <t>Potter, Daniel:</t>
        </r>
        <r>
          <rPr>
            <sz val="9"/>
            <color indexed="81"/>
            <rFont val="Tahoma"/>
            <family val="2"/>
          </rPr>
          <t xml:space="preserve">
TY Actuals. 07/23-06/24</t>
        </r>
      </text>
    </comment>
    <comment ref="Y229" authorId="0" shapeId="0" xr:uid="{60517297-72DC-4F7B-BB80-1D56FCAC3FD5}">
      <text>
        <r>
          <rPr>
            <b/>
            <sz val="9"/>
            <color indexed="81"/>
            <rFont val="Tahoma"/>
            <family val="2"/>
          </rPr>
          <t>Potter, Daniel:</t>
        </r>
        <r>
          <rPr>
            <sz val="9"/>
            <color indexed="81"/>
            <rFont val="Tahoma"/>
            <family val="2"/>
          </rPr>
          <t xml:space="preserve">
TY Actuals. 07/23-06/24</t>
        </r>
      </text>
    </comment>
    <comment ref="Z229" authorId="0" shapeId="0" xr:uid="{CE8DEFFD-88AF-47DD-9444-EAE4BB499A9B}">
      <text>
        <r>
          <rPr>
            <b/>
            <sz val="9"/>
            <color indexed="81"/>
            <rFont val="Tahoma"/>
            <family val="2"/>
          </rPr>
          <t>Potter, Daniel:</t>
        </r>
        <r>
          <rPr>
            <sz val="9"/>
            <color indexed="81"/>
            <rFont val="Tahoma"/>
            <family val="2"/>
          </rPr>
          <t xml:space="preserve">
TY Actuals. 07/23-06/24</t>
        </r>
      </text>
    </comment>
    <comment ref="C237" authorId="0" shapeId="0" xr:uid="{19135325-C834-4847-92FA-EF40572AA457}">
      <text>
        <r>
          <rPr>
            <b/>
            <sz val="9"/>
            <color indexed="81"/>
            <rFont val="Tahoma"/>
            <family val="2"/>
          </rPr>
          <t>Potter, Daniel:</t>
        </r>
        <r>
          <rPr>
            <sz val="9"/>
            <color indexed="81"/>
            <rFont val="Tahoma"/>
            <family val="2"/>
          </rPr>
          <t xml:space="preserve">
TY Actuals. 07/22-06/23</t>
        </r>
      </text>
    </comment>
    <comment ref="D237" authorId="0" shapeId="0" xr:uid="{76BC7736-FEBB-4906-8D0B-DC7C03846C13}">
      <text>
        <r>
          <rPr>
            <b/>
            <sz val="9"/>
            <color indexed="81"/>
            <rFont val="Tahoma"/>
            <family val="2"/>
          </rPr>
          <t>Potter, Daniel:</t>
        </r>
        <r>
          <rPr>
            <sz val="9"/>
            <color indexed="81"/>
            <rFont val="Tahoma"/>
            <family val="2"/>
          </rPr>
          <t xml:space="preserve">
TY Actuals. 07/22-06/23</t>
        </r>
      </text>
    </comment>
    <comment ref="E237" authorId="0" shapeId="0" xr:uid="{393ABE70-9351-4DE0-A239-9DE3846B548E}">
      <text>
        <r>
          <rPr>
            <b/>
            <sz val="9"/>
            <color indexed="81"/>
            <rFont val="Tahoma"/>
            <family val="2"/>
          </rPr>
          <t>Potter, Daniel:</t>
        </r>
        <r>
          <rPr>
            <sz val="9"/>
            <color indexed="81"/>
            <rFont val="Tahoma"/>
            <family val="2"/>
          </rPr>
          <t xml:space="preserve">
TY Actuals. 07/22-06/23</t>
        </r>
      </text>
    </comment>
    <comment ref="F237" authorId="0" shapeId="0" xr:uid="{3ADCE54A-F1A0-40F5-AD7F-44BE19DA2151}">
      <text>
        <r>
          <rPr>
            <b/>
            <sz val="9"/>
            <color indexed="81"/>
            <rFont val="Tahoma"/>
            <family val="2"/>
          </rPr>
          <t>Potter, Daniel:</t>
        </r>
        <r>
          <rPr>
            <sz val="9"/>
            <color indexed="81"/>
            <rFont val="Tahoma"/>
            <family val="2"/>
          </rPr>
          <t xml:space="preserve">
TY Actuals. 07/22-06/23</t>
        </r>
      </text>
    </comment>
    <comment ref="G237" authorId="0" shapeId="0" xr:uid="{12F50786-5547-48BD-A128-3CB276BBD046}">
      <text>
        <r>
          <rPr>
            <b/>
            <sz val="9"/>
            <color indexed="81"/>
            <rFont val="Tahoma"/>
            <family val="2"/>
          </rPr>
          <t>Potter, Daniel:</t>
        </r>
        <r>
          <rPr>
            <sz val="9"/>
            <color indexed="81"/>
            <rFont val="Tahoma"/>
            <family val="2"/>
          </rPr>
          <t xml:space="preserve">
TY Actuals. 07/22-06/23</t>
        </r>
      </text>
    </comment>
    <comment ref="H237" authorId="0" shapeId="0" xr:uid="{DE436E70-6E2A-4891-AD75-3CF2D9017668}">
      <text>
        <r>
          <rPr>
            <b/>
            <sz val="9"/>
            <color indexed="81"/>
            <rFont val="Tahoma"/>
            <family val="2"/>
          </rPr>
          <t>Potter, Daniel:</t>
        </r>
        <r>
          <rPr>
            <sz val="9"/>
            <color indexed="81"/>
            <rFont val="Tahoma"/>
            <family val="2"/>
          </rPr>
          <t xml:space="preserve">
TY Actuals. 07/22-06/23</t>
        </r>
      </text>
    </comment>
    <comment ref="I237" authorId="0" shapeId="0" xr:uid="{F49EE4DE-F448-47A6-9C96-5151663EF75A}">
      <text>
        <r>
          <rPr>
            <b/>
            <sz val="9"/>
            <color indexed="81"/>
            <rFont val="Tahoma"/>
            <family val="2"/>
          </rPr>
          <t>Potter, Daniel:</t>
        </r>
        <r>
          <rPr>
            <sz val="9"/>
            <color indexed="81"/>
            <rFont val="Tahoma"/>
            <family val="2"/>
          </rPr>
          <t xml:space="preserve">
TY Actuals. 07/22-06/23</t>
        </r>
      </text>
    </comment>
    <comment ref="J237" authorId="0" shapeId="0" xr:uid="{474D7007-CF38-4C88-A037-470FFC346FEE}">
      <text>
        <r>
          <rPr>
            <b/>
            <sz val="9"/>
            <color indexed="81"/>
            <rFont val="Tahoma"/>
            <family val="2"/>
          </rPr>
          <t>Potter, Daniel:</t>
        </r>
        <r>
          <rPr>
            <sz val="9"/>
            <color indexed="81"/>
            <rFont val="Tahoma"/>
            <family val="2"/>
          </rPr>
          <t xml:space="preserve">
TY Actuals. 07/22-06/23</t>
        </r>
      </text>
    </comment>
    <comment ref="K237" authorId="0" shapeId="0" xr:uid="{82F76AF6-F32C-47EF-BEF0-0FD8D0E6DBCA}">
      <text>
        <r>
          <rPr>
            <b/>
            <sz val="9"/>
            <color indexed="81"/>
            <rFont val="Tahoma"/>
            <family val="2"/>
          </rPr>
          <t>Potter, Daniel:</t>
        </r>
        <r>
          <rPr>
            <sz val="9"/>
            <color indexed="81"/>
            <rFont val="Tahoma"/>
            <family val="2"/>
          </rPr>
          <t xml:space="preserve">
TY Actuals. 07/22-06/23</t>
        </r>
      </text>
    </comment>
    <comment ref="L237" authorId="0" shapeId="0" xr:uid="{C9382DE4-4931-4C06-9876-7CA9F3737C2C}">
      <text>
        <r>
          <rPr>
            <b/>
            <sz val="9"/>
            <color indexed="81"/>
            <rFont val="Tahoma"/>
            <family val="2"/>
          </rPr>
          <t>Potter, Daniel:</t>
        </r>
        <r>
          <rPr>
            <sz val="9"/>
            <color indexed="81"/>
            <rFont val="Tahoma"/>
            <family val="2"/>
          </rPr>
          <t xml:space="preserve">
TY Actuals. 07/22-06/23</t>
        </r>
      </text>
    </comment>
    <comment ref="M237" authorId="0" shapeId="0" xr:uid="{90F204FF-158D-4C0F-8B5C-777B1FB75AFA}">
      <text>
        <r>
          <rPr>
            <b/>
            <sz val="9"/>
            <color indexed="81"/>
            <rFont val="Tahoma"/>
            <family val="2"/>
          </rPr>
          <t>Potter, Daniel:</t>
        </r>
        <r>
          <rPr>
            <sz val="9"/>
            <color indexed="81"/>
            <rFont val="Tahoma"/>
            <family val="2"/>
          </rPr>
          <t xml:space="preserve">
TY Actuals. 07/22-06/23</t>
        </r>
      </text>
    </comment>
    <comment ref="N237" authorId="0" shapeId="0" xr:uid="{214DCDDC-00D2-4F6A-8550-A1941F423B34}">
      <text>
        <r>
          <rPr>
            <b/>
            <sz val="9"/>
            <color indexed="81"/>
            <rFont val="Tahoma"/>
            <family val="2"/>
          </rPr>
          <t>Potter, Daniel:</t>
        </r>
        <r>
          <rPr>
            <sz val="9"/>
            <color indexed="81"/>
            <rFont val="Tahoma"/>
            <family val="2"/>
          </rPr>
          <t xml:space="preserve">
TY Actuals. 07/22-06/23</t>
        </r>
      </text>
    </comment>
    <comment ref="O237" authorId="0" shapeId="0" xr:uid="{A3C954DC-65A3-4733-99EE-7E47B871E1D7}">
      <text>
        <r>
          <rPr>
            <b/>
            <sz val="9"/>
            <color indexed="81"/>
            <rFont val="Tahoma"/>
            <family val="2"/>
          </rPr>
          <t>Potter, Daniel:</t>
        </r>
        <r>
          <rPr>
            <sz val="9"/>
            <color indexed="81"/>
            <rFont val="Tahoma"/>
            <family val="2"/>
          </rPr>
          <t xml:space="preserve">
TY Actuals. 07/23-06/24</t>
        </r>
      </text>
    </comment>
    <comment ref="P237" authorId="0" shapeId="0" xr:uid="{6D21C944-B7CB-4048-8C5C-028D2873F4CA}">
      <text>
        <r>
          <rPr>
            <b/>
            <sz val="9"/>
            <color indexed="81"/>
            <rFont val="Tahoma"/>
            <family val="2"/>
          </rPr>
          <t>Potter, Daniel:</t>
        </r>
        <r>
          <rPr>
            <sz val="9"/>
            <color indexed="81"/>
            <rFont val="Tahoma"/>
            <family val="2"/>
          </rPr>
          <t xml:space="preserve">
TY Actuals. 07/23-06/24</t>
        </r>
      </text>
    </comment>
    <comment ref="Q237" authorId="0" shapeId="0" xr:uid="{02B6DF70-CE8D-4BED-8370-F4177B8796BE}">
      <text>
        <r>
          <rPr>
            <b/>
            <sz val="9"/>
            <color indexed="81"/>
            <rFont val="Tahoma"/>
            <family val="2"/>
          </rPr>
          <t>Potter, Daniel:</t>
        </r>
        <r>
          <rPr>
            <sz val="9"/>
            <color indexed="81"/>
            <rFont val="Tahoma"/>
            <family val="2"/>
          </rPr>
          <t xml:space="preserve">
TY Actuals. 07/23-06/24</t>
        </r>
      </text>
    </comment>
    <comment ref="R237" authorId="0" shapeId="0" xr:uid="{7FEAC319-537B-4CCD-81BE-A8ECDA3DF320}">
      <text>
        <r>
          <rPr>
            <b/>
            <sz val="9"/>
            <color indexed="81"/>
            <rFont val="Tahoma"/>
            <family val="2"/>
          </rPr>
          <t>Potter, Daniel:</t>
        </r>
        <r>
          <rPr>
            <sz val="9"/>
            <color indexed="81"/>
            <rFont val="Tahoma"/>
            <family val="2"/>
          </rPr>
          <t xml:space="preserve">
TY Actuals. 07/23-06/24</t>
        </r>
      </text>
    </comment>
    <comment ref="S237" authorId="0" shapeId="0" xr:uid="{0951CC6F-4810-4EBF-8DFA-D6BE4CC0B9E7}">
      <text>
        <r>
          <rPr>
            <b/>
            <sz val="9"/>
            <color indexed="81"/>
            <rFont val="Tahoma"/>
            <family val="2"/>
          </rPr>
          <t>Potter, Daniel:</t>
        </r>
        <r>
          <rPr>
            <sz val="9"/>
            <color indexed="81"/>
            <rFont val="Tahoma"/>
            <family val="2"/>
          </rPr>
          <t xml:space="preserve">
TY Actuals. 07/23-06/24</t>
        </r>
      </text>
    </comment>
    <comment ref="T237" authorId="0" shapeId="0" xr:uid="{F283739E-1868-48A3-8D6F-5A62614E012D}">
      <text>
        <r>
          <rPr>
            <b/>
            <sz val="9"/>
            <color indexed="81"/>
            <rFont val="Tahoma"/>
            <family val="2"/>
          </rPr>
          <t>Potter, Daniel:</t>
        </r>
        <r>
          <rPr>
            <sz val="9"/>
            <color indexed="81"/>
            <rFont val="Tahoma"/>
            <family val="2"/>
          </rPr>
          <t xml:space="preserve">
TY Actuals. 07/23-06/24</t>
        </r>
      </text>
    </comment>
    <comment ref="U237" authorId="0" shapeId="0" xr:uid="{BEABEF33-A8D4-4495-8C36-7E693D5EB415}">
      <text>
        <r>
          <rPr>
            <b/>
            <sz val="9"/>
            <color indexed="81"/>
            <rFont val="Tahoma"/>
            <family val="2"/>
          </rPr>
          <t>Potter, Daniel:</t>
        </r>
        <r>
          <rPr>
            <sz val="9"/>
            <color indexed="81"/>
            <rFont val="Tahoma"/>
            <family val="2"/>
          </rPr>
          <t xml:space="preserve">
TY Actuals. 07/23-06/24</t>
        </r>
      </text>
    </comment>
    <comment ref="V237" authorId="0" shapeId="0" xr:uid="{1E89DD66-57F6-4CAD-8227-E17B00FB6D72}">
      <text>
        <r>
          <rPr>
            <b/>
            <sz val="9"/>
            <color indexed="81"/>
            <rFont val="Tahoma"/>
            <family val="2"/>
          </rPr>
          <t>Potter, Daniel:</t>
        </r>
        <r>
          <rPr>
            <sz val="9"/>
            <color indexed="81"/>
            <rFont val="Tahoma"/>
            <family val="2"/>
          </rPr>
          <t xml:space="preserve">
TY Actuals. 07/23-06/24</t>
        </r>
      </text>
    </comment>
    <comment ref="W237" authorId="0" shapeId="0" xr:uid="{62156B34-B187-4628-AACE-4B64BF7F92D4}">
      <text>
        <r>
          <rPr>
            <b/>
            <sz val="9"/>
            <color indexed="81"/>
            <rFont val="Tahoma"/>
            <family val="2"/>
          </rPr>
          <t>Potter, Daniel:</t>
        </r>
        <r>
          <rPr>
            <sz val="9"/>
            <color indexed="81"/>
            <rFont val="Tahoma"/>
            <family val="2"/>
          </rPr>
          <t xml:space="preserve">
TY Actuals. 07/23-06/24</t>
        </r>
      </text>
    </comment>
    <comment ref="X237" authorId="0" shapeId="0" xr:uid="{275CE199-A3EF-4819-A9D8-B54306F9153B}">
      <text>
        <r>
          <rPr>
            <b/>
            <sz val="9"/>
            <color indexed="81"/>
            <rFont val="Tahoma"/>
            <family val="2"/>
          </rPr>
          <t>Potter, Daniel:</t>
        </r>
        <r>
          <rPr>
            <sz val="9"/>
            <color indexed="81"/>
            <rFont val="Tahoma"/>
            <family val="2"/>
          </rPr>
          <t xml:space="preserve">
TY Actuals. 07/23-06/24</t>
        </r>
      </text>
    </comment>
    <comment ref="Y237" authorId="0" shapeId="0" xr:uid="{5C1BEFDB-3190-467E-8587-9FABA663E313}">
      <text>
        <r>
          <rPr>
            <b/>
            <sz val="9"/>
            <color indexed="81"/>
            <rFont val="Tahoma"/>
            <family val="2"/>
          </rPr>
          <t>Potter, Daniel:</t>
        </r>
        <r>
          <rPr>
            <sz val="9"/>
            <color indexed="81"/>
            <rFont val="Tahoma"/>
            <family val="2"/>
          </rPr>
          <t xml:space="preserve">
TY Actuals. 07/23-06/24</t>
        </r>
      </text>
    </comment>
    <comment ref="Z237" authorId="0" shapeId="0" xr:uid="{8F1267A9-A6F4-41C2-B56C-0AA8D933E916}">
      <text>
        <r>
          <rPr>
            <b/>
            <sz val="9"/>
            <color indexed="81"/>
            <rFont val="Tahoma"/>
            <family val="2"/>
          </rPr>
          <t>Potter, Daniel:</t>
        </r>
        <r>
          <rPr>
            <sz val="9"/>
            <color indexed="81"/>
            <rFont val="Tahoma"/>
            <family val="2"/>
          </rPr>
          <t xml:space="preserve">
TY Actuals. 07/23-06/24</t>
        </r>
      </text>
    </comment>
    <comment ref="C265" authorId="0" shapeId="0" xr:uid="{F574F37E-39B0-4A50-9EAC-314C2E7820D6}">
      <text>
        <r>
          <rPr>
            <b/>
            <sz val="9"/>
            <color indexed="81"/>
            <rFont val="Tahoma"/>
            <family val="2"/>
          </rPr>
          <t>Potter, Daniel:</t>
        </r>
        <r>
          <rPr>
            <sz val="9"/>
            <color indexed="81"/>
            <rFont val="Tahoma"/>
            <family val="2"/>
          </rPr>
          <t xml:space="preserve">
TY Actuals. 07/22-06/23</t>
        </r>
      </text>
    </comment>
    <comment ref="D265" authorId="0" shapeId="0" xr:uid="{20263765-3FA1-4E0E-B33D-9D981BF505FB}">
      <text>
        <r>
          <rPr>
            <b/>
            <sz val="9"/>
            <color indexed="81"/>
            <rFont val="Tahoma"/>
            <family val="2"/>
          </rPr>
          <t>Potter, Daniel:</t>
        </r>
        <r>
          <rPr>
            <sz val="9"/>
            <color indexed="81"/>
            <rFont val="Tahoma"/>
            <family val="2"/>
          </rPr>
          <t xml:space="preserve">
TY Actuals. 07/22-06/23</t>
        </r>
      </text>
    </comment>
    <comment ref="E265" authorId="0" shapeId="0" xr:uid="{005D020A-E777-4001-83D4-CA5656BB933B}">
      <text>
        <r>
          <rPr>
            <b/>
            <sz val="9"/>
            <color indexed="81"/>
            <rFont val="Tahoma"/>
            <family val="2"/>
          </rPr>
          <t>Potter, Daniel:</t>
        </r>
        <r>
          <rPr>
            <sz val="9"/>
            <color indexed="81"/>
            <rFont val="Tahoma"/>
            <family val="2"/>
          </rPr>
          <t xml:space="preserve">
TY Actuals. 07/22-06/23</t>
        </r>
      </text>
    </comment>
    <comment ref="F265" authorId="0" shapeId="0" xr:uid="{7300F5B7-A2DA-4606-B979-FAE304A2BE8E}">
      <text>
        <r>
          <rPr>
            <b/>
            <sz val="9"/>
            <color indexed="81"/>
            <rFont val="Tahoma"/>
            <family val="2"/>
          </rPr>
          <t>Potter, Daniel:</t>
        </r>
        <r>
          <rPr>
            <sz val="9"/>
            <color indexed="81"/>
            <rFont val="Tahoma"/>
            <family val="2"/>
          </rPr>
          <t xml:space="preserve">
TY Actuals. 07/22-06/23</t>
        </r>
      </text>
    </comment>
    <comment ref="G265" authorId="0" shapeId="0" xr:uid="{0FCD6983-D242-46B7-9F84-3FF2191140AD}">
      <text>
        <r>
          <rPr>
            <b/>
            <sz val="9"/>
            <color indexed="81"/>
            <rFont val="Tahoma"/>
            <family val="2"/>
          </rPr>
          <t>Potter, Daniel:</t>
        </r>
        <r>
          <rPr>
            <sz val="9"/>
            <color indexed="81"/>
            <rFont val="Tahoma"/>
            <family val="2"/>
          </rPr>
          <t xml:space="preserve">
TY Actuals. 07/22-06/23</t>
        </r>
      </text>
    </comment>
    <comment ref="H265" authorId="0" shapeId="0" xr:uid="{911F3DD0-A235-4C14-BB37-66384B40832A}">
      <text>
        <r>
          <rPr>
            <b/>
            <sz val="9"/>
            <color indexed="81"/>
            <rFont val="Tahoma"/>
            <family val="2"/>
          </rPr>
          <t>Potter, Daniel:</t>
        </r>
        <r>
          <rPr>
            <sz val="9"/>
            <color indexed="81"/>
            <rFont val="Tahoma"/>
            <family val="2"/>
          </rPr>
          <t xml:space="preserve">
TY Actuals. 07/22-06/23</t>
        </r>
      </text>
    </comment>
    <comment ref="I265" authorId="0" shapeId="0" xr:uid="{9AF9CAE8-98BE-4335-A078-5BAD78F26067}">
      <text>
        <r>
          <rPr>
            <b/>
            <sz val="9"/>
            <color indexed="81"/>
            <rFont val="Tahoma"/>
            <family val="2"/>
          </rPr>
          <t>Potter, Daniel:</t>
        </r>
        <r>
          <rPr>
            <sz val="9"/>
            <color indexed="81"/>
            <rFont val="Tahoma"/>
            <family val="2"/>
          </rPr>
          <t xml:space="preserve">
TY Actuals. 07/22-06/23</t>
        </r>
      </text>
    </comment>
    <comment ref="J265" authorId="0" shapeId="0" xr:uid="{85B53F7C-B180-4BB6-AC66-F812117BB231}">
      <text>
        <r>
          <rPr>
            <b/>
            <sz val="9"/>
            <color indexed="81"/>
            <rFont val="Tahoma"/>
            <family val="2"/>
          </rPr>
          <t>Potter, Daniel:</t>
        </r>
        <r>
          <rPr>
            <sz val="9"/>
            <color indexed="81"/>
            <rFont val="Tahoma"/>
            <family val="2"/>
          </rPr>
          <t xml:space="preserve">
TY Actuals. 07/22-06/23</t>
        </r>
      </text>
    </comment>
    <comment ref="K265" authorId="0" shapeId="0" xr:uid="{FA66499B-3D94-434B-ABEC-345F4ABB7B88}">
      <text>
        <r>
          <rPr>
            <b/>
            <sz val="9"/>
            <color indexed="81"/>
            <rFont val="Tahoma"/>
            <family val="2"/>
          </rPr>
          <t>Potter, Daniel:</t>
        </r>
        <r>
          <rPr>
            <sz val="9"/>
            <color indexed="81"/>
            <rFont val="Tahoma"/>
            <family val="2"/>
          </rPr>
          <t xml:space="preserve">
TY Actuals. 07/22-06/23</t>
        </r>
      </text>
    </comment>
    <comment ref="L265" authorId="0" shapeId="0" xr:uid="{BD761D9E-84E7-4E98-9250-EA56A76C332A}">
      <text>
        <r>
          <rPr>
            <b/>
            <sz val="9"/>
            <color indexed="81"/>
            <rFont val="Tahoma"/>
            <family val="2"/>
          </rPr>
          <t>Potter, Daniel:</t>
        </r>
        <r>
          <rPr>
            <sz val="9"/>
            <color indexed="81"/>
            <rFont val="Tahoma"/>
            <family val="2"/>
          </rPr>
          <t xml:space="preserve">
TY Actuals. 07/22-06/23</t>
        </r>
      </text>
    </comment>
    <comment ref="M265" authorId="0" shapeId="0" xr:uid="{6F53530E-50AF-4920-8CD7-AF5D7003A582}">
      <text>
        <r>
          <rPr>
            <b/>
            <sz val="9"/>
            <color indexed="81"/>
            <rFont val="Tahoma"/>
            <family val="2"/>
          </rPr>
          <t>Potter, Daniel:</t>
        </r>
        <r>
          <rPr>
            <sz val="9"/>
            <color indexed="81"/>
            <rFont val="Tahoma"/>
            <family val="2"/>
          </rPr>
          <t xml:space="preserve">
TY Actuals. 07/22-06/23</t>
        </r>
      </text>
    </comment>
    <comment ref="N265" authorId="0" shapeId="0" xr:uid="{6CD2E039-B855-45C3-B18F-C2AC9F58D4B3}">
      <text>
        <r>
          <rPr>
            <b/>
            <sz val="9"/>
            <color indexed="81"/>
            <rFont val="Tahoma"/>
            <family val="2"/>
          </rPr>
          <t>Potter, Daniel:</t>
        </r>
        <r>
          <rPr>
            <sz val="9"/>
            <color indexed="81"/>
            <rFont val="Tahoma"/>
            <family val="2"/>
          </rPr>
          <t xml:space="preserve">
TY Actuals. 07/22-06/23</t>
        </r>
      </text>
    </comment>
    <comment ref="O265" authorId="0" shapeId="0" xr:uid="{C46EC1D0-FC49-408B-BCE7-5D448F032850}">
      <text>
        <r>
          <rPr>
            <b/>
            <sz val="9"/>
            <color indexed="81"/>
            <rFont val="Tahoma"/>
            <family val="2"/>
          </rPr>
          <t>Potter, Daniel:</t>
        </r>
        <r>
          <rPr>
            <sz val="9"/>
            <color indexed="81"/>
            <rFont val="Tahoma"/>
            <family val="2"/>
          </rPr>
          <t xml:space="preserve">
TY Actuals. 07/23-06/24</t>
        </r>
      </text>
    </comment>
    <comment ref="P265" authorId="0" shapeId="0" xr:uid="{108F196D-439C-4B01-B634-FC54C5599E11}">
      <text>
        <r>
          <rPr>
            <b/>
            <sz val="9"/>
            <color indexed="81"/>
            <rFont val="Tahoma"/>
            <family val="2"/>
          </rPr>
          <t>Potter, Daniel:</t>
        </r>
        <r>
          <rPr>
            <sz val="9"/>
            <color indexed="81"/>
            <rFont val="Tahoma"/>
            <family val="2"/>
          </rPr>
          <t xml:space="preserve">
TY Actuals. 07/23-06/24</t>
        </r>
      </text>
    </comment>
    <comment ref="Q265" authorId="0" shapeId="0" xr:uid="{B1A0DF51-92BA-4EFD-A633-65292E364F04}">
      <text>
        <r>
          <rPr>
            <b/>
            <sz val="9"/>
            <color indexed="81"/>
            <rFont val="Tahoma"/>
            <family val="2"/>
          </rPr>
          <t>Potter, Daniel:</t>
        </r>
        <r>
          <rPr>
            <sz val="9"/>
            <color indexed="81"/>
            <rFont val="Tahoma"/>
            <family val="2"/>
          </rPr>
          <t xml:space="preserve">
TY Actuals. 07/23-06/24</t>
        </r>
      </text>
    </comment>
    <comment ref="R265" authorId="0" shapeId="0" xr:uid="{C61C550D-BAE1-4E23-A97B-1D5203DCCE66}">
      <text>
        <r>
          <rPr>
            <b/>
            <sz val="9"/>
            <color indexed="81"/>
            <rFont val="Tahoma"/>
            <family val="2"/>
          </rPr>
          <t>Potter, Daniel:</t>
        </r>
        <r>
          <rPr>
            <sz val="9"/>
            <color indexed="81"/>
            <rFont val="Tahoma"/>
            <family val="2"/>
          </rPr>
          <t xml:space="preserve">
TY Actuals. 07/23-06/24</t>
        </r>
      </text>
    </comment>
    <comment ref="S265" authorId="0" shapeId="0" xr:uid="{A77505F7-B97A-4852-8CE2-2F6D8B536094}">
      <text>
        <r>
          <rPr>
            <b/>
            <sz val="9"/>
            <color indexed="81"/>
            <rFont val="Tahoma"/>
            <family val="2"/>
          </rPr>
          <t>Potter, Daniel:</t>
        </r>
        <r>
          <rPr>
            <sz val="9"/>
            <color indexed="81"/>
            <rFont val="Tahoma"/>
            <family val="2"/>
          </rPr>
          <t xml:space="preserve">
TY Actuals. 07/23-06/24</t>
        </r>
      </text>
    </comment>
    <comment ref="T265" authorId="0" shapeId="0" xr:uid="{D2B939B0-900C-4BA3-A192-2D6F36E42651}">
      <text>
        <r>
          <rPr>
            <b/>
            <sz val="9"/>
            <color indexed="81"/>
            <rFont val="Tahoma"/>
            <family val="2"/>
          </rPr>
          <t>Potter, Daniel:</t>
        </r>
        <r>
          <rPr>
            <sz val="9"/>
            <color indexed="81"/>
            <rFont val="Tahoma"/>
            <family val="2"/>
          </rPr>
          <t xml:space="preserve">
TY Actuals. 07/23-06/24</t>
        </r>
      </text>
    </comment>
    <comment ref="U265" authorId="0" shapeId="0" xr:uid="{400D4909-2162-403D-951E-75C710B8F780}">
      <text>
        <r>
          <rPr>
            <b/>
            <sz val="9"/>
            <color indexed="81"/>
            <rFont val="Tahoma"/>
            <family val="2"/>
          </rPr>
          <t>Potter, Daniel:</t>
        </r>
        <r>
          <rPr>
            <sz val="9"/>
            <color indexed="81"/>
            <rFont val="Tahoma"/>
            <family val="2"/>
          </rPr>
          <t xml:space="preserve">
TY Actuals. 07/23-06/24</t>
        </r>
      </text>
    </comment>
    <comment ref="V265" authorId="0" shapeId="0" xr:uid="{7E22DC7E-6EEC-45FE-8381-2BBBCF3F1759}">
      <text>
        <r>
          <rPr>
            <b/>
            <sz val="9"/>
            <color indexed="81"/>
            <rFont val="Tahoma"/>
            <family val="2"/>
          </rPr>
          <t>Potter, Daniel:</t>
        </r>
        <r>
          <rPr>
            <sz val="9"/>
            <color indexed="81"/>
            <rFont val="Tahoma"/>
            <family val="2"/>
          </rPr>
          <t xml:space="preserve">
TY Actuals. 07/23-06/24</t>
        </r>
      </text>
    </comment>
    <comment ref="W265" authorId="0" shapeId="0" xr:uid="{47D984BF-27AB-4F50-BF03-E1ACE68676B5}">
      <text>
        <r>
          <rPr>
            <b/>
            <sz val="9"/>
            <color indexed="81"/>
            <rFont val="Tahoma"/>
            <family val="2"/>
          </rPr>
          <t>Potter, Daniel:</t>
        </r>
        <r>
          <rPr>
            <sz val="9"/>
            <color indexed="81"/>
            <rFont val="Tahoma"/>
            <family val="2"/>
          </rPr>
          <t xml:space="preserve">
TY Actuals. 07/23-06/24</t>
        </r>
      </text>
    </comment>
    <comment ref="X265" authorId="0" shapeId="0" xr:uid="{D866032A-7DF1-49ED-90CE-244D600DB9C5}">
      <text>
        <r>
          <rPr>
            <b/>
            <sz val="9"/>
            <color indexed="81"/>
            <rFont val="Tahoma"/>
            <family val="2"/>
          </rPr>
          <t>Potter, Daniel:</t>
        </r>
        <r>
          <rPr>
            <sz val="9"/>
            <color indexed="81"/>
            <rFont val="Tahoma"/>
            <family val="2"/>
          </rPr>
          <t xml:space="preserve">
TY Actuals. 07/23-06/24</t>
        </r>
      </text>
    </comment>
    <comment ref="Y265" authorId="0" shapeId="0" xr:uid="{65CBF3DD-7F6A-4CF9-88D0-D599F200C293}">
      <text>
        <r>
          <rPr>
            <b/>
            <sz val="9"/>
            <color indexed="81"/>
            <rFont val="Tahoma"/>
            <family val="2"/>
          </rPr>
          <t>Potter, Daniel:</t>
        </r>
        <r>
          <rPr>
            <sz val="9"/>
            <color indexed="81"/>
            <rFont val="Tahoma"/>
            <family val="2"/>
          </rPr>
          <t xml:space="preserve">
TY Actuals. 07/23-06/24</t>
        </r>
      </text>
    </comment>
    <comment ref="Z265" authorId="0" shapeId="0" xr:uid="{92BB47FB-CF45-45C9-BC6F-A35D6A94A65E}">
      <text>
        <r>
          <rPr>
            <b/>
            <sz val="9"/>
            <color indexed="81"/>
            <rFont val="Tahoma"/>
            <family val="2"/>
          </rPr>
          <t>Potter, Daniel:</t>
        </r>
        <r>
          <rPr>
            <sz val="9"/>
            <color indexed="81"/>
            <rFont val="Tahoma"/>
            <family val="2"/>
          </rPr>
          <t xml:space="preserve">
TY Actuals. 07/23-06/24</t>
        </r>
      </text>
    </comment>
    <comment ref="A266" authorId="1" shapeId="0" xr:uid="{00000000-0006-0000-0500-0000840B0000}">
      <text>
        <r>
          <rPr>
            <b/>
            <sz val="8"/>
            <color indexed="81"/>
            <rFont val="Tahoma"/>
            <family val="2"/>
          </rPr>
          <t>Craig Kieny:</t>
        </r>
        <r>
          <rPr>
            <sz val="8"/>
            <color indexed="81"/>
            <rFont val="Tahoma"/>
            <family val="2"/>
          </rPr>
          <t xml:space="preserve">
See"Minutes of the Regular Meeting of the Power Authority of the State of New York" November 15, 2011 meeting, Item #4, pages 15-21, especially page 19.</t>
        </r>
      </text>
    </comment>
    <comment ref="C266" authorId="0" shapeId="0" xr:uid="{5DB41225-C6C0-4012-A62C-89948EE4273A}">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D266" authorId="0" shapeId="0" xr:uid="{553E82BD-C0BC-4E71-923B-4B84F1CAEF98}">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E266" authorId="0" shapeId="0" xr:uid="{31A7DB64-3014-4948-BFE2-7C4067F0AAE8}">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F266" authorId="0" shapeId="0" xr:uid="{8A30B504-006B-4F0F-B786-1E718A1606AA}">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G266" authorId="0" shapeId="0" xr:uid="{678BD292-F36F-465D-879C-818ED9A2F949}">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H266" authorId="0" shapeId="0" xr:uid="{7D400156-6151-4876-A71F-EBE471E31F2C}">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I266" authorId="0" shapeId="0" xr:uid="{6C33C890-29B7-4878-96F2-DF5FBAD89552}">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J266" authorId="0" shapeId="0" xr:uid="{E423E42D-4E74-4B0A-AC54-4D8F0A58F612}">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K266" authorId="0" shapeId="0" xr:uid="{D062D3CD-7DA7-4214-A2AE-001DE5AA9AEA}">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L266" authorId="0" shapeId="0" xr:uid="{2DC9BAB7-BA06-4D97-91A2-C2D1B7D93C10}">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M266" authorId="0" shapeId="0" xr:uid="{9B51C848-FD16-4706-9B23-ECE159A5AFDF}">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N266" authorId="0" shapeId="0" xr:uid="{D3896209-1ACB-449A-B4B2-79BB7F8393D3}">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A267" authorId="1" shapeId="0" xr:uid="{00000000-0006-0000-0500-0000B50B0000}">
      <text>
        <r>
          <rPr>
            <b/>
            <sz val="8"/>
            <color indexed="81"/>
            <rFont val="Tahoma"/>
            <family val="2"/>
          </rPr>
          <t>Craig Kieny:</t>
        </r>
        <r>
          <rPr>
            <sz val="8"/>
            <color indexed="81"/>
            <rFont val="Tahoma"/>
            <family val="2"/>
          </rPr>
          <t xml:space="preserve">
See"Minutes of the Regular Meeting of the Power Authority of the State of New York" November 15, 2011 meeting, Item #4, pages 15-21, especially page 19.</t>
        </r>
      </text>
    </comment>
    <comment ref="C267" authorId="0" shapeId="0" xr:uid="{EC32FB35-C696-48BC-A5BB-3137D0423C20}">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D267" authorId="0" shapeId="0" xr:uid="{CA5CEC2E-116F-4589-95B2-F8A09B9263CF}">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E267" authorId="0" shapeId="0" xr:uid="{13F1DDCA-3A5D-495B-9C33-09E5FE2C9E6F}">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F267" authorId="0" shapeId="0" xr:uid="{B737F672-1B6A-4F00-BB4C-AF5CA84A5B1E}">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G267" authorId="0" shapeId="0" xr:uid="{111829CE-8AA0-4C4C-887A-D736AB24F36B}">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H267" authorId="0" shapeId="0" xr:uid="{E73E2BAD-B338-4745-B51F-F685D69E33A3}">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I267" authorId="0" shapeId="0" xr:uid="{FF1FD71D-E69F-4AD0-A4A9-48D52A7E3421}">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J267" authorId="0" shapeId="0" xr:uid="{8ECEA278-6CF3-499E-A05D-B5D164B3DFBA}">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K267" authorId="0" shapeId="0" xr:uid="{744A1052-A0D9-4146-917C-E3126BDA1313}">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L267" authorId="0" shapeId="0" xr:uid="{FFC88F35-EFC8-44DB-812A-7D21DF21A81F}">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M267" authorId="0" shapeId="0" xr:uid="{41A2C048-0ED7-489B-A238-BC13ECD41581}">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N267" authorId="0" shapeId="0" xr:uid="{4353BF4B-3B42-4463-96C4-C06BF67D3260}">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A268" authorId="1" shapeId="0" xr:uid="{00000000-0006-0000-0500-0000E60B0000}">
      <text>
        <r>
          <rPr>
            <b/>
            <sz val="8"/>
            <color indexed="81"/>
            <rFont val="Tahoma"/>
            <family val="2"/>
          </rPr>
          <t>Craig Kieny:</t>
        </r>
        <r>
          <rPr>
            <sz val="8"/>
            <color indexed="81"/>
            <rFont val="Tahoma"/>
            <family val="2"/>
          </rPr>
          <t xml:space="preserve">
Test Year implied $/MWh rates assumed.</t>
        </r>
      </text>
    </comment>
    <comment ref="C268" authorId="0" shapeId="0" xr:uid="{B19E5CEF-CA1E-4668-AD3E-E4352FB9CE7D}">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D268" authorId="0" shapeId="0" xr:uid="{FAC54CE0-0092-4A40-A012-EB90D1D59CCB}">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E268" authorId="0" shapeId="0" xr:uid="{DACFD190-A8C7-420A-9A6A-AAA3B7CCA067}">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F268" authorId="0" shapeId="0" xr:uid="{7F2D9C6D-EBA4-4833-B5E1-189E039F78E2}">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G268" authorId="0" shapeId="0" xr:uid="{D13C9CD8-C1E3-425E-914F-0BF1B624CB10}">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H268" authorId="0" shapeId="0" xr:uid="{A792D64F-21B0-4F6E-82A5-65E1FE3A5339}">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I268" authorId="0" shapeId="0" xr:uid="{18757A4E-A6E1-49D2-8400-D07263136EC9}">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J268" authorId="0" shapeId="0" xr:uid="{D576691A-26E8-4762-B3BE-8A967BE5C4FE}">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K268" authorId="0" shapeId="0" xr:uid="{FAD69223-634E-4C24-B03F-4D9C414AD89F}">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L268" authorId="0" shapeId="0" xr:uid="{AD6E1BEE-5837-4853-924A-80CADBD7E968}">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M268" authorId="0" shapeId="0" xr:uid="{0986A8F4-B470-4E2D-A9DF-8DEDAD45C4C4}">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N268" authorId="0" shapeId="0" xr:uid="{A62357B0-0FF4-44E2-94C5-6F1F87989C7D}">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A269" authorId="1" shapeId="0" xr:uid="{00000000-0006-0000-0500-00003B0C0000}">
      <text>
        <r>
          <rPr>
            <b/>
            <sz val="8"/>
            <color indexed="81"/>
            <rFont val="Tahoma"/>
            <family val="2"/>
          </rPr>
          <t>Craig Kieny:</t>
        </r>
        <r>
          <rPr>
            <sz val="8"/>
            <color indexed="81"/>
            <rFont val="Tahoma"/>
            <family val="2"/>
          </rPr>
          <t xml:space="preserve">
Test Year implied $/MWh rates assumed.</t>
        </r>
      </text>
    </comment>
    <comment ref="C269" authorId="0" shapeId="0" xr:uid="{D563AF32-3419-403F-BFCD-81C8D8160FF5}">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D269" authorId="0" shapeId="0" xr:uid="{2378FEEA-76D9-4430-BEA2-B8C5608E3BB9}">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E269" authorId="0" shapeId="0" xr:uid="{CD228FCD-059F-47E2-A2CE-840722018896}">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F269" authorId="0" shapeId="0" xr:uid="{C2A38B0E-FA97-49E7-A59A-9DFACEC50FC6}">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G269" authorId="0" shapeId="0" xr:uid="{40071516-DE68-4D74-B361-5DF19D6947D1}">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H269" authorId="0" shapeId="0" xr:uid="{DB6922CA-DBBA-4D16-9311-D96F6870D92D}">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I269" authorId="0" shapeId="0" xr:uid="{DD5EDD54-E249-45BE-B07D-B141AAD88E30}">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J269" authorId="0" shapeId="0" xr:uid="{DA17ECE2-6DC2-4C4B-98A6-76F9FE248914}">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K269" authorId="0" shapeId="0" xr:uid="{37982934-EB97-439C-AF9F-2504593DA76B}">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L269" authorId="0" shapeId="0" xr:uid="{02DB6A91-3883-40E7-97FA-E6298A1ABD37}">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M269" authorId="0" shapeId="0" xr:uid="{4A5BCDE6-1894-44AB-AE24-F2E0CE152D55}">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N269" authorId="0" shapeId="0" xr:uid="{162DEE25-EFCB-4D09-9EE6-9122A801A653}">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A271" authorId="1" shapeId="0" xr:uid="{00000000-0006-0000-0500-0000900C0000}">
      <text>
        <r>
          <rPr>
            <b/>
            <sz val="8"/>
            <color indexed="81"/>
            <rFont val="Tahoma"/>
            <family val="2"/>
          </rPr>
          <t>Craig Kieny:</t>
        </r>
        <r>
          <rPr>
            <sz val="8"/>
            <color indexed="81"/>
            <rFont val="Tahoma"/>
            <family val="2"/>
          </rPr>
          <t xml:space="preserve">
Current Rate is $2.96/kw-month.  The rtae changes in May.  The average annual increase has been 15.41% since 2004.  This was applied in May 2009.</t>
        </r>
      </text>
    </comment>
    <comment ref="B271" authorId="1" shapeId="0" xr:uid="{00000000-0006-0000-0500-0000910C0000}">
      <text>
        <r>
          <rPr>
            <b/>
            <sz val="8"/>
            <color indexed="81"/>
            <rFont val="Tahoma"/>
            <family val="2"/>
          </rPr>
          <t>Craig Kieny:</t>
        </r>
        <r>
          <rPr>
            <sz val="8"/>
            <color indexed="81"/>
            <rFont val="Tahoma"/>
            <family val="2"/>
          </rPr>
          <t xml:space="preserve">
Current Rate is $2.96/kw-month.  The rtae changes in May.  The average annual increase has been 15.41% since 2004.  This was applied in May 2009.</t>
        </r>
      </text>
    </comment>
    <comment ref="C279" authorId="0" shapeId="0" xr:uid="{54319540-BB6E-4899-A37B-ED6B42660D72}">
      <text>
        <r>
          <rPr>
            <b/>
            <sz val="9"/>
            <color indexed="81"/>
            <rFont val="Tahoma"/>
            <family val="2"/>
          </rPr>
          <t>Potter, Daniel:</t>
        </r>
        <r>
          <rPr>
            <sz val="9"/>
            <color indexed="81"/>
            <rFont val="Tahoma"/>
            <family val="2"/>
          </rPr>
          <t xml:space="preserve">
TY Actuals. 07/22-06/23</t>
        </r>
      </text>
    </comment>
    <comment ref="D279" authorId="0" shapeId="0" xr:uid="{AD65F395-C76A-4670-947F-BED30DD08C59}">
      <text>
        <r>
          <rPr>
            <b/>
            <sz val="9"/>
            <color indexed="81"/>
            <rFont val="Tahoma"/>
            <family val="2"/>
          </rPr>
          <t>Potter, Daniel:</t>
        </r>
        <r>
          <rPr>
            <sz val="9"/>
            <color indexed="81"/>
            <rFont val="Tahoma"/>
            <family val="2"/>
          </rPr>
          <t xml:space="preserve">
TY Actuals. 07/22-06/23</t>
        </r>
      </text>
    </comment>
    <comment ref="E279" authorId="0" shapeId="0" xr:uid="{FDE18B30-D844-482D-ABBD-1F6EA6922655}">
      <text>
        <r>
          <rPr>
            <b/>
            <sz val="9"/>
            <color indexed="81"/>
            <rFont val="Tahoma"/>
            <family val="2"/>
          </rPr>
          <t>Potter, Daniel:</t>
        </r>
        <r>
          <rPr>
            <sz val="9"/>
            <color indexed="81"/>
            <rFont val="Tahoma"/>
            <family val="2"/>
          </rPr>
          <t xml:space="preserve">
TY Actuals. 07/22-06/23</t>
        </r>
      </text>
    </comment>
    <comment ref="F279" authorId="0" shapeId="0" xr:uid="{E416428C-9505-4FD0-B5B0-181FACA7EA0F}">
      <text>
        <r>
          <rPr>
            <b/>
            <sz val="9"/>
            <color indexed="81"/>
            <rFont val="Tahoma"/>
            <family val="2"/>
          </rPr>
          <t>Potter, Daniel:</t>
        </r>
        <r>
          <rPr>
            <sz val="9"/>
            <color indexed="81"/>
            <rFont val="Tahoma"/>
            <family val="2"/>
          </rPr>
          <t xml:space="preserve">
TY Actuals. 07/22-06/23</t>
        </r>
      </text>
    </comment>
    <comment ref="G279" authorId="0" shapeId="0" xr:uid="{4A9D0DCE-A301-4E63-AE7E-FF649D43F3C1}">
      <text>
        <r>
          <rPr>
            <b/>
            <sz val="9"/>
            <color indexed="81"/>
            <rFont val="Tahoma"/>
            <family val="2"/>
          </rPr>
          <t>Potter, Daniel:</t>
        </r>
        <r>
          <rPr>
            <sz val="9"/>
            <color indexed="81"/>
            <rFont val="Tahoma"/>
            <family val="2"/>
          </rPr>
          <t xml:space="preserve">
TY Actuals. 07/22-06/23</t>
        </r>
      </text>
    </comment>
    <comment ref="H279" authorId="0" shapeId="0" xr:uid="{B5C58DAA-CDC6-47BB-8C24-2A2A7DA45476}">
      <text>
        <r>
          <rPr>
            <b/>
            <sz val="9"/>
            <color indexed="81"/>
            <rFont val="Tahoma"/>
            <family val="2"/>
          </rPr>
          <t>Potter, Daniel:</t>
        </r>
        <r>
          <rPr>
            <sz val="9"/>
            <color indexed="81"/>
            <rFont val="Tahoma"/>
            <family val="2"/>
          </rPr>
          <t xml:space="preserve">
TY Actuals. 07/22-06/23</t>
        </r>
      </text>
    </comment>
    <comment ref="I279" authorId="0" shapeId="0" xr:uid="{C03492D7-B64A-4D4F-A3BA-E4FD4743D31F}">
      <text>
        <r>
          <rPr>
            <b/>
            <sz val="9"/>
            <color indexed="81"/>
            <rFont val="Tahoma"/>
            <family val="2"/>
          </rPr>
          <t>Potter, Daniel:</t>
        </r>
        <r>
          <rPr>
            <sz val="9"/>
            <color indexed="81"/>
            <rFont val="Tahoma"/>
            <family val="2"/>
          </rPr>
          <t xml:space="preserve">
TY Actuals. 07/22-06/23</t>
        </r>
      </text>
    </comment>
    <comment ref="J279" authorId="0" shapeId="0" xr:uid="{DEC1279B-C3D1-47A4-8FE6-C8D9AE50AE03}">
      <text>
        <r>
          <rPr>
            <b/>
            <sz val="9"/>
            <color indexed="81"/>
            <rFont val="Tahoma"/>
            <family val="2"/>
          </rPr>
          <t>Potter, Daniel:</t>
        </r>
        <r>
          <rPr>
            <sz val="9"/>
            <color indexed="81"/>
            <rFont val="Tahoma"/>
            <family val="2"/>
          </rPr>
          <t xml:space="preserve">
TY Actuals. 07/22-06/23</t>
        </r>
      </text>
    </comment>
    <comment ref="K279" authorId="0" shapeId="0" xr:uid="{2FFE6A3E-B7CC-4DDA-BAFF-660FC5F96247}">
      <text>
        <r>
          <rPr>
            <b/>
            <sz val="9"/>
            <color indexed="81"/>
            <rFont val="Tahoma"/>
            <family val="2"/>
          </rPr>
          <t>Potter, Daniel:</t>
        </r>
        <r>
          <rPr>
            <sz val="9"/>
            <color indexed="81"/>
            <rFont val="Tahoma"/>
            <family val="2"/>
          </rPr>
          <t xml:space="preserve">
TY Actuals. 07/22-06/23</t>
        </r>
      </text>
    </comment>
    <comment ref="L279" authorId="0" shapeId="0" xr:uid="{9714C29C-4710-47EA-9902-DF6552D25F07}">
      <text>
        <r>
          <rPr>
            <b/>
            <sz val="9"/>
            <color indexed="81"/>
            <rFont val="Tahoma"/>
            <family val="2"/>
          </rPr>
          <t>Potter, Daniel:</t>
        </r>
        <r>
          <rPr>
            <sz val="9"/>
            <color indexed="81"/>
            <rFont val="Tahoma"/>
            <family val="2"/>
          </rPr>
          <t xml:space="preserve">
TY Actuals. 07/22-06/23</t>
        </r>
      </text>
    </comment>
    <comment ref="M279" authorId="0" shapeId="0" xr:uid="{7443A86F-E674-4688-829F-C615C5624329}">
      <text>
        <r>
          <rPr>
            <b/>
            <sz val="9"/>
            <color indexed="81"/>
            <rFont val="Tahoma"/>
            <family val="2"/>
          </rPr>
          <t>Potter, Daniel:</t>
        </r>
        <r>
          <rPr>
            <sz val="9"/>
            <color indexed="81"/>
            <rFont val="Tahoma"/>
            <family val="2"/>
          </rPr>
          <t xml:space="preserve">
TY Actuals. 07/22-06/23</t>
        </r>
      </text>
    </comment>
    <comment ref="N279" authorId="0" shapeId="0" xr:uid="{C9CA9501-F7CE-47CE-8CB2-2B8D55833869}">
      <text>
        <r>
          <rPr>
            <b/>
            <sz val="9"/>
            <color indexed="81"/>
            <rFont val="Tahoma"/>
            <family val="2"/>
          </rPr>
          <t>Potter, Daniel:</t>
        </r>
        <r>
          <rPr>
            <sz val="9"/>
            <color indexed="81"/>
            <rFont val="Tahoma"/>
            <family val="2"/>
          </rPr>
          <t xml:space="preserve">
TY Actuals. 07/22-06/23</t>
        </r>
      </text>
    </comment>
    <comment ref="O279" authorId="0" shapeId="0" xr:uid="{101896AC-DE11-44C7-A0B6-B6EC19A012E8}">
      <text>
        <r>
          <rPr>
            <b/>
            <sz val="9"/>
            <color indexed="81"/>
            <rFont val="Tahoma"/>
            <family val="2"/>
          </rPr>
          <t>Potter, Daniel:</t>
        </r>
        <r>
          <rPr>
            <sz val="9"/>
            <color indexed="81"/>
            <rFont val="Tahoma"/>
            <family val="2"/>
          </rPr>
          <t xml:space="preserve">
TY Actuals. 07/23-06/24</t>
        </r>
      </text>
    </comment>
    <comment ref="P279" authorId="0" shapeId="0" xr:uid="{93096D0F-6C5A-46FA-B01E-BC32DE5B40A2}">
      <text>
        <r>
          <rPr>
            <b/>
            <sz val="9"/>
            <color indexed="81"/>
            <rFont val="Tahoma"/>
            <family val="2"/>
          </rPr>
          <t>Potter, Daniel:</t>
        </r>
        <r>
          <rPr>
            <sz val="9"/>
            <color indexed="81"/>
            <rFont val="Tahoma"/>
            <family val="2"/>
          </rPr>
          <t xml:space="preserve">
TY Actuals. 07/23-06/24</t>
        </r>
      </text>
    </comment>
    <comment ref="Q279" authorId="0" shapeId="0" xr:uid="{8F838308-BF07-4532-88BB-C166C6C66A13}">
      <text>
        <r>
          <rPr>
            <b/>
            <sz val="9"/>
            <color indexed="81"/>
            <rFont val="Tahoma"/>
            <family val="2"/>
          </rPr>
          <t>Potter, Daniel:</t>
        </r>
        <r>
          <rPr>
            <sz val="9"/>
            <color indexed="81"/>
            <rFont val="Tahoma"/>
            <family val="2"/>
          </rPr>
          <t xml:space="preserve">
TY Actuals. 07/23-06/24</t>
        </r>
      </text>
    </comment>
    <comment ref="R279" authorId="0" shapeId="0" xr:uid="{4C0DE43B-3B2D-496D-A4D4-11204CC5CF58}">
      <text>
        <r>
          <rPr>
            <b/>
            <sz val="9"/>
            <color indexed="81"/>
            <rFont val="Tahoma"/>
            <family val="2"/>
          </rPr>
          <t>Potter, Daniel:</t>
        </r>
        <r>
          <rPr>
            <sz val="9"/>
            <color indexed="81"/>
            <rFont val="Tahoma"/>
            <family val="2"/>
          </rPr>
          <t xml:space="preserve">
TY Actuals. 07/23-06/24</t>
        </r>
      </text>
    </comment>
    <comment ref="S279" authorId="0" shapeId="0" xr:uid="{8B48A2D2-6F52-460A-8461-D83512AB19CA}">
      <text>
        <r>
          <rPr>
            <b/>
            <sz val="9"/>
            <color indexed="81"/>
            <rFont val="Tahoma"/>
            <family val="2"/>
          </rPr>
          <t>Potter, Daniel:</t>
        </r>
        <r>
          <rPr>
            <sz val="9"/>
            <color indexed="81"/>
            <rFont val="Tahoma"/>
            <family val="2"/>
          </rPr>
          <t xml:space="preserve">
TY Actuals. 07/23-06/24</t>
        </r>
      </text>
    </comment>
    <comment ref="T279" authorId="0" shapeId="0" xr:uid="{4C24FD51-1864-4D9A-AFC1-A7A7871906F3}">
      <text>
        <r>
          <rPr>
            <b/>
            <sz val="9"/>
            <color indexed="81"/>
            <rFont val="Tahoma"/>
            <family val="2"/>
          </rPr>
          <t>Potter, Daniel:</t>
        </r>
        <r>
          <rPr>
            <sz val="9"/>
            <color indexed="81"/>
            <rFont val="Tahoma"/>
            <family val="2"/>
          </rPr>
          <t xml:space="preserve">
TY Actuals. 07/23-06/24</t>
        </r>
      </text>
    </comment>
    <comment ref="U279" authorId="0" shapeId="0" xr:uid="{8305F63C-17F4-49C4-9F3E-0AD543E4151F}">
      <text>
        <r>
          <rPr>
            <b/>
            <sz val="9"/>
            <color indexed="81"/>
            <rFont val="Tahoma"/>
            <family val="2"/>
          </rPr>
          <t>Potter, Daniel:</t>
        </r>
        <r>
          <rPr>
            <sz val="9"/>
            <color indexed="81"/>
            <rFont val="Tahoma"/>
            <family val="2"/>
          </rPr>
          <t xml:space="preserve">
TY Actuals. 07/23-06/24</t>
        </r>
      </text>
    </comment>
    <comment ref="V279" authorId="0" shapeId="0" xr:uid="{9E63E909-96D2-4C38-A4D4-DD8D1D9D7CFA}">
      <text>
        <r>
          <rPr>
            <b/>
            <sz val="9"/>
            <color indexed="81"/>
            <rFont val="Tahoma"/>
            <family val="2"/>
          </rPr>
          <t>Potter, Daniel:</t>
        </r>
        <r>
          <rPr>
            <sz val="9"/>
            <color indexed="81"/>
            <rFont val="Tahoma"/>
            <family val="2"/>
          </rPr>
          <t xml:space="preserve">
TY Actuals. 07/23-06/24</t>
        </r>
      </text>
    </comment>
    <comment ref="W279" authorId="0" shapeId="0" xr:uid="{3E1E9654-A0D9-4E64-A99B-C2DE5E32CE2E}">
      <text>
        <r>
          <rPr>
            <b/>
            <sz val="9"/>
            <color indexed="81"/>
            <rFont val="Tahoma"/>
            <family val="2"/>
          </rPr>
          <t>Potter, Daniel:</t>
        </r>
        <r>
          <rPr>
            <sz val="9"/>
            <color indexed="81"/>
            <rFont val="Tahoma"/>
            <family val="2"/>
          </rPr>
          <t xml:space="preserve">
TY Actuals. 07/23-06/24</t>
        </r>
      </text>
    </comment>
    <comment ref="X279" authorId="0" shapeId="0" xr:uid="{AEECB3A3-0AD9-43F1-884E-ED62C932E6F6}">
      <text>
        <r>
          <rPr>
            <b/>
            <sz val="9"/>
            <color indexed="81"/>
            <rFont val="Tahoma"/>
            <family val="2"/>
          </rPr>
          <t>Potter, Daniel:</t>
        </r>
        <r>
          <rPr>
            <sz val="9"/>
            <color indexed="81"/>
            <rFont val="Tahoma"/>
            <family val="2"/>
          </rPr>
          <t xml:space="preserve">
TY Actuals. 07/23-06/24</t>
        </r>
      </text>
    </comment>
    <comment ref="Y279" authorId="0" shapeId="0" xr:uid="{F096F628-F0B3-4851-926C-D867170B183F}">
      <text>
        <r>
          <rPr>
            <b/>
            <sz val="9"/>
            <color indexed="81"/>
            <rFont val="Tahoma"/>
            <family val="2"/>
          </rPr>
          <t>Potter, Daniel:</t>
        </r>
        <r>
          <rPr>
            <sz val="9"/>
            <color indexed="81"/>
            <rFont val="Tahoma"/>
            <family val="2"/>
          </rPr>
          <t xml:space="preserve">
TY Actuals. 07/23-06/24</t>
        </r>
      </text>
    </comment>
    <comment ref="Z279" authorId="0" shapeId="0" xr:uid="{62437880-51F9-4215-A9C9-4664626DD9BA}">
      <text>
        <r>
          <rPr>
            <b/>
            <sz val="9"/>
            <color indexed="81"/>
            <rFont val="Tahoma"/>
            <family val="2"/>
          </rPr>
          <t>Potter, Daniel:</t>
        </r>
        <r>
          <rPr>
            <sz val="9"/>
            <color indexed="81"/>
            <rFont val="Tahoma"/>
            <family val="2"/>
          </rPr>
          <t xml:space="preserve">
TY Actuals. 07/23-06/24</t>
        </r>
      </text>
    </comment>
    <comment ref="A280" authorId="1" shapeId="0" xr:uid="{00000000-0006-0000-0500-0000F30C0000}">
      <text>
        <r>
          <rPr>
            <b/>
            <sz val="8"/>
            <color indexed="81"/>
            <rFont val="Tahoma"/>
            <family val="2"/>
          </rPr>
          <t>Craig Kieny:</t>
        </r>
        <r>
          <rPr>
            <sz val="8"/>
            <color indexed="81"/>
            <rFont val="Tahoma"/>
            <family val="2"/>
          </rPr>
          <t xml:space="preserve">
See"Minutes of the Regular Meeting of the Power Authority of the State of New York" November 15, 2011 meeting, Item #4, pages 15-21, especially page 19.</t>
        </r>
      </text>
    </comment>
    <comment ref="C280" authorId="0" shapeId="0" xr:uid="{6D5DDC29-3156-484A-8229-D7FE685B66A6}">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D280" authorId="0" shapeId="0" xr:uid="{05632175-E190-4061-96B8-A39F1C341FDC}">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E280" authorId="0" shapeId="0" xr:uid="{76AA9E4D-2C75-4C51-B74D-B8721D8AE9C5}">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F280" authorId="0" shapeId="0" xr:uid="{46192ECD-AE03-4BCB-B32B-D48A58BE909C}">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G280" authorId="0" shapeId="0" xr:uid="{8349042A-4515-4522-8824-BCDEC595128E}">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H280" authorId="0" shapeId="0" xr:uid="{5E1273FA-D6B6-4024-9E73-06C1F009598D}">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I280" authorId="0" shapeId="0" xr:uid="{5DEE7849-8CD0-4DD4-B857-A3DF57D58BEB}">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J280" authorId="0" shapeId="0" xr:uid="{78917406-ADE3-443D-99C8-EBBBE30622AF}">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K280" authorId="0" shapeId="0" xr:uid="{209B049A-B1BE-40E3-96B9-4908AFDF2DCC}">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L280" authorId="0" shapeId="0" xr:uid="{FBBBCA2C-9E72-4D8D-9140-F54EE6FBC6A0}">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M280" authorId="0" shapeId="0" xr:uid="{091F1240-5877-48EA-B8EA-DFCEDE96671E}">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N280" authorId="0" shapeId="0" xr:uid="{E9F12479-1098-486C-B1B3-742AD89E708C}">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A281" authorId="1" shapeId="0" xr:uid="{00000000-0006-0000-0500-00000C0D0000}">
      <text>
        <r>
          <rPr>
            <b/>
            <sz val="8"/>
            <color indexed="81"/>
            <rFont val="Tahoma"/>
            <family val="2"/>
          </rPr>
          <t>Craig Kieny:</t>
        </r>
        <r>
          <rPr>
            <sz val="8"/>
            <color indexed="81"/>
            <rFont val="Tahoma"/>
            <family val="2"/>
          </rPr>
          <t xml:space="preserve">
See"Minutes of the Regular Meeting of the Power Authority of the State of New York" November 15, 2011 meeting, Item #4, pages 15-21, especially page 19.</t>
        </r>
      </text>
    </comment>
    <comment ref="C281" authorId="0" shapeId="0" xr:uid="{6721C799-B01C-4939-8D54-45A26921DA42}">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D281" authorId="0" shapeId="0" xr:uid="{C11DA010-E1AE-486A-BB38-12D029DC8D0E}">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E281" authorId="0" shapeId="0" xr:uid="{538C324B-3576-499B-91FF-DAB28AB01360}">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F281" authorId="0" shapeId="0" xr:uid="{E84484F6-B511-44A2-8545-2CDE497FB0AE}">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G281" authorId="0" shapeId="0" xr:uid="{F8E079B3-BD4D-4048-BF83-D41DCA0632F0}">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H281" authorId="0" shapeId="0" xr:uid="{A90D2AED-2986-4374-AF2D-C84B4BC6A8CC}">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I281" authorId="0" shapeId="0" xr:uid="{F8CC8C13-9384-4B04-B0A9-8924D2054AF9}">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J281" authorId="0" shapeId="0" xr:uid="{55A83F79-800C-44A1-ACAF-3A5E3B8756AF}">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K281" authorId="0" shapeId="0" xr:uid="{FD48752D-6FC1-4A63-984D-078032748B2C}">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L281" authorId="0" shapeId="0" xr:uid="{693412FA-83A6-4232-B174-5F197AA11BC4}">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M281" authorId="0" shapeId="0" xr:uid="{1C4C90FC-ED71-40E8-94E1-2237B32855D9}">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N281" authorId="0" shapeId="0" xr:uid="{9A2790BA-83CF-4A50-9CBE-3548856A4C58}">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A282" authorId="1" shapeId="0" xr:uid="{00000000-0006-0000-0500-0000170D0000}">
      <text>
        <r>
          <rPr>
            <b/>
            <sz val="8"/>
            <color indexed="81"/>
            <rFont val="Tahoma"/>
            <family val="2"/>
          </rPr>
          <t>Craig Kieny:</t>
        </r>
        <r>
          <rPr>
            <sz val="8"/>
            <color indexed="81"/>
            <rFont val="Tahoma"/>
            <family val="2"/>
          </rPr>
          <t xml:space="preserve">
Test Year implied $/MWh rates assumed.</t>
        </r>
      </text>
    </comment>
    <comment ref="C282" authorId="0" shapeId="0" xr:uid="{8B462A79-24B2-4FA0-8B23-11AB5F41775A}">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D282" authorId="0" shapeId="0" xr:uid="{C17A565A-79C6-41A0-A2E9-EE43579DDCCD}">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E282" authorId="0" shapeId="0" xr:uid="{1825D66F-7FA5-4079-AB78-0F3945BE4F96}">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F282" authorId="0" shapeId="0" xr:uid="{B50FE642-EFF8-4502-81C8-4801194B0FE3}">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G282" authorId="0" shapeId="0" xr:uid="{019297D6-A55E-4685-A199-6B9081153693}">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H282" authorId="0" shapeId="0" xr:uid="{2A8CFA1F-87BB-48B1-91B9-0EFA6710EE83}">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I282" authorId="0" shapeId="0" xr:uid="{A6AC1822-4A1A-461D-9175-11A44E100B4A}">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J282" authorId="0" shapeId="0" xr:uid="{E0404CC6-EC5A-4114-9C0E-29734CA94B0D}">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K282" authorId="0" shapeId="0" xr:uid="{623482B6-FA7A-4644-95D6-2F2D8B6F4130}">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L282" authorId="0" shapeId="0" xr:uid="{B3D29E66-31C9-40AD-851F-2FAE8B9E2524}">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M282" authorId="0" shapeId="0" xr:uid="{F7E9510B-FD56-4401-B01D-0A5BE8353A9A}">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N282" authorId="0" shapeId="0" xr:uid="{F3321D89-DEDD-48B8-A51D-C1742272BDE2}">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A283" authorId="1" shapeId="0" xr:uid="{00000000-0006-0000-0500-00006C0D0000}">
      <text>
        <r>
          <rPr>
            <b/>
            <sz val="8"/>
            <color indexed="81"/>
            <rFont val="Tahoma"/>
            <family val="2"/>
          </rPr>
          <t>Craig Kieny:</t>
        </r>
        <r>
          <rPr>
            <sz val="8"/>
            <color indexed="81"/>
            <rFont val="Tahoma"/>
            <family val="2"/>
          </rPr>
          <t xml:space="preserve">
Test Year implied $/MWh rates assumed.</t>
        </r>
      </text>
    </comment>
    <comment ref="C283" authorId="0" shapeId="0" xr:uid="{6ED8A797-D6BF-4918-A58B-D797BA48E1DE}">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D283" authorId="0" shapeId="0" xr:uid="{5C9C4333-65B4-4FCA-AD2D-8BC65FF47417}">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E283" authorId="0" shapeId="0" xr:uid="{62B17678-A111-46EC-B400-862FC1357B22}">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F283" authorId="0" shapeId="0" xr:uid="{F97E0373-7C94-4D99-BDD9-8572F46015DA}">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G283" authorId="0" shapeId="0" xr:uid="{65E28AF9-E917-4254-9F39-6864F04A5E06}">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H283" authorId="0" shapeId="0" xr:uid="{9CAF20E0-F685-4DF2-9A8C-E211E5BE3FFD}">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I283" authorId="0" shapeId="0" xr:uid="{237667A7-6460-4CBA-A658-62FA7A3A9095}">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J283" authorId="0" shapeId="0" xr:uid="{A1F055F1-EBD4-4CEE-86C7-3B9131DC8091}">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K283" authorId="0" shapeId="0" xr:uid="{4E48C203-5872-4063-805C-096989520CE8}">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L283" authorId="0" shapeId="0" xr:uid="{E7449EA9-D17D-43E8-9A2C-A85AB3DB8727}">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M283" authorId="0" shapeId="0" xr:uid="{2420F896-7302-4CAA-8570-1281B85533A1}">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N283" authorId="0" shapeId="0" xr:uid="{2F7A7D72-215A-430F-A143-04D627F2F002}">
      <text>
        <r>
          <rPr>
            <b/>
            <sz val="9"/>
            <color indexed="81"/>
            <rFont val="Tahoma"/>
            <family val="2"/>
          </rPr>
          <t>Potter, Daniel:</t>
        </r>
        <r>
          <rPr>
            <sz val="9"/>
            <color indexed="81"/>
            <rFont val="Tahoma"/>
            <family val="2"/>
          </rPr>
          <t xml:space="preserve">
Based on TY Actuals. 07/22-06/23.   See </t>
        </r>
        <r>
          <rPr>
            <i/>
            <sz val="9"/>
            <color indexed="81"/>
            <rFont val="Tahoma"/>
            <family val="2"/>
          </rPr>
          <t>NYPA Worksheet TY July 2022 to June 2023 2023 08 30</t>
        </r>
      </text>
    </comment>
    <comment ref="A284" authorId="1" shapeId="0" xr:uid="{00000000-0006-0000-0500-0000C10D0000}">
      <text>
        <r>
          <rPr>
            <b/>
            <sz val="8"/>
            <color indexed="81"/>
            <rFont val="Tahoma"/>
            <family val="2"/>
          </rPr>
          <t>Craig Kieny:</t>
        </r>
        <r>
          <rPr>
            <sz val="8"/>
            <color indexed="81"/>
            <rFont val="Tahoma"/>
            <family val="2"/>
          </rPr>
          <t xml:space="preserve">
MWHs * TY $/MWH Energy rate.</t>
        </r>
      </text>
    </comment>
    <comment ref="C296" authorId="0" shapeId="0" xr:uid="{D016B7B9-7033-4588-AF8E-F6F56F71E6C9}">
      <text>
        <r>
          <rPr>
            <b/>
            <sz val="9"/>
            <color indexed="81"/>
            <rFont val="Tahoma"/>
            <family val="2"/>
          </rPr>
          <t>Potter, Daniel:</t>
        </r>
        <r>
          <rPr>
            <sz val="9"/>
            <color indexed="81"/>
            <rFont val="Tahoma"/>
            <family val="2"/>
          </rPr>
          <t xml:space="preserve">
TY Actuals.  07/22-06/23.  Excess Gen. </t>
        </r>
      </text>
    </comment>
    <comment ref="O296" authorId="0" shapeId="0" xr:uid="{CD3D2C6E-43C9-4EF5-A5CE-B58E80512663}">
      <text>
        <r>
          <rPr>
            <b/>
            <sz val="9"/>
            <color indexed="81"/>
            <rFont val="Tahoma"/>
            <family val="2"/>
          </rPr>
          <t>Potter, Daniel:</t>
        </r>
        <r>
          <rPr>
            <sz val="9"/>
            <color indexed="81"/>
            <rFont val="Tahoma"/>
            <family val="2"/>
          </rPr>
          <t xml:space="preserve">
TY Actuals. 07/23-06/24</t>
        </r>
      </text>
    </comment>
    <comment ref="P296" authorId="0" shapeId="0" xr:uid="{0C367DBC-BBE9-401B-B771-07A6EDD6F1F5}">
      <text>
        <r>
          <rPr>
            <b/>
            <sz val="9"/>
            <color indexed="81"/>
            <rFont val="Tahoma"/>
            <family val="2"/>
          </rPr>
          <t>Potter, Daniel:</t>
        </r>
        <r>
          <rPr>
            <sz val="9"/>
            <color indexed="81"/>
            <rFont val="Tahoma"/>
            <family val="2"/>
          </rPr>
          <t xml:space="preserve">
TY Actuals. 07/23-06/24</t>
        </r>
      </text>
    </comment>
    <comment ref="Q296" authorId="0" shapeId="0" xr:uid="{6504A64D-B54D-44DC-B7D4-C7DACBC26CA8}">
      <text>
        <r>
          <rPr>
            <b/>
            <sz val="9"/>
            <color indexed="81"/>
            <rFont val="Tahoma"/>
            <family val="2"/>
          </rPr>
          <t>Potter, Daniel:</t>
        </r>
        <r>
          <rPr>
            <sz val="9"/>
            <color indexed="81"/>
            <rFont val="Tahoma"/>
            <family val="2"/>
          </rPr>
          <t xml:space="preserve">
TY Actuals. 07/23-06/24</t>
        </r>
      </text>
    </comment>
    <comment ref="R296" authorId="0" shapeId="0" xr:uid="{978BD4CA-43AF-4DF3-8086-D5AE3C83172C}">
      <text>
        <r>
          <rPr>
            <b/>
            <sz val="9"/>
            <color indexed="81"/>
            <rFont val="Tahoma"/>
            <family val="2"/>
          </rPr>
          <t>Potter, Daniel:</t>
        </r>
        <r>
          <rPr>
            <sz val="9"/>
            <color indexed="81"/>
            <rFont val="Tahoma"/>
            <family val="2"/>
          </rPr>
          <t xml:space="preserve">
TY Actuals. 07/23-06/24</t>
        </r>
      </text>
    </comment>
    <comment ref="S296" authorId="0" shapeId="0" xr:uid="{73402188-7575-4316-8B02-71524D9E737F}">
      <text>
        <r>
          <rPr>
            <b/>
            <sz val="9"/>
            <color indexed="81"/>
            <rFont val="Tahoma"/>
            <family val="2"/>
          </rPr>
          <t>Potter, Daniel:</t>
        </r>
        <r>
          <rPr>
            <sz val="9"/>
            <color indexed="81"/>
            <rFont val="Tahoma"/>
            <family val="2"/>
          </rPr>
          <t xml:space="preserve">
TY Actuals. 07/23-06/24</t>
        </r>
      </text>
    </comment>
    <comment ref="T296" authorId="0" shapeId="0" xr:uid="{E8676BA0-45F8-48E4-8704-9F7BEBC56A09}">
      <text>
        <r>
          <rPr>
            <b/>
            <sz val="9"/>
            <color indexed="81"/>
            <rFont val="Tahoma"/>
            <family val="2"/>
          </rPr>
          <t>Potter, Daniel:</t>
        </r>
        <r>
          <rPr>
            <sz val="9"/>
            <color indexed="81"/>
            <rFont val="Tahoma"/>
            <family val="2"/>
          </rPr>
          <t xml:space="preserve">
TY Actuals. 07/23-06/24</t>
        </r>
      </text>
    </comment>
    <comment ref="U296" authorId="0" shapeId="0" xr:uid="{6B083117-B938-4F68-B322-C2541528152C}">
      <text>
        <r>
          <rPr>
            <b/>
            <sz val="9"/>
            <color indexed="81"/>
            <rFont val="Tahoma"/>
            <family val="2"/>
          </rPr>
          <t>Potter, Daniel:</t>
        </r>
        <r>
          <rPr>
            <sz val="9"/>
            <color indexed="81"/>
            <rFont val="Tahoma"/>
            <family val="2"/>
          </rPr>
          <t xml:space="preserve">
TY Actuals. 07/23-06/24</t>
        </r>
      </text>
    </comment>
    <comment ref="V296" authorId="0" shapeId="0" xr:uid="{E12891AB-B0AD-4EDE-A702-03797D08578E}">
      <text>
        <r>
          <rPr>
            <b/>
            <sz val="9"/>
            <color indexed="81"/>
            <rFont val="Tahoma"/>
            <family val="2"/>
          </rPr>
          <t>Potter, Daniel:</t>
        </r>
        <r>
          <rPr>
            <sz val="9"/>
            <color indexed="81"/>
            <rFont val="Tahoma"/>
            <family val="2"/>
          </rPr>
          <t xml:space="preserve">
TY Actuals. 07/23-06/24</t>
        </r>
      </text>
    </comment>
    <comment ref="W296" authorId="0" shapeId="0" xr:uid="{1482BD96-1F3B-4B8B-97EF-70B00E88A7B6}">
      <text>
        <r>
          <rPr>
            <b/>
            <sz val="9"/>
            <color indexed="81"/>
            <rFont val="Tahoma"/>
            <family val="2"/>
          </rPr>
          <t>Potter, Daniel:</t>
        </r>
        <r>
          <rPr>
            <sz val="9"/>
            <color indexed="81"/>
            <rFont val="Tahoma"/>
            <family val="2"/>
          </rPr>
          <t xml:space="preserve">
TY Actuals. 07/23-06/24</t>
        </r>
      </text>
    </comment>
    <comment ref="X296" authorId="0" shapeId="0" xr:uid="{A88D53F7-70A0-4C99-B728-9DDBF9FA6D0A}">
      <text>
        <r>
          <rPr>
            <b/>
            <sz val="9"/>
            <color indexed="81"/>
            <rFont val="Tahoma"/>
            <family val="2"/>
          </rPr>
          <t>Potter, Daniel:</t>
        </r>
        <r>
          <rPr>
            <sz val="9"/>
            <color indexed="81"/>
            <rFont val="Tahoma"/>
            <family val="2"/>
          </rPr>
          <t xml:space="preserve">
TY Actuals. 07/23-06/24</t>
        </r>
      </text>
    </comment>
    <comment ref="Y296" authorId="0" shapeId="0" xr:uid="{5608AE75-DEE6-47A8-BC71-4006AF645736}">
      <text>
        <r>
          <rPr>
            <b/>
            <sz val="9"/>
            <color indexed="81"/>
            <rFont val="Tahoma"/>
            <family val="2"/>
          </rPr>
          <t>Potter, Daniel:</t>
        </r>
        <r>
          <rPr>
            <sz val="9"/>
            <color indexed="81"/>
            <rFont val="Tahoma"/>
            <family val="2"/>
          </rPr>
          <t xml:space="preserve">
TY Actuals. 07/23-06/24</t>
        </r>
      </text>
    </comment>
    <comment ref="Z296" authorId="0" shapeId="0" xr:uid="{EB261D40-63D4-41D9-B8C6-22DC1377844A}">
      <text>
        <r>
          <rPr>
            <b/>
            <sz val="9"/>
            <color indexed="81"/>
            <rFont val="Tahoma"/>
            <family val="2"/>
          </rPr>
          <t>Potter, Daniel:</t>
        </r>
        <r>
          <rPr>
            <sz val="9"/>
            <color indexed="81"/>
            <rFont val="Tahoma"/>
            <family val="2"/>
          </rPr>
          <t xml:space="preserve">
TY Actuals. 07/23-06/24</t>
        </r>
      </text>
    </comment>
    <comment ref="C297" authorId="4" shapeId="0" xr:uid="{00000000-0006-0000-0500-000047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D297" authorId="4" shapeId="0" xr:uid="{00000000-0006-0000-0500-000048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E297" authorId="4" shapeId="0" xr:uid="{00000000-0006-0000-0500-000049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F297" authorId="4" shapeId="0" xr:uid="{00000000-0006-0000-0500-00004A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G297" authorId="4" shapeId="0" xr:uid="{00000000-0006-0000-0500-00004B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H297" authorId="4" shapeId="0" xr:uid="{00000000-0006-0000-0500-00004C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I297" authorId="4" shapeId="0" xr:uid="{00000000-0006-0000-0500-00004D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J297" authorId="4" shapeId="0" xr:uid="{00000000-0006-0000-0500-00004E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K297" authorId="4" shapeId="0" xr:uid="{00000000-0006-0000-0500-00004F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L297" authorId="4" shapeId="0" xr:uid="{00000000-0006-0000-0500-000050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M297" authorId="4" shapeId="0" xr:uid="{00000000-0006-0000-0500-000051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N297" authorId="4" shapeId="0" xr:uid="{00000000-0006-0000-0500-000052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O297" authorId="4" shapeId="0" xr:uid="{00000000-0006-0000-0500-000053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P297" authorId="4" shapeId="0" xr:uid="{00000000-0006-0000-0500-000054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Q297" authorId="4" shapeId="0" xr:uid="{00000000-0006-0000-0500-000055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R297" authorId="4" shapeId="0" xr:uid="{00000000-0006-0000-0500-000056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S297" authorId="4" shapeId="0" xr:uid="{00000000-0006-0000-0500-000057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T297" authorId="4" shapeId="0" xr:uid="{00000000-0006-0000-0500-000058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U297" authorId="4" shapeId="0" xr:uid="{00000000-0006-0000-0500-000059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V297" authorId="4" shapeId="0" xr:uid="{00000000-0006-0000-0500-00005A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W297" authorId="4" shapeId="0" xr:uid="{00000000-0006-0000-0500-00005B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X297" authorId="4" shapeId="0" xr:uid="{00000000-0006-0000-0500-00005C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Y297" authorId="4" shapeId="0" xr:uid="{00000000-0006-0000-0500-00005D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Z297" authorId="4" shapeId="0" xr:uid="{00000000-0006-0000-0500-00005E0E0000}">
      <text>
        <r>
          <rPr>
            <b/>
            <sz val="9"/>
            <color indexed="81"/>
            <rFont val="Tahoma"/>
            <family val="2"/>
          </rPr>
          <t>Kieny, Craig:</t>
        </r>
        <r>
          <rPr>
            <sz val="9"/>
            <color indexed="81"/>
            <rFont val="Tahoma"/>
            <family val="2"/>
          </rPr>
          <t xml:space="preserve">
Assumes Test Year is always the previous calendar year and these are the MWh impactfrom all installations that affect the same month of the previous calendar year.</t>
        </r>
      </text>
    </comment>
    <comment ref="C298" authorId="2" shapeId="0" xr:uid="{00000000-0006-0000-0500-00007F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D298" authorId="2" shapeId="0" xr:uid="{00000000-0006-0000-0500-000080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E298" authorId="2" shapeId="0" xr:uid="{00000000-0006-0000-0500-000081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F298" authorId="2" shapeId="0" xr:uid="{00000000-0006-0000-0500-000082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G298" authorId="2" shapeId="0" xr:uid="{00000000-0006-0000-0500-000083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H298" authorId="2" shapeId="0" xr:uid="{00000000-0006-0000-0500-000084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I298" authorId="2" shapeId="0" xr:uid="{00000000-0006-0000-0500-000085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J298" authorId="2" shapeId="0" xr:uid="{00000000-0006-0000-0500-000086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K298" authorId="2" shapeId="0" xr:uid="{00000000-0006-0000-0500-000087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L298" authorId="2" shapeId="0" xr:uid="{00000000-0006-0000-0500-000088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M298" authorId="2" shapeId="0" xr:uid="{00000000-0006-0000-0500-000089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N298" authorId="2" shapeId="0" xr:uid="{00000000-0006-0000-0500-00008A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O298" authorId="2" shapeId="0" xr:uid="{00000000-0006-0000-0500-00008B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P298" authorId="2" shapeId="0" xr:uid="{00000000-0006-0000-0500-00008C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Q298" authorId="2" shapeId="0" xr:uid="{00000000-0006-0000-0500-00008D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R298" authorId="2" shapeId="0" xr:uid="{00000000-0006-0000-0500-00008E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S298" authorId="2" shapeId="0" xr:uid="{00000000-0006-0000-0500-00008F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T298" authorId="2" shapeId="0" xr:uid="{00000000-0006-0000-0500-000090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U298" authorId="2" shapeId="0" xr:uid="{00000000-0006-0000-0500-000091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V298" authorId="2" shapeId="0" xr:uid="{00000000-0006-0000-0500-000092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W298" authorId="2" shapeId="0" xr:uid="{00000000-0006-0000-0500-000093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X298" authorId="2" shapeId="0" xr:uid="{00000000-0006-0000-0500-000094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Y298" authorId="2" shapeId="0" xr:uid="{00000000-0006-0000-0500-000095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Z298" authorId="2" shapeId="0" xr:uid="{00000000-0006-0000-0500-0000960F0000}">
      <text>
        <r>
          <rPr>
            <b/>
            <sz val="9"/>
            <color indexed="81"/>
            <rFont val="Tahoma"/>
            <family val="2"/>
          </rPr>
          <t>Williams, Tucker:</t>
        </r>
        <r>
          <rPr>
            <sz val="9"/>
            <color indexed="81"/>
            <rFont val="Tahoma"/>
            <family val="2"/>
          </rPr>
          <t xml:space="preserve">
Assumed "test Year" is the previous calendar year, therefor no need for adjustment</t>
        </r>
      </text>
    </comment>
    <comment ref="C299" authorId="2" shapeId="0" xr:uid="{00000000-0006-0000-0500-0000B7100000}">
      <text>
        <r>
          <rPr>
            <b/>
            <sz val="9"/>
            <color indexed="81"/>
            <rFont val="Tahoma"/>
            <family val="2"/>
          </rPr>
          <t>Williams, Tucker:</t>
        </r>
        <r>
          <rPr>
            <sz val="9"/>
            <color indexed="81"/>
            <rFont val="Tahoma"/>
            <family val="2"/>
          </rPr>
          <t xml:space="preserve">
Assumes new installed kw equal to new installs from previous year.</t>
        </r>
      </text>
    </comment>
    <comment ref="D299" authorId="2" shapeId="0" xr:uid="{00000000-0006-0000-0500-0000B8100000}">
      <text>
        <r>
          <rPr>
            <b/>
            <sz val="9"/>
            <color indexed="81"/>
            <rFont val="Tahoma"/>
            <family val="2"/>
          </rPr>
          <t>Williams, Tucker:</t>
        </r>
        <r>
          <rPr>
            <sz val="9"/>
            <color indexed="81"/>
            <rFont val="Tahoma"/>
            <family val="2"/>
          </rPr>
          <t xml:space="preserve">
Assumes new installed kw equal to new installs from previous year.</t>
        </r>
      </text>
    </comment>
    <comment ref="E299" authorId="2" shapeId="0" xr:uid="{00000000-0006-0000-0500-0000B9100000}">
      <text>
        <r>
          <rPr>
            <b/>
            <sz val="9"/>
            <color indexed="81"/>
            <rFont val="Tahoma"/>
            <family val="2"/>
          </rPr>
          <t>Williams, Tucker:</t>
        </r>
        <r>
          <rPr>
            <sz val="9"/>
            <color indexed="81"/>
            <rFont val="Tahoma"/>
            <family val="2"/>
          </rPr>
          <t xml:space="preserve">
Assumes new installed kw equal to new installs from previous year.</t>
        </r>
      </text>
    </comment>
    <comment ref="F299" authorId="2" shapeId="0" xr:uid="{00000000-0006-0000-0500-0000BA100000}">
      <text>
        <r>
          <rPr>
            <b/>
            <sz val="9"/>
            <color indexed="81"/>
            <rFont val="Tahoma"/>
            <family val="2"/>
          </rPr>
          <t>Williams, Tucker:</t>
        </r>
        <r>
          <rPr>
            <sz val="9"/>
            <color indexed="81"/>
            <rFont val="Tahoma"/>
            <family val="2"/>
          </rPr>
          <t xml:space="preserve">
Assumes new installed kw equal to new installs from previous year.</t>
        </r>
      </text>
    </comment>
    <comment ref="G299" authorId="2" shapeId="0" xr:uid="{00000000-0006-0000-0500-0000BB100000}">
      <text>
        <r>
          <rPr>
            <b/>
            <sz val="9"/>
            <color indexed="81"/>
            <rFont val="Tahoma"/>
            <family val="2"/>
          </rPr>
          <t>Williams, Tucker:</t>
        </r>
        <r>
          <rPr>
            <sz val="9"/>
            <color indexed="81"/>
            <rFont val="Tahoma"/>
            <family val="2"/>
          </rPr>
          <t xml:space="preserve">
Assumes new installed kw equal to new installs from previous year.</t>
        </r>
      </text>
    </comment>
    <comment ref="H299" authorId="2" shapeId="0" xr:uid="{00000000-0006-0000-0500-0000BC100000}">
      <text>
        <r>
          <rPr>
            <b/>
            <sz val="9"/>
            <color indexed="81"/>
            <rFont val="Tahoma"/>
            <family val="2"/>
          </rPr>
          <t>Williams, Tucker:</t>
        </r>
        <r>
          <rPr>
            <sz val="9"/>
            <color indexed="81"/>
            <rFont val="Tahoma"/>
            <family val="2"/>
          </rPr>
          <t xml:space="preserve">
Assumes new installed kw equal to new installs from previous year.</t>
        </r>
      </text>
    </comment>
    <comment ref="I299" authorId="2" shapeId="0" xr:uid="{00000000-0006-0000-0500-0000BD100000}">
      <text>
        <r>
          <rPr>
            <b/>
            <sz val="9"/>
            <color indexed="81"/>
            <rFont val="Tahoma"/>
            <family val="2"/>
          </rPr>
          <t>Williams, Tucker:</t>
        </r>
        <r>
          <rPr>
            <sz val="9"/>
            <color indexed="81"/>
            <rFont val="Tahoma"/>
            <family val="2"/>
          </rPr>
          <t xml:space="preserve">
Assumes new installed kw equal to new installs from previous year.</t>
        </r>
      </text>
    </comment>
    <comment ref="J299" authorId="2" shapeId="0" xr:uid="{00000000-0006-0000-0500-0000BE100000}">
      <text>
        <r>
          <rPr>
            <b/>
            <sz val="9"/>
            <color indexed="81"/>
            <rFont val="Tahoma"/>
            <family val="2"/>
          </rPr>
          <t>Williams, Tucker:</t>
        </r>
        <r>
          <rPr>
            <sz val="9"/>
            <color indexed="81"/>
            <rFont val="Tahoma"/>
            <family val="2"/>
          </rPr>
          <t xml:space="preserve">
Assumes new installed kw equal to new installs from previous year.</t>
        </r>
      </text>
    </comment>
    <comment ref="K299" authorId="2" shapeId="0" xr:uid="{00000000-0006-0000-0500-0000BF100000}">
      <text>
        <r>
          <rPr>
            <b/>
            <sz val="9"/>
            <color indexed="81"/>
            <rFont val="Tahoma"/>
            <family val="2"/>
          </rPr>
          <t>Williams, Tucker:</t>
        </r>
        <r>
          <rPr>
            <sz val="9"/>
            <color indexed="81"/>
            <rFont val="Tahoma"/>
            <family val="2"/>
          </rPr>
          <t xml:space="preserve">
Assumes new installed kw equal to new installs from previous year.</t>
        </r>
      </text>
    </comment>
    <comment ref="L299" authorId="2" shapeId="0" xr:uid="{00000000-0006-0000-0500-0000C0100000}">
      <text>
        <r>
          <rPr>
            <b/>
            <sz val="9"/>
            <color indexed="81"/>
            <rFont val="Tahoma"/>
            <family val="2"/>
          </rPr>
          <t>Williams, Tucker:</t>
        </r>
        <r>
          <rPr>
            <sz val="9"/>
            <color indexed="81"/>
            <rFont val="Tahoma"/>
            <family val="2"/>
          </rPr>
          <t xml:space="preserve">
Assumes new installed kw equal to new installs from previous year.</t>
        </r>
      </text>
    </comment>
    <comment ref="M299" authorId="2" shapeId="0" xr:uid="{00000000-0006-0000-0500-0000C1100000}">
      <text>
        <r>
          <rPr>
            <b/>
            <sz val="9"/>
            <color indexed="81"/>
            <rFont val="Tahoma"/>
            <family val="2"/>
          </rPr>
          <t>Williams, Tucker:</t>
        </r>
        <r>
          <rPr>
            <sz val="9"/>
            <color indexed="81"/>
            <rFont val="Tahoma"/>
            <family val="2"/>
          </rPr>
          <t xml:space="preserve">
Assumes new installed kw equal to new installs from previous year.</t>
        </r>
      </text>
    </comment>
    <comment ref="N299" authorId="2" shapeId="0" xr:uid="{00000000-0006-0000-0500-0000C2100000}">
      <text>
        <r>
          <rPr>
            <b/>
            <sz val="9"/>
            <color indexed="81"/>
            <rFont val="Tahoma"/>
            <family val="2"/>
          </rPr>
          <t>Williams, Tucker:</t>
        </r>
        <r>
          <rPr>
            <sz val="9"/>
            <color indexed="81"/>
            <rFont val="Tahoma"/>
            <family val="2"/>
          </rPr>
          <t xml:space="preserve">
Assumes new installed kw equal to new installs from previous year.</t>
        </r>
      </text>
    </comment>
    <comment ref="O299" authorId="2" shapeId="0" xr:uid="{00000000-0006-0000-0500-0000C3100000}">
      <text>
        <r>
          <rPr>
            <b/>
            <sz val="9"/>
            <color indexed="81"/>
            <rFont val="Tahoma"/>
            <family val="2"/>
          </rPr>
          <t>Williams, Tucker:</t>
        </r>
        <r>
          <rPr>
            <sz val="9"/>
            <color indexed="81"/>
            <rFont val="Tahoma"/>
            <family val="2"/>
          </rPr>
          <t xml:space="preserve">
Assumes new installed kw equal to new installs from previous year.</t>
        </r>
      </text>
    </comment>
    <comment ref="P299" authorId="2" shapeId="0" xr:uid="{00000000-0006-0000-0500-0000C4100000}">
      <text>
        <r>
          <rPr>
            <b/>
            <sz val="9"/>
            <color indexed="81"/>
            <rFont val="Tahoma"/>
            <family val="2"/>
          </rPr>
          <t>Williams, Tucker:</t>
        </r>
        <r>
          <rPr>
            <sz val="9"/>
            <color indexed="81"/>
            <rFont val="Tahoma"/>
            <family val="2"/>
          </rPr>
          <t xml:space="preserve">
Assumes new installed kw equal to new installs from previous year.</t>
        </r>
      </text>
    </comment>
    <comment ref="Q299" authorId="2" shapeId="0" xr:uid="{00000000-0006-0000-0500-0000C5100000}">
      <text>
        <r>
          <rPr>
            <b/>
            <sz val="9"/>
            <color indexed="81"/>
            <rFont val="Tahoma"/>
            <family val="2"/>
          </rPr>
          <t>Williams, Tucker:</t>
        </r>
        <r>
          <rPr>
            <sz val="9"/>
            <color indexed="81"/>
            <rFont val="Tahoma"/>
            <family val="2"/>
          </rPr>
          <t xml:space="preserve">
Assumes new installed kw equal to new installs from previous year.</t>
        </r>
      </text>
    </comment>
    <comment ref="R299" authorId="2" shapeId="0" xr:uid="{00000000-0006-0000-0500-0000C6100000}">
      <text>
        <r>
          <rPr>
            <b/>
            <sz val="9"/>
            <color indexed="81"/>
            <rFont val="Tahoma"/>
            <family val="2"/>
          </rPr>
          <t>Williams, Tucker:</t>
        </r>
        <r>
          <rPr>
            <sz val="9"/>
            <color indexed="81"/>
            <rFont val="Tahoma"/>
            <family val="2"/>
          </rPr>
          <t xml:space="preserve">
Assumes new installed kw equal to new installs from previous year.</t>
        </r>
      </text>
    </comment>
    <comment ref="S299" authorId="2" shapeId="0" xr:uid="{00000000-0006-0000-0500-0000C7100000}">
      <text>
        <r>
          <rPr>
            <b/>
            <sz val="9"/>
            <color indexed="81"/>
            <rFont val="Tahoma"/>
            <family val="2"/>
          </rPr>
          <t>Williams, Tucker:</t>
        </r>
        <r>
          <rPr>
            <sz val="9"/>
            <color indexed="81"/>
            <rFont val="Tahoma"/>
            <family val="2"/>
          </rPr>
          <t xml:space="preserve">
Assumes new installed kw equal to new installs from previous year.</t>
        </r>
      </text>
    </comment>
    <comment ref="T299" authorId="2" shapeId="0" xr:uid="{00000000-0006-0000-0500-0000C8100000}">
      <text>
        <r>
          <rPr>
            <b/>
            <sz val="9"/>
            <color indexed="81"/>
            <rFont val="Tahoma"/>
            <family val="2"/>
          </rPr>
          <t>Williams, Tucker:</t>
        </r>
        <r>
          <rPr>
            <sz val="9"/>
            <color indexed="81"/>
            <rFont val="Tahoma"/>
            <family val="2"/>
          </rPr>
          <t xml:space="preserve">
Assumes new installed kw equal to new installs from previous year.</t>
        </r>
      </text>
    </comment>
    <comment ref="U299" authorId="2" shapeId="0" xr:uid="{00000000-0006-0000-0500-0000C9100000}">
      <text>
        <r>
          <rPr>
            <b/>
            <sz val="9"/>
            <color indexed="81"/>
            <rFont val="Tahoma"/>
            <family val="2"/>
          </rPr>
          <t>Williams, Tucker:</t>
        </r>
        <r>
          <rPr>
            <sz val="9"/>
            <color indexed="81"/>
            <rFont val="Tahoma"/>
            <family val="2"/>
          </rPr>
          <t xml:space="preserve">
Assumes new installed kw equal to new installs from previous year.</t>
        </r>
      </text>
    </comment>
    <comment ref="V299" authorId="2" shapeId="0" xr:uid="{00000000-0006-0000-0500-0000CA100000}">
      <text>
        <r>
          <rPr>
            <b/>
            <sz val="9"/>
            <color indexed="81"/>
            <rFont val="Tahoma"/>
            <family val="2"/>
          </rPr>
          <t>Williams, Tucker:</t>
        </r>
        <r>
          <rPr>
            <sz val="9"/>
            <color indexed="81"/>
            <rFont val="Tahoma"/>
            <family val="2"/>
          </rPr>
          <t xml:space="preserve">
Assumes new installed kw equal to new installs from previous year.</t>
        </r>
      </text>
    </comment>
    <comment ref="W299" authorId="2" shapeId="0" xr:uid="{00000000-0006-0000-0500-0000CB100000}">
      <text>
        <r>
          <rPr>
            <b/>
            <sz val="9"/>
            <color indexed="81"/>
            <rFont val="Tahoma"/>
            <family val="2"/>
          </rPr>
          <t>Williams, Tucker:</t>
        </r>
        <r>
          <rPr>
            <sz val="9"/>
            <color indexed="81"/>
            <rFont val="Tahoma"/>
            <family val="2"/>
          </rPr>
          <t xml:space="preserve">
Assumes new installed kw equal to new installs from previous year.</t>
        </r>
      </text>
    </comment>
    <comment ref="X299" authorId="2" shapeId="0" xr:uid="{00000000-0006-0000-0500-0000CC100000}">
      <text>
        <r>
          <rPr>
            <b/>
            <sz val="9"/>
            <color indexed="81"/>
            <rFont val="Tahoma"/>
            <family val="2"/>
          </rPr>
          <t>Williams, Tucker:</t>
        </r>
        <r>
          <rPr>
            <sz val="9"/>
            <color indexed="81"/>
            <rFont val="Tahoma"/>
            <family val="2"/>
          </rPr>
          <t xml:space="preserve">
Assumes new installed kw equal to new installs from previous year.</t>
        </r>
      </text>
    </comment>
    <comment ref="Y299" authorId="2" shapeId="0" xr:uid="{00000000-0006-0000-0500-0000CD100000}">
      <text>
        <r>
          <rPr>
            <b/>
            <sz val="9"/>
            <color indexed="81"/>
            <rFont val="Tahoma"/>
            <family val="2"/>
          </rPr>
          <t>Williams, Tucker:</t>
        </r>
        <r>
          <rPr>
            <sz val="9"/>
            <color indexed="81"/>
            <rFont val="Tahoma"/>
            <family val="2"/>
          </rPr>
          <t xml:space="preserve">
Assumes new installed kw equal to new installs from previous year.</t>
        </r>
      </text>
    </comment>
    <comment ref="Z299" authorId="2" shapeId="0" xr:uid="{00000000-0006-0000-0500-0000CE100000}">
      <text>
        <r>
          <rPr>
            <b/>
            <sz val="9"/>
            <color indexed="81"/>
            <rFont val="Tahoma"/>
            <family val="2"/>
          </rPr>
          <t>Williams, Tucker:</t>
        </r>
        <r>
          <rPr>
            <sz val="9"/>
            <color indexed="81"/>
            <rFont val="Tahoma"/>
            <family val="2"/>
          </rPr>
          <t xml:space="preserve">
Assumes new installed kw equal to new installs from previous year.</t>
        </r>
      </text>
    </comment>
    <comment ref="C304" authorId="0" shapeId="0" xr:uid="{57738CE6-6A57-483B-BE77-80CC76156955}">
      <text>
        <r>
          <rPr>
            <b/>
            <sz val="9"/>
            <color indexed="81"/>
            <rFont val="Tahoma"/>
            <family val="2"/>
          </rPr>
          <t>Potter, Daniel:</t>
        </r>
        <r>
          <rPr>
            <sz val="9"/>
            <color indexed="81"/>
            <rFont val="Tahoma"/>
            <family val="2"/>
          </rPr>
          <t xml:space="preserve">
TY Actuals. 07/22-06/23.</t>
        </r>
      </text>
    </comment>
    <comment ref="D304" authorId="0" shapeId="0" xr:uid="{2A617FDC-6931-4777-BB40-E7504F6A646C}">
      <text>
        <r>
          <rPr>
            <b/>
            <sz val="9"/>
            <color indexed="81"/>
            <rFont val="Tahoma"/>
            <family val="2"/>
          </rPr>
          <t>Potter, Daniel:</t>
        </r>
        <r>
          <rPr>
            <sz val="9"/>
            <color indexed="81"/>
            <rFont val="Tahoma"/>
            <family val="2"/>
          </rPr>
          <t xml:space="preserve">
TY Actuals. 07/22-06/23.</t>
        </r>
      </text>
    </comment>
    <comment ref="E304" authorId="0" shapeId="0" xr:uid="{E05CDA8C-54CC-468A-9A4B-9C71E3C78407}">
      <text>
        <r>
          <rPr>
            <b/>
            <sz val="9"/>
            <color indexed="81"/>
            <rFont val="Tahoma"/>
            <family val="2"/>
          </rPr>
          <t>Potter, Daniel:</t>
        </r>
        <r>
          <rPr>
            <sz val="9"/>
            <color indexed="81"/>
            <rFont val="Tahoma"/>
            <family val="2"/>
          </rPr>
          <t xml:space="preserve">
TY Actuals. 07/22-06/23.</t>
        </r>
      </text>
    </comment>
    <comment ref="F304" authorId="0" shapeId="0" xr:uid="{96BE2B2B-8A39-497B-BB4A-2836F7B9079F}">
      <text>
        <r>
          <rPr>
            <b/>
            <sz val="9"/>
            <color indexed="81"/>
            <rFont val="Tahoma"/>
            <family val="2"/>
          </rPr>
          <t>Potter, Daniel:</t>
        </r>
        <r>
          <rPr>
            <sz val="9"/>
            <color indexed="81"/>
            <rFont val="Tahoma"/>
            <family val="2"/>
          </rPr>
          <t xml:space="preserve">
TY Actuals. 07/22-06/23.</t>
        </r>
      </text>
    </comment>
    <comment ref="G304" authorId="0" shapeId="0" xr:uid="{4305FA47-7F6A-484A-8421-FEC77EB201AD}">
      <text>
        <r>
          <rPr>
            <b/>
            <sz val="9"/>
            <color indexed="81"/>
            <rFont val="Tahoma"/>
            <family val="2"/>
          </rPr>
          <t>Potter, Daniel:</t>
        </r>
        <r>
          <rPr>
            <sz val="9"/>
            <color indexed="81"/>
            <rFont val="Tahoma"/>
            <family val="2"/>
          </rPr>
          <t xml:space="preserve">
TY Actuals. 07/22-06/23.</t>
        </r>
      </text>
    </comment>
    <comment ref="H304" authorId="0" shapeId="0" xr:uid="{34AD8281-D60F-4851-A5D7-2B1F4D777D60}">
      <text>
        <r>
          <rPr>
            <b/>
            <sz val="9"/>
            <color indexed="81"/>
            <rFont val="Tahoma"/>
            <family val="2"/>
          </rPr>
          <t>Potter, Daniel:</t>
        </r>
        <r>
          <rPr>
            <sz val="9"/>
            <color indexed="81"/>
            <rFont val="Tahoma"/>
            <family val="2"/>
          </rPr>
          <t xml:space="preserve">
TY Actuals. 07/22-06/23.</t>
        </r>
      </text>
    </comment>
    <comment ref="I304" authorId="0" shapeId="0" xr:uid="{95365344-9868-4B04-9B00-66E671415548}">
      <text>
        <r>
          <rPr>
            <b/>
            <sz val="9"/>
            <color indexed="81"/>
            <rFont val="Tahoma"/>
            <family val="2"/>
          </rPr>
          <t>Potter, Daniel:</t>
        </r>
        <r>
          <rPr>
            <sz val="9"/>
            <color indexed="81"/>
            <rFont val="Tahoma"/>
            <family val="2"/>
          </rPr>
          <t xml:space="preserve">
TY Actuals. 07/22-06/23.</t>
        </r>
      </text>
    </comment>
    <comment ref="J304" authorId="0" shapeId="0" xr:uid="{34DE7824-3903-462C-8823-F74899A96425}">
      <text>
        <r>
          <rPr>
            <b/>
            <sz val="9"/>
            <color indexed="81"/>
            <rFont val="Tahoma"/>
            <family val="2"/>
          </rPr>
          <t>Potter, Daniel:</t>
        </r>
        <r>
          <rPr>
            <sz val="9"/>
            <color indexed="81"/>
            <rFont val="Tahoma"/>
            <family val="2"/>
          </rPr>
          <t xml:space="preserve">
TY Actuals. 07/22-06/23.</t>
        </r>
      </text>
    </comment>
    <comment ref="K304" authorId="0" shapeId="0" xr:uid="{D68B1FDD-0A2C-4AF8-B10E-C9AFEE0C760F}">
      <text>
        <r>
          <rPr>
            <b/>
            <sz val="9"/>
            <color indexed="81"/>
            <rFont val="Tahoma"/>
            <family val="2"/>
          </rPr>
          <t>Potter, Daniel:</t>
        </r>
        <r>
          <rPr>
            <sz val="9"/>
            <color indexed="81"/>
            <rFont val="Tahoma"/>
            <family val="2"/>
          </rPr>
          <t xml:space="preserve">
TY Actuals. 07/22-06/23.</t>
        </r>
      </text>
    </comment>
    <comment ref="L304" authorId="0" shapeId="0" xr:uid="{D3F84626-42C7-4530-B0D2-C6C405D250B3}">
      <text>
        <r>
          <rPr>
            <b/>
            <sz val="9"/>
            <color indexed="81"/>
            <rFont val="Tahoma"/>
            <family val="2"/>
          </rPr>
          <t>Potter, Daniel:</t>
        </r>
        <r>
          <rPr>
            <sz val="9"/>
            <color indexed="81"/>
            <rFont val="Tahoma"/>
            <family val="2"/>
          </rPr>
          <t xml:space="preserve">
TY Actuals. 07/22-06/23.</t>
        </r>
      </text>
    </comment>
    <comment ref="M304" authorId="0" shapeId="0" xr:uid="{9001537B-BFDD-4D69-A3A7-8CDD199013D9}">
      <text>
        <r>
          <rPr>
            <b/>
            <sz val="9"/>
            <color indexed="81"/>
            <rFont val="Tahoma"/>
            <family val="2"/>
          </rPr>
          <t>Potter, Daniel:</t>
        </r>
        <r>
          <rPr>
            <sz val="9"/>
            <color indexed="81"/>
            <rFont val="Tahoma"/>
            <family val="2"/>
          </rPr>
          <t xml:space="preserve">
TY Actuals. 07/22-06/23.</t>
        </r>
      </text>
    </comment>
    <comment ref="N304" authorId="0" shapeId="0" xr:uid="{5666B92D-AF1C-4A5B-BEC4-B7200B745159}">
      <text>
        <r>
          <rPr>
            <b/>
            <sz val="9"/>
            <color indexed="81"/>
            <rFont val="Tahoma"/>
            <family val="2"/>
          </rPr>
          <t>Potter, Daniel:</t>
        </r>
        <r>
          <rPr>
            <sz val="9"/>
            <color indexed="81"/>
            <rFont val="Tahoma"/>
            <family val="2"/>
          </rPr>
          <t xml:space="preserve">
TY Actuals. 07/22-06/23.</t>
        </r>
      </text>
    </comment>
    <comment ref="O304" authorId="0" shapeId="0" xr:uid="{0E547C61-149B-45D1-8D32-197CE7D1B267}">
      <text>
        <r>
          <rPr>
            <b/>
            <sz val="9"/>
            <color indexed="81"/>
            <rFont val="Tahoma"/>
            <family val="2"/>
          </rPr>
          <t>Potter, Daniel:</t>
        </r>
        <r>
          <rPr>
            <sz val="9"/>
            <color indexed="81"/>
            <rFont val="Tahoma"/>
            <family val="2"/>
          </rPr>
          <t xml:space="preserve">
TY Actuals. 07/23-06/24</t>
        </r>
      </text>
    </comment>
    <comment ref="P304" authorId="0" shapeId="0" xr:uid="{5D1A5039-AD59-46F0-A392-0B11457619F4}">
      <text>
        <r>
          <rPr>
            <b/>
            <sz val="9"/>
            <color indexed="81"/>
            <rFont val="Tahoma"/>
            <family val="2"/>
          </rPr>
          <t>Potter, Daniel:</t>
        </r>
        <r>
          <rPr>
            <sz val="9"/>
            <color indexed="81"/>
            <rFont val="Tahoma"/>
            <family val="2"/>
          </rPr>
          <t xml:space="preserve">
TY Actuals. 07/23-06/24</t>
        </r>
      </text>
    </comment>
    <comment ref="Q304" authorId="0" shapeId="0" xr:uid="{205BA60C-6210-4D17-B7B1-0B24475C72C6}">
      <text>
        <r>
          <rPr>
            <b/>
            <sz val="9"/>
            <color indexed="81"/>
            <rFont val="Tahoma"/>
            <family val="2"/>
          </rPr>
          <t>Potter, Daniel:</t>
        </r>
        <r>
          <rPr>
            <sz val="9"/>
            <color indexed="81"/>
            <rFont val="Tahoma"/>
            <family val="2"/>
          </rPr>
          <t xml:space="preserve">
TY Actuals. 07/23-06/24</t>
        </r>
      </text>
    </comment>
    <comment ref="R304" authorId="0" shapeId="0" xr:uid="{4648390F-1D07-4D62-AAE2-68955C9B68BE}">
      <text>
        <r>
          <rPr>
            <b/>
            <sz val="9"/>
            <color indexed="81"/>
            <rFont val="Tahoma"/>
            <family val="2"/>
          </rPr>
          <t>Potter, Daniel:</t>
        </r>
        <r>
          <rPr>
            <sz val="9"/>
            <color indexed="81"/>
            <rFont val="Tahoma"/>
            <family val="2"/>
          </rPr>
          <t xml:space="preserve">
TY Actuals. 07/23-06/24</t>
        </r>
      </text>
    </comment>
    <comment ref="S304" authorId="0" shapeId="0" xr:uid="{D5F8B404-0EA4-41D3-B4CB-B8812B838E64}">
      <text>
        <r>
          <rPr>
            <b/>
            <sz val="9"/>
            <color indexed="81"/>
            <rFont val="Tahoma"/>
            <family val="2"/>
          </rPr>
          <t>Potter, Daniel:</t>
        </r>
        <r>
          <rPr>
            <sz val="9"/>
            <color indexed="81"/>
            <rFont val="Tahoma"/>
            <family val="2"/>
          </rPr>
          <t xml:space="preserve">
TY Actuals. 07/23-06/24</t>
        </r>
      </text>
    </comment>
    <comment ref="T304" authorId="0" shapeId="0" xr:uid="{32E21AD5-68CE-4477-874E-F2F856A06C38}">
      <text>
        <r>
          <rPr>
            <b/>
            <sz val="9"/>
            <color indexed="81"/>
            <rFont val="Tahoma"/>
            <family val="2"/>
          </rPr>
          <t>Potter, Daniel:</t>
        </r>
        <r>
          <rPr>
            <sz val="9"/>
            <color indexed="81"/>
            <rFont val="Tahoma"/>
            <family val="2"/>
          </rPr>
          <t xml:space="preserve">
TY Actuals. 07/23-06/24</t>
        </r>
      </text>
    </comment>
    <comment ref="U304" authorId="0" shapeId="0" xr:uid="{4BDF6BB2-83D8-4A5F-9320-0E71D2A5221A}">
      <text>
        <r>
          <rPr>
            <b/>
            <sz val="9"/>
            <color indexed="81"/>
            <rFont val="Tahoma"/>
            <family val="2"/>
          </rPr>
          <t>Potter, Daniel:</t>
        </r>
        <r>
          <rPr>
            <sz val="9"/>
            <color indexed="81"/>
            <rFont val="Tahoma"/>
            <family val="2"/>
          </rPr>
          <t xml:space="preserve">
TY Actuals. 07/23-06/24</t>
        </r>
      </text>
    </comment>
    <comment ref="V304" authorId="0" shapeId="0" xr:uid="{20097F5E-186B-4B8F-9FC0-683615C1E8C5}">
      <text>
        <r>
          <rPr>
            <b/>
            <sz val="9"/>
            <color indexed="81"/>
            <rFont val="Tahoma"/>
            <family val="2"/>
          </rPr>
          <t>Potter, Daniel:</t>
        </r>
        <r>
          <rPr>
            <sz val="9"/>
            <color indexed="81"/>
            <rFont val="Tahoma"/>
            <family val="2"/>
          </rPr>
          <t xml:space="preserve">
TY Actuals. 07/23-06/24</t>
        </r>
      </text>
    </comment>
    <comment ref="W304" authorId="0" shapeId="0" xr:uid="{E629F501-5640-48DB-A882-20CACA671E8E}">
      <text>
        <r>
          <rPr>
            <b/>
            <sz val="9"/>
            <color indexed="81"/>
            <rFont val="Tahoma"/>
            <family val="2"/>
          </rPr>
          <t>Potter, Daniel:</t>
        </r>
        <r>
          <rPr>
            <sz val="9"/>
            <color indexed="81"/>
            <rFont val="Tahoma"/>
            <family val="2"/>
          </rPr>
          <t xml:space="preserve">
TY Actuals. 07/23-06/24</t>
        </r>
      </text>
    </comment>
    <comment ref="X304" authorId="0" shapeId="0" xr:uid="{E479A804-23FC-4E1D-B7B6-71E5C6CDCD12}">
      <text>
        <r>
          <rPr>
            <b/>
            <sz val="9"/>
            <color indexed="81"/>
            <rFont val="Tahoma"/>
            <family val="2"/>
          </rPr>
          <t>Potter, Daniel:</t>
        </r>
        <r>
          <rPr>
            <sz val="9"/>
            <color indexed="81"/>
            <rFont val="Tahoma"/>
            <family val="2"/>
          </rPr>
          <t xml:space="preserve">
TY Actuals. 07/23-06/24</t>
        </r>
      </text>
    </comment>
    <comment ref="Y304" authorId="0" shapeId="0" xr:uid="{E6F0C7C6-0A73-4CD6-B346-233579A37403}">
      <text>
        <r>
          <rPr>
            <b/>
            <sz val="9"/>
            <color indexed="81"/>
            <rFont val="Tahoma"/>
            <family val="2"/>
          </rPr>
          <t>Potter, Daniel:</t>
        </r>
        <r>
          <rPr>
            <sz val="9"/>
            <color indexed="81"/>
            <rFont val="Tahoma"/>
            <family val="2"/>
          </rPr>
          <t xml:space="preserve">
TY Actuals. 07/23-06/24</t>
        </r>
      </text>
    </comment>
    <comment ref="Z304" authorId="0" shapeId="0" xr:uid="{BCC90088-B703-4293-B1A0-4F3A78F40692}">
      <text>
        <r>
          <rPr>
            <b/>
            <sz val="9"/>
            <color indexed="81"/>
            <rFont val="Tahoma"/>
            <family val="2"/>
          </rPr>
          <t>Potter, Daniel:</t>
        </r>
        <r>
          <rPr>
            <sz val="9"/>
            <color indexed="81"/>
            <rFont val="Tahoma"/>
            <family val="2"/>
          </rPr>
          <t xml:space="preserve">
TY Actuals. 07/23-06/24</t>
        </r>
      </text>
    </comment>
    <comment ref="C311" authorId="1" shapeId="0" xr:uid="{00000000-0006-0000-0500-00002F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D311" authorId="1" shapeId="0" xr:uid="{00000000-0006-0000-0500-000030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E311" authorId="1" shapeId="0" xr:uid="{00000000-0006-0000-0500-000031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F311" authorId="1" shapeId="0" xr:uid="{00000000-0006-0000-0500-000032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G311" authorId="1" shapeId="0" xr:uid="{00000000-0006-0000-0500-000033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H311" authorId="1" shapeId="0" xr:uid="{00000000-0006-0000-0500-000034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I311" authorId="1" shapeId="0" xr:uid="{00000000-0006-0000-0500-000035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J311" authorId="1" shapeId="0" xr:uid="{00000000-0006-0000-0500-000036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K311" authorId="1" shapeId="0" xr:uid="{829C61C8-E940-4115-B0E3-BBA8824DACCA}">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L311" authorId="1" shapeId="0" xr:uid="{BB00B0B6-32FB-4182-BB65-E61F61DC3B91}">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M311" authorId="1" shapeId="0" xr:uid="{CFA2B7D7-0EEB-4557-8B53-56A1C03EF3C2}">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N311" authorId="1" shapeId="0" xr:uid="{D6B2A4C5-EF20-4744-95FF-DCB419CAE4D3}">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O311" authorId="1" shapeId="0" xr:uid="{A78FEB73-C210-4C84-A19E-DBDD81F6F2FD}">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P311" authorId="1" shapeId="0" xr:uid="{1FFCBB5E-B588-4AAD-ABA8-D5AA6D41A554}">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Q311" authorId="1" shapeId="0" xr:uid="{C2B91338-2727-4C71-8908-90F37E465E1C}">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R311" authorId="1" shapeId="0" xr:uid="{F763C97B-78A0-490D-B3D5-4082729AEEA9}">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S311" authorId="1" shapeId="0" xr:uid="{BADE1533-3C1D-4C37-A854-9A0399D577FD}">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T311" authorId="1" shapeId="0" xr:uid="{6F6E8259-8EE2-4C44-A1A5-D79C2E5F38F2}">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U311" authorId="1" shapeId="0" xr:uid="{1B6D58FC-9B5C-4E74-8032-4ED188B13B4F}">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V311" authorId="1" shapeId="0" xr:uid="{37EFF072-1094-4435-97D4-E45DF12B6C85}">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C312" authorId="1" shapeId="0" xr:uid="{00000000-0006-0000-0500-000083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D312" authorId="1" shapeId="0" xr:uid="{00000000-0006-0000-0500-000084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E312" authorId="1" shapeId="0" xr:uid="{00000000-0006-0000-0500-000085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F312" authorId="1" shapeId="0" xr:uid="{00000000-0006-0000-0500-000086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G312" authorId="1" shapeId="0" xr:uid="{00000000-0006-0000-0500-000087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H312" authorId="1" shapeId="0" xr:uid="{00000000-0006-0000-0500-000088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I312" authorId="1" shapeId="0" xr:uid="{00000000-0006-0000-0500-000089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J312" authorId="1" shapeId="0" xr:uid="{00000000-0006-0000-0500-00008A120000}">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K312" authorId="1" shapeId="0" xr:uid="{E4AE246D-6B2F-4247-8C52-753F72A229BF}">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L312" authorId="1" shapeId="0" xr:uid="{8E7A0319-4E86-40B0-8FAC-808866400F7F}">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M312" authorId="1" shapeId="0" xr:uid="{36D3BF50-224A-4F48-9CF5-1DECB8F52332}">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N312" authorId="1" shapeId="0" xr:uid="{BE29E7AA-2426-417C-95C4-1B6BA0AE3355}">
      <text>
        <r>
          <rPr>
            <b/>
            <sz val="9"/>
            <color indexed="81"/>
            <rFont val="Tahoma"/>
            <family val="2"/>
          </rPr>
          <t>Craig Kieny:</t>
        </r>
        <r>
          <rPr>
            <sz val="9"/>
            <color indexed="81"/>
            <rFont val="Tahoma"/>
            <family val="2"/>
          </rPr>
          <t xml:space="preserve">
Beginning year 5 (expected to be 9/1/1021) contract price is prior year price increased by CPI.</t>
        </r>
      </text>
    </comment>
    <comment ref="A342" authorId="1" shapeId="0" xr:uid="{00000000-0006-0000-0500-00002B130000}">
      <text>
        <r>
          <rPr>
            <b/>
            <sz val="8"/>
            <color indexed="81"/>
            <rFont val="Tahoma"/>
            <family val="2"/>
          </rPr>
          <t>Craig Kieny:</t>
        </r>
        <r>
          <rPr>
            <sz val="8"/>
            <color indexed="81"/>
            <rFont val="Tahoma"/>
            <family val="2"/>
          </rPr>
          <t xml:space="preserve">
Total VEPPI Power Sales Credit of $78006 supplied by John Spencer in letter to Susan Hudson dated July 17, 2003.  Multiplied by VEC's monthly % effective at time budget is prepared.</t>
        </r>
      </text>
    </comment>
    <comment ref="C352" authorId="0" shapeId="0" xr:uid="{E1EEC49E-39E5-4722-986A-05E77621B58C}">
      <text>
        <r>
          <rPr>
            <b/>
            <sz val="9"/>
            <color indexed="81"/>
            <rFont val="Tahoma"/>
            <family val="2"/>
          </rPr>
          <t>Potter, Daniel:</t>
        </r>
        <r>
          <rPr>
            <sz val="9"/>
            <color indexed="81"/>
            <rFont val="Tahoma"/>
            <family val="2"/>
          </rPr>
          <t xml:space="preserve">
See Standard Offer Assumptions 2023-10-23</t>
        </r>
      </text>
    </comment>
    <comment ref="D352" authorId="0" shapeId="0" xr:uid="{5722F166-2F37-4090-9564-577E7EA258F8}">
      <text>
        <r>
          <rPr>
            <b/>
            <sz val="9"/>
            <color indexed="81"/>
            <rFont val="Tahoma"/>
            <family val="2"/>
          </rPr>
          <t>Potter, Daniel:</t>
        </r>
        <r>
          <rPr>
            <sz val="9"/>
            <color indexed="81"/>
            <rFont val="Tahoma"/>
            <family val="2"/>
          </rPr>
          <t xml:space="preserve">
See Standard Offer Assumptions 2023-10-23</t>
        </r>
      </text>
    </comment>
    <comment ref="E352" authorId="0" shapeId="0" xr:uid="{34FA83AB-9314-41F7-8D62-7F387A8FD630}">
      <text>
        <r>
          <rPr>
            <b/>
            <sz val="9"/>
            <color indexed="81"/>
            <rFont val="Tahoma"/>
            <family val="2"/>
          </rPr>
          <t>Potter, Daniel:</t>
        </r>
        <r>
          <rPr>
            <sz val="9"/>
            <color indexed="81"/>
            <rFont val="Tahoma"/>
            <family val="2"/>
          </rPr>
          <t xml:space="preserve">
See Standard Offer Assumptions 2023-10-23</t>
        </r>
      </text>
    </comment>
    <comment ref="F352" authorId="0" shapeId="0" xr:uid="{6360C58E-0811-4AB5-8EB4-C12E735E154E}">
      <text>
        <r>
          <rPr>
            <b/>
            <sz val="9"/>
            <color indexed="81"/>
            <rFont val="Tahoma"/>
            <family val="2"/>
          </rPr>
          <t>Potter, Daniel:</t>
        </r>
        <r>
          <rPr>
            <sz val="9"/>
            <color indexed="81"/>
            <rFont val="Tahoma"/>
            <family val="2"/>
          </rPr>
          <t xml:space="preserve">
See Standard Offer Assumptions 2023-10-23</t>
        </r>
      </text>
    </comment>
    <comment ref="G352" authorId="0" shapeId="0" xr:uid="{986B04BA-6F85-481F-A453-E65FDF6838A9}">
      <text>
        <r>
          <rPr>
            <b/>
            <sz val="9"/>
            <color indexed="81"/>
            <rFont val="Tahoma"/>
            <family val="2"/>
          </rPr>
          <t>Potter, Daniel:</t>
        </r>
        <r>
          <rPr>
            <sz val="9"/>
            <color indexed="81"/>
            <rFont val="Tahoma"/>
            <family val="2"/>
          </rPr>
          <t xml:space="preserve">
See Standard Offer Assumptions 2023-10-23</t>
        </r>
      </text>
    </comment>
    <comment ref="H352" authorId="0" shapeId="0" xr:uid="{7D1BA67A-A44C-49FA-B486-99EF7B8BF99E}">
      <text>
        <r>
          <rPr>
            <b/>
            <sz val="9"/>
            <color indexed="81"/>
            <rFont val="Tahoma"/>
            <family val="2"/>
          </rPr>
          <t>Potter, Daniel:</t>
        </r>
        <r>
          <rPr>
            <sz val="9"/>
            <color indexed="81"/>
            <rFont val="Tahoma"/>
            <family val="2"/>
          </rPr>
          <t xml:space="preserve">
See Standard Offer Assumptions 2023-10-23</t>
        </r>
      </text>
    </comment>
    <comment ref="I352" authorId="0" shapeId="0" xr:uid="{36CE7113-4EF4-4185-90D0-6F9BC35429F0}">
      <text>
        <r>
          <rPr>
            <b/>
            <sz val="9"/>
            <color indexed="81"/>
            <rFont val="Tahoma"/>
            <family val="2"/>
          </rPr>
          <t>Potter, Daniel:</t>
        </r>
        <r>
          <rPr>
            <sz val="9"/>
            <color indexed="81"/>
            <rFont val="Tahoma"/>
            <family val="2"/>
          </rPr>
          <t xml:space="preserve">
See Standard Offer Assumptions 2023-10-23</t>
        </r>
      </text>
    </comment>
    <comment ref="J352" authorId="0" shapeId="0" xr:uid="{BA610813-F683-44EB-B301-752C1A2EF17B}">
      <text>
        <r>
          <rPr>
            <b/>
            <sz val="9"/>
            <color indexed="81"/>
            <rFont val="Tahoma"/>
            <family val="2"/>
          </rPr>
          <t>Potter, Daniel:</t>
        </r>
        <r>
          <rPr>
            <sz val="9"/>
            <color indexed="81"/>
            <rFont val="Tahoma"/>
            <family val="2"/>
          </rPr>
          <t xml:space="preserve">
See Standard Offer Assumptions 2023-10-23</t>
        </r>
      </text>
    </comment>
    <comment ref="K352" authorId="0" shapeId="0" xr:uid="{753AAE03-7D3A-48B5-9204-55D8F43029A1}">
      <text>
        <r>
          <rPr>
            <b/>
            <sz val="9"/>
            <color indexed="81"/>
            <rFont val="Tahoma"/>
            <family val="2"/>
          </rPr>
          <t>Potter, Daniel:</t>
        </r>
        <r>
          <rPr>
            <sz val="9"/>
            <color indexed="81"/>
            <rFont val="Tahoma"/>
            <family val="2"/>
          </rPr>
          <t xml:space="preserve">
See Standard Offer Assumptions 2023-10-23</t>
        </r>
      </text>
    </comment>
    <comment ref="L352" authorId="0" shapeId="0" xr:uid="{080D40DE-A2F8-4C12-A81F-CA1A8E201F1C}">
      <text>
        <r>
          <rPr>
            <b/>
            <sz val="9"/>
            <color indexed="81"/>
            <rFont val="Tahoma"/>
            <family val="2"/>
          </rPr>
          <t>Potter, Daniel:</t>
        </r>
        <r>
          <rPr>
            <sz val="9"/>
            <color indexed="81"/>
            <rFont val="Tahoma"/>
            <family val="2"/>
          </rPr>
          <t xml:space="preserve">
See Standard Offer Assumptions 2023-10-23</t>
        </r>
      </text>
    </comment>
    <comment ref="M352" authorId="0" shapeId="0" xr:uid="{CFB33ED4-7453-459C-AF90-36308F7405BF}">
      <text>
        <r>
          <rPr>
            <b/>
            <sz val="9"/>
            <color indexed="81"/>
            <rFont val="Tahoma"/>
            <family val="2"/>
          </rPr>
          <t>Potter, Daniel:</t>
        </r>
        <r>
          <rPr>
            <sz val="9"/>
            <color indexed="81"/>
            <rFont val="Tahoma"/>
            <family val="2"/>
          </rPr>
          <t xml:space="preserve">
See Standard Offer Assumptions 2023-10-23</t>
        </r>
      </text>
    </comment>
    <comment ref="N352" authorId="0" shapeId="0" xr:uid="{006AC143-EB12-4371-809C-661769C6996E}">
      <text>
        <r>
          <rPr>
            <b/>
            <sz val="9"/>
            <color indexed="81"/>
            <rFont val="Tahoma"/>
            <family val="2"/>
          </rPr>
          <t>Potter, Daniel:</t>
        </r>
        <r>
          <rPr>
            <sz val="9"/>
            <color indexed="81"/>
            <rFont val="Tahoma"/>
            <family val="2"/>
          </rPr>
          <t xml:space="preserve">
See Standard Offer Assumptions 2023-10-23</t>
        </r>
      </text>
    </comment>
    <comment ref="O352" authorId="0" shapeId="0" xr:uid="{BF461201-5CF8-45C2-BC09-967DF4957D58}">
      <text>
        <r>
          <rPr>
            <b/>
            <sz val="9"/>
            <color indexed="81"/>
            <rFont val="Tahoma"/>
            <family val="2"/>
          </rPr>
          <t>Potter, Daniel:</t>
        </r>
        <r>
          <rPr>
            <sz val="9"/>
            <color indexed="81"/>
            <rFont val="Tahoma"/>
            <family val="2"/>
          </rPr>
          <t xml:space="preserve">
See Standard Offer Assumptions - 2024 - 10 - 24.  VEC Assumptions Tab, Line 15. </t>
        </r>
      </text>
    </comment>
    <comment ref="C354" authorId="0" shapeId="0" xr:uid="{5628D4DC-5288-4BD7-B2DC-EFD217E2553F}">
      <text>
        <r>
          <rPr>
            <b/>
            <sz val="9"/>
            <color indexed="81"/>
            <rFont val="Tahoma"/>
            <family val="2"/>
          </rPr>
          <t>Potter, Daniel:</t>
        </r>
        <r>
          <rPr>
            <sz val="9"/>
            <color indexed="81"/>
            <rFont val="Tahoma"/>
            <family val="2"/>
          </rPr>
          <t xml:space="preserve">
See Standard Offer Assumptions 2023-10-23</t>
        </r>
      </text>
    </comment>
    <comment ref="D354" authorId="0" shapeId="0" xr:uid="{EF5FBE34-3C0B-450E-B489-9BDCB537681D}">
      <text>
        <r>
          <rPr>
            <b/>
            <sz val="9"/>
            <color indexed="81"/>
            <rFont val="Tahoma"/>
            <family val="2"/>
          </rPr>
          <t>Potter, Daniel:</t>
        </r>
        <r>
          <rPr>
            <sz val="9"/>
            <color indexed="81"/>
            <rFont val="Tahoma"/>
            <family val="2"/>
          </rPr>
          <t xml:space="preserve">
See Standard Offer Assumptions 2023-10-23</t>
        </r>
      </text>
    </comment>
    <comment ref="E354" authorId="0" shapeId="0" xr:uid="{2DD60564-1FF5-49C6-BBD2-4E489CED5AB3}">
      <text>
        <r>
          <rPr>
            <b/>
            <sz val="9"/>
            <color indexed="81"/>
            <rFont val="Tahoma"/>
            <family val="2"/>
          </rPr>
          <t>Potter, Daniel:</t>
        </r>
        <r>
          <rPr>
            <sz val="9"/>
            <color indexed="81"/>
            <rFont val="Tahoma"/>
            <family val="2"/>
          </rPr>
          <t xml:space="preserve">
See Standard Offer Assumptions 2023-10-23</t>
        </r>
      </text>
    </comment>
    <comment ref="F354" authorId="0" shapeId="0" xr:uid="{98D70EC9-6881-4A63-9AD7-45C22EA45AFD}">
      <text>
        <r>
          <rPr>
            <b/>
            <sz val="9"/>
            <color indexed="81"/>
            <rFont val="Tahoma"/>
            <family val="2"/>
          </rPr>
          <t>Potter, Daniel:</t>
        </r>
        <r>
          <rPr>
            <sz val="9"/>
            <color indexed="81"/>
            <rFont val="Tahoma"/>
            <family val="2"/>
          </rPr>
          <t xml:space="preserve">
See Standard Offer Assumptions 2023-10-23</t>
        </r>
      </text>
    </comment>
    <comment ref="G354" authorId="0" shapeId="0" xr:uid="{0D6B5EF8-7E3B-4EF5-A176-9EDE25AB7F47}">
      <text>
        <r>
          <rPr>
            <b/>
            <sz val="9"/>
            <color indexed="81"/>
            <rFont val="Tahoma"/>
            <family val="2"/>
          </rPr>
          <t>Potter, Daniel:</t>
        </r>
        <r>
          <rPr>
            <sz val="9"/>
            <color indexed="81"/>
            <rFont val="Tahoma"/>
            <family val="2"/>
          </rPr>
          <t xml:space="preserve">
See Standard Offer Assumptions 2023-10-23</t>
        </r>
      </text>
    </comment>
    <comment ref="H354" authorId="0" shapeId="0" xr:uid="{6F31E0AA-044A-4DF6-B3F8-A8DF8F93DCC3}">
      <text>
        <r>
          <rPr>
            <b/>
            <sz val="9"/>
            <color indexed="81"/>
            <rFont val="Tahoma"/>
            <family val="2"/>
          </rPr>
          <t>Potter, Daniel:</t>
        </r>
        <r>
          <rPr>
            <sz val="9"/>
            <color indexed="81"/>
            <rFont val="Tahoma"/>
            <family val="2"/>
          </rPr>
          <t xml:space="preserve">
See Standard Offer Assumptions 2023-10-23</t>
        </r>
      </text>
    </comment>
    <comment ref="I354" authorId="0" shapeId="0" xr:uid="{A3909333-4DF7-4BFD-830D-DEC51F7D7066}">
      <text>
        <r>
          <rPr>
            <b/>
            <sz val="9"/>
            <color indexed="81"/>
            <rFont val="Tahoma"/>
            <family val="2"/>
          </rPr>
          <t>Potter, Daniel:</t>
        </r>
        <r>
          <rPr>
            <sz val="9"/>
            <color indexed="81"/>
            <rFont val="Tahoma"/>
            <family val="2"/>
          </rPr>
          <t xml:space="preserve">
See Standard Offer Assumptions 2023-10-23</t>
        </r>
      </text>
    </comment>
    <comment ref="J354" authorId="0" shapeId="0" xr:uid="{16C93A2E-A5A3-41C3-999F-249498763A8C}">
      <text>
        <r>
          <rPr>
            <b/>
            <sz val="9"/>
            <color indexed="81"/>
            <rFont val="Tahoma"/>
            <family val="2"/>
          </rPr>
          <t>Potter, Daniel:</t>
        </r>
        <r>
          <rPr>
            <sz val="9"/>
            <color indexed="81"/>
            <rFont val="Tahoma"/>
            <family val="2"/>
          </rPr>
          <t xml:space="preserve">
See Standard Offer Assumptions 2023-10-23</t>
        </r>
      </text>
    </comment>
    <comment ref="K354" authorId="0" shapeId="0" xr:uid="{65F8E288-C27E-4309-AD75-980BA68B68B4}">
      <text>
        <r>
          <rPr>
            <b/>
            <sz val="9"/>
            <color indexed="81"/>
            <rFont val="Tahoma"/>
            <family val="2"/>
          </rPr>
          <t>Potter, Daniel:</t>
        </r>
        <r>
          <rPr>
            <sz val="9"/>
            <color indexed="81"/>
            <rFont val="Tahoma"/>
            <family val="2"/>
          </rPr>
          <t xml:space="preserve">
See Standard Offer Assumptions 2023-10-23</t>
        </r>
      </text>
    </comment>
    <comment ref="L354" authorId="0" shapeId="0" xr:uid="{02FC666B-84B6-4DD6-8C64-62CFDE923E88}">
      <text>
        <r>
          <rPr>
            <b/>
            <sz val="9"/>
            <color indexed="81"/>
            <rFont val="Tahoma"/>
            <family val="2"/>
          </rPr>
          <t>Potter, Daniel:</t>
        </r>
        <r>
          <rPr>
            <sz val="9"/>
            <color indexed="81"/>
            <rFont val="Tahoma"/>
            <family val="2"/>
          </rPr>
          <t xml:space="preserve">
See Standard Offer Assumptions 2023-10-23</t>
        </r>
      </text>
    </comment>
    <comment ref="M354" authorId="0" shapeId="0" xr:uid="{76FD66D7-9408-4FC1-AF12-204DDF0A2143}">
      <text>
        <r>
          <rPr>
            <b/>
            <sz val="9"/>
            <color indexed="81"/>
            <rFont val="Tahoma"/>
            <family val="2"/>
          </rPr>
          <t>Potter, Daniel:</t>
        </r>
        <r>
          <rPr>
            <sz val="9"/>
            <color indexed="81"/>
            <rFont val="Tahoma"/>
            <family val="2"/>
          </rPr>
          <t xml:space="preserve">
See Standard Offer Assumptions 2023-10-23</t>
        </r>
      </text>
    </comment>
    <comment ref="N354" authorId="0" shapeId="0" xr:uid="{35A1066B-D3E7-427D-891A-2DE38B50F71C}">
      <text>
        <r>
          <rPr>
            <b/>
            <sz val="9"/>
            <color indexed="81"/>
            <rFont val="Tahoma"/>
            <family val="2"/>
          </rPr>
          <t>Potter, Daniel:</t>
        </r>
        <r>
          <rPr>
            <sz val="9"/>
            <color indexed="81"/>
            <rFont val="Tahoma"/>
            <family val="2"/>
          </rPr>
          <t xml:space="preserve">
See Standard Offer Assumptions 2023-10-23</t>
        </r>
      </text>
    </comment>
    <comment ref="O354" authorId="0" shapeId="0" xr:uid="{8E6E8F7E-8EA9-4294-AD09-2FC40FD88C86}">
      <text>
        <r>
          <rPr>
            <b/>
            <sz val="9"/>
            <color indexed="81"/>
            <rFont val="Tahoma"/>
            <family val="2"/>
          </rPr>
          <t>Potter, Daniel:</t>
        </r>
        <r>
          <rPr>
            <sz val="9"/>
            <color indexed="81"/>
            <rFont val="Tahoma"/>
            <family val="2"/>
          </rPr>
          <t xml:space="preserve">
See Standard Offer Assumptions - 2024 - 10 - 23.  VEC Assumptions Tab, Line 67. </t>
        </r>
      </text>
    </comment>
    <comment ref="A356" authorId="1" shapeId="0" xr:uid="{00000000-0006-0000-0500-0000CA150000}">
      <text>
        <r>
          <rPr>
            <b/>
            <sz val="8"/>
            <color indexed="81"/>
            <rFont val="Tahoma"/>
            <family val="2"/>
          </rPr>
          <t>Craig Kieny:</t>
        </r>
        <r>
          <rPr>
            <sz val="8"/>
            <color indexed="81"/>
            <rFont val="Tahoma"/>
            <family val="2"/>
          </rPr>
          <t xml:space="preserve">
Net of Sale of RECs.</t>
        </r>
      </text>
    </comment>
    <comment ref="C362" authorId="0" shapeId="0" xr:uid="{08F56591-FA55-4745-B089-44B7BB0C07BD}">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D362" authorId="0" shapeId="0" xr:uid="{B40F3812-B73F-465A-A910-FB9C4A6B7A0C}">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E362" authorId="0" shapeId="0" xr:uid="{79D88B59-1866-44ED-B8F5-1CD2612E54D6}">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F362" authorId="0" shapeId="0" xr:uid="{7B2FC0E1-A6B9-46F8-9B02-A992464682C2}">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G362" authorId="0" shapeId="0" xr:uid="{D4A87986-779A-4D26-A873-7A752D4EB289}">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H362" authorId="0" shapeId="0" xr:uid="{0CFB24B4-4C9C-4D79-84C3-D7FB0A048ADB}">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I362" authorId="0" shapeId="0" xr:uid="{57F84599-D5EC-402E-B8DB-69EF6EB825DF}">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J362" authorId="0" shapeId="0" xr:uid="{88262E7D-7C3C-48B8-83FA-7C27F437AF1C}">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K362" authorId="0" shapeId="0" xr:uid="{FF154DE7-7561-414D-8FF1-504C6EB6526A}">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L362" authorId="0" shapeId="0" xr:uid="{1455319D-1330-488E-9464-8158320C4D45}">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M362" authorId="0" shapeId="0" xr:uid="{0B857893-9C14-49E5-8CA7-43BDA73C3359}">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N362" authorId="0" shapeId="0" xr:uid="{36911A1A-26D2-4BCD-9BC2-509E03335AC8}">
      <text>
        <r>
          <rPr>
            <b/>
            <sz val="9"/>
            <color indexed="81"/>
            <rFont val="Tahoma"/>
            <family val="2"/>
          </rPr>
          <t>Potter, Daniel:</t>
        </r>
        <r>
          <rPr>
            <sz val="9"/>
            <color indexed="81"/>
            <rFont val="Tahoma"/>
            <family val="2"/>
          </rPr>
          <t xml:space="preserve">
5 Year Average from Ryegate Billing Data Spreadsheet with updated VEC share of .089928</t>
        </r>
      </text>
    </comment>
    <comment ref="C380" authorId="0" shapeId="0" xr:uid="{C7FBBFD9-2871-4B62-9D3B-3A9A2A9B8066}">
      <text>
        <r>
          <rPr>
            <b/>
            <sz val="9"/>
            <color indexed="81"/>
            <rFont val="Tahoma"/>
            <family val="2"/>
          </rPr>
          <t>Potter, Daniel:</t>
        </r>
        <r>
          <rPr>
            <sz val="9"/>
            <color indexed="81"/>
            <rFont val="Tahoma"/>
            <family val="2"/>
          </rPr>
          <t xml:space="preserve">
TY Actuals.  July 2022 - June 2023. </t>
        </r>
      </text>
    </comment>
    <comment ref="D380" authorId="0" shapeId="0" xr:uid="{A6C0DF70-5C3C-47CE-8448-2EB3CBD94F9F}">
      <text>
        <r>
          <rPr>
            <b/>
            <sz val="9"/>
            <color indexed="81"/>
            <rFont val="Tahoma"/>
            <family val="2"/>
          </rPr>
          <t>Potter, Daniel:</t>
        </r>
        <r>
          <rPr>
            <sz val="9"/>
            <color indexed="81"/>
            <rFont val="Tahoma"/>
            <family val="2"/>
          </rPr>
          <t xml:space="preserve">
TY Actuals.  July 2022 - June 2023. </t>
        </r>
      </text>
    </comment>
    <comment ref="E380" authorId="0" shapeId="0" xr:uid="{DBBFBA47-047D-4321-BBB3-B9EB811FFF97}">
      <text>
        <r>
          <rPr>
            <b/>
            <sz val="9"/>
            <color indexed="81"/>
            <rFont val="Tahoma"/>
            <family val="2"/>
          </rPr>
          <t>Potter, Daniel:</t>
        </r>
        <r>
          <rPr>
            <sz val="9"/>
            <color indexed="81"/>
            <rFont val="Tahoma"/>
            <family val="2"/>
          </rPr>
          <t xml:space="preserve">
TY Actuals.  July 2022 - June 2023. </t>
        </r>
      </text>
    </comment>
    <comment ref="F380" authorId="0" shapeId="0" xr:uid="{2B2A1542-557F-4939-9595-78B40629D954}">
      <text>
        <r>
          <rPr>
            <b/>
            <sz val="9"/>
            <color indexed="81"/>
            <rFont val="Tahoma"/>
            <family val="2"/>
          </rPr>
          <t>Potter, Daniel:</t>
        </r>
        <r>
          <rPr>
            <sz val="9"/>
            <color indexed="81"/>
            <rFont val="Tahoma"/>
            <family val="2"/>
          </rPr>
          <t xml:space="preserve">
TY Actuals.  July 2022 - June 2023. </t>
        </r>
      </text>
    </comment>
    <comment ref="G380" authorId="0" shapeId="0" xr:uid="{656D1347-4542-4AB3-A876-62C84EBB6974}">
      <text>
        <r>
          <rPr>
            <b/>
            <sz val="9"/>
            <color indexed="81"/>
            <rFont val="Tahoma"/>
            <family val="2"/>
          </rPr>
          <t>Potter, Daniel:</t>
        </r>
        <r>
          <rPr>
            <sz val="9"/>
            <color indexed="81"/>
            <rFont val="Tahoma"/>
            <family val="2"/>
          </rPr>
          <t xml:space="preserve">
TY Actuals.  July 2022 - June 2023. </t>
        </r>
      </text>
    </comment>
    <comment ref="H380" authorId="0" shapeId="0" xr:uid="{85089DE9-50A7-4026-AA45-46190F816987}">
      <text>
        <r>
          <rPr>
            <b/>
            <sz val="9"/>
            <color indexed="81"/>
            <rFont val="Tahoma"/>
            <family val="2"/>
          </rPr>
          <t>Potter, Daniel:</t>
        </r>
        <r>
          <rPr>
            <sz val="9"/>
            <color indexed="81"/>
            <rFont val="Tahoma"/>
            <family val="2"/>
          </rPr>
          <t xml:space="preserve">
TY Actuals.  July 2022 - June 2023. </t>
        </r>
      </text>
    </comment>
    <comment ref="I380" authorId="0" shapeId="0" xr:uid="{DE8AF864-0B96-4CC6-839B-07A358B926A0}">
      <text>
        <r>
          <rPr>
            <b/>
            <sz val="9"/>
            <color indexed="81"/>
            <rFont val="Tahoma"/>
            <family val="2"/>
          </rPr>
          <t>Potter, Daniel:</t>
        </r>
        <r>
          <rPr>
            <sz val="9"/>
            <color indexed="81"/>
            <rFont val="Tahoma"/>
            <family val="2"/>
          </rPr>
          <t xml:space="preserve">
TY Actuals.  July 2022 - June 2023. </t>
        </r>
      </text>
    </comment>
    <comment ref="J380" authorId="0" shapeId="0" xr:uid="{37471917-B0DB-4F9A-8D04-6B33048E81DD}">
      <text>
        <r>
          <rPr>
            <b/>
            <sz val="9"/>
            <color indexed="81"/>
            <rFont val="Tahoma"/>
            <family val="2"/>
          </rPr>
          <t>Potter, Daniel:</t>
        </r>
        <r>
          <rPr>
            <sz val="9"/>
            <color indexed="81"/>
            <rFont val="Tahoma"/>
            <family val="2"/>
          </rPr>
          <t xml:space="preserve">
TY Actuals.  July 2022 - June 2023. </t>
        </r>
      </text>
    </comment>
    <comment ref="K380" authorId="0" shapeId="0" xr:uid="{9C4BC943-96E1-4C25-9421-DF8C02C773C4}">
      <text>
        <r>
          <rPr>
            <b/>
            <sz val="9"/>
            <color indexed="81"/>
            <rFont val="Tahoma"/>
            <family val="2"/>
          </rPr>
          <t>Potter, Daniel:</t>
        </r>
        <r>
          <rPr>
            <sz val="9"/>
            <color indexed="81"/>
            <rFont val="Tahoma"/>
            <family val="2"/>
          </rPr>
          <t xml:space="preserve">
TY Actuals.  July 2022 - June 2023. </t>
        </r>
      </text>
    </comment>
    <comment ref="L380" authorId="0" shapeId="0" xr:uid="{74FF8EE7-9C2A-4AA3-8F96-6ABFBFE5C36D}">
      <text>
        <r>
          <rPr>
            <b/>
            <sz val="9"/>
            <color indexed="81"/>
            <rFont val="Tahoma"/>
            <family val="2"/>
          </rPr>
          <t>Potter, Daniel:</t>
        </r>
        <r>
          <rPr>
            <sz val="9"/>
            <color indexed="81"/>
            <rFont val="Tahoma"/>
            <family val="2"/>
          </rPr>
          <t xml:space="preserve">
TY Actuals.  July 2022 - June 2023. </t>
        </r>
      </text>
    </comment>
    <comment ref="M380" authorId="0" shapeId="0" xr:uid="{EC44C9C5-AEC2-4409-95F7-5E0B03E024C7}">
      <text>
        <r>
          <rPr>
            <b/>
            <sz val="9"/>
            <color indexed="81"/>
            <rFont val="Tahoma"/>
            <family val="2"/>
          </rPr>
          <t>Potter, Daniel:</t>
        </r>
        <r>
          <rPr>
            <sz val="9"/>
            <color indexed="81"/>
            <rFont val="Tahoma"/>
            <family val="2"/>
          </rPr>
          <t xml:space="preserve">
TY Actuals.  July 2022 - June 2023. </t>
        </r>
      </text>
    </comment>
    <comment ref="N380" authorId="0" shapeId="0" xr:uid="{7C3F4DB5-8732-40DB-B989-1E8A8C04C8EC}">
      <text>
        <r>
          <rPr>
            <b/>
            <sz val="9"/>
            <color indexed="81"/>
            <rFont val="Tahoma"/>
            <family val="2"/>
          </rPr>
          <t>Potter, Daniel:</t>
        </r>
        <r>
          <rPr>
            <sz val="9"/>
            <color indexed="81"/>
            <rFont val="Tahoma"/>
            <family val="2"/>
          </rPr>
          <t xml:space="preserve">
TY Actuals.  July 2022 - June 2023. </t>
        </r>
      </text>
    </comment>
    <comment ref="O380" authorId="0" shapeId="0" xr:uid="{F234F9EE-79F1-4B35-AB48-81A96E9A7AD8}">
      <text>
        <r>
          <rPr>
            <b/>
            <sz val="9"/>
            <color indexed="81"/>
            <rFont val="Tahoma"/>
            <family val="2"/>
          </rPr>
          <t>Potter, Daniel:</t>
        </r>
        <r>
          <rPr>
            <sz val="9"/>
            <color indexed="81"/>
            <rFont val="Tahoma"/>
            <family val="2"/>
          </rPr>
          <t xml:space="preserve">
TY Actuals. 07/23-06/24</t>
        </r>
      </text>
    </comment>
    <comment ref="P380" authorId="0" shapeId="0" xr:uid="{5F6F11D3-5AA1-4E22-ADA0-962AB3C59375}">
      <text>
        <r>
          <rPr>
            <b/>
            <sz val="9"/>
            <color indexed="81"/>
            <rFont val="Tahoma"/>
            <family val="2"/>
          </rPr>
          <t>Potter, Daniel:</t>
        </r>
        <r>
          <rPr>
            <sz val="9"/>
            <color indexed="81"/>
            <rFont val="Tahoma"/>
            <family val="2"/>
          </rPr>
          <t xml:space="preserve">
TY Actuals. 07/23-06/24</t>
        </r>
      </text>
    </comment>
    <comment ref="Q380" authorId="0" shapeId="0" xr:uid="{99D9EF85-5AC1-47E4-BE8F-1E36E50F9C9A}">
      <text>
        <r>
          <rPr>
            <b/>
            <sz val="9"/>
            <color indexed="81"/>
            <rFont val="Tahoma"/>
            <family val="2"/>
          </rPr>
          <t>Potter, Daniel:</t>
        </r>
        <r>
          <rPr>
            <sz val="9"/>
            <color indexed="81"/>
            <rFont val="Tahoma"/>
            <family val="2"/>
          </rPr>
          <t xml:space="preserve">
TY Actuals. 07/23-06/24</t>
        </r>
      </text>
    </comment>
    <comment ref="R380" authorId="0" shapeId="0" xr:uid="{1B07C9AE-2A50-468C-858C-B95095F68B60}">
      <text>
        <r>
          <rPr>
            <b/>
            <sz val="9"/>
            <color indexed="81"/>
            <rFont val="Tahoma"/>
            <family val="2"/>
          </rPr>
          <t>Potter, Daniel:</t>
        </r>
        <r>
          <rPr>
            <sz val="9"/>
            <color indexed="81"/>
            <rFont val="Tahoma"/>
            <family val="2"/>
          </rPr>
          <t xml:space="preserve">
TY Actuals. 07/23-06/24</t>
        </r>
      </text>
    </comment>
    <comment ref="S380" authorId="0" shapeId="0" xr:uid="{4D8933F2-C220-4100-B1D9-300B65C6B1A1}">
      <text>
        <r>
          <rPr>
            <b/>
            <sz val="9"/>
            <color indexed="81"/>
            <rFont val="Tahoma"/>
            <family val="2"/>
          </rPr>
          <t>Potter, Daniel:</t>
        </r>
        <r>
          <rPr>
            <sz val="9"/>
            <color indexed="81"/>
            <rFont val="Tahoma"/>
            <family val="2"/>
          </rPr>
          <t xml:space="preserve">
TY Actuals. 07/23-06/24</t>
        </r>
      </text>
    </comment>
    <comment ref="T380" authorId="0" shapeId="0" xr:uid="{42B37D9E-3EA5-4E63-BF74-B8A66CE8871C}">
      <text>
        <r>
          <rPr>
            <b/>
            <sz val="9"/>
            <color indexed="81"/>
            <rFont val="Tahoma"/>
            <family val="2"/>
          </rPr>
          <t>Potter, Daniel:</t>
        </r>
        <r>
          <rPr>
            <sz val="9"/>
            <color indexed="81"/>
            <rFont val="Tahoma"/>
            <family val="2"/>
          </rPr>
          <t xml:space="preserve">
TY Actuals. 07/23-06/24</t>
        </r>
      </text>
    </comment>
    <comment ref="U380" authorId="0" shapeId="0" xr:uid="{4F648DA7-EB9C-41A9-ADF9-00E61A09D317}">
      <text>
        <r>
          <rPr>
            <b/>
            <sz val="9"/>
            <color indexed="81"/>
            <rFont val="Tahoma"/>
            <family val="2"/>
          </rPr>
          <t>Potter, Daniel:</t>
        </r>
        <r>
          <rPr>
            <sz val="9"/>
            <color indexed="81"/>
            <rFont val="Tahoma"/>
            <family val="2"/>
          </rPr>
          <t xml:space="preserve">
TY Actuals. 07/23-06/24</t>
        </r>
      </text>
    </comment>
    <comment ref="V380" authorId="0" shapeId="0" xr:uid="{EBB6544B-BBB0-48E4-A87E-AE311994A694}">
      <text>
        <r>
          <rPr>
            <b/>
            <sz val="9"/>
            <color indexed="81"/>
            <rFont val="Tahoma"/>
            <family val="2"/>
          </rPr>
          <t>Potter, Daniel:</t>
        </r>
        <r>
          <rPr>
            <sz val="9"/>
            <color indexed="81"/>
            <rFont val="Tahoma"/>
            <family val="2"/>
          </rPr>
          <t xml:space="preserve">
TY Actuals. 07/23-06/24</t>
        </r>
      </text>
    </comment>
    <comment ref="W380" authorId="0" shapeId="0" xr:uid="{165471F7-B364-4C44-80DE-0B8DC1977EFB}">
      <text>
        <r>
          <rPr>
            <b/>
            <sz val="9"/>
            <color indexed="81"/>
            <rFont val="Tahoma"/>
            <family val="2"/>
          </rPr>
          <t>Potter, Daniel:</t>
        </r>
        <r>
          <rPr>
            <sz val="9"/>
            <color indexed="81"/>
            <rFont val="Tahoma"/>
            <family val="2"/>
          </rPr>
          <t xml:space="preserve">
TY Actuals. 07/23-06/24</t>
        </r>
      </text>
    </comment>
    <comment ref="X380" authorId="0" shapeId="0" xr:uid="{C84682EC-137D-43EB-9DAC-3F059E85848C}">
      <text>
        <r>
          <rPr>
            <b/>
            <sz val="9"/>
            <color indexed="81"/>
            <rFont val="Tahoma"/>
            <family val="2"/>
          </rPr>
          <t>Potter, Daniel:</t>
        </r>
        <r>
          <rPr>
            <sz val="9"/>
            <color indexed="81"/>
            <rFont val="Tahoma"/>
            <family val="2"/>
          </rPr>
          <t xml:space="preserve">
TY Actuals. 07/23-06/24</t>
        </r>
      </text>
    </comment>
    <comment ref="Y380" authorId="0" shapeId="0" xr:uid="{CB0C2406-CE6E-44E5-9F51-4BC7B8052C70}">
      <text>
        <r>
          <rPr>
            <b/>
            <sz val="9"/>
            <color indexed="81"/>
            <rFont val="Tahoma"/>
            <family val="2"/>
          </rPr>
          <t>Potter, Daniel:</t>
        </r>
        <r>
          <rPr>
            <sz val="9"/>
            <color indexed="81"/>
            <rFont val="Tahoma"/>
            <family val="2"/>
          </rPr>
          <t xml:space="preserve">
TY Actuals. 07/23-06/24</t>
        </r>
      </text>
    </comment>
    <comment ref="Z380" authorId="0" shapeId="0" xr:uid="{14A2D06A-6779-4A77-902C-DBA7031E3AF3}">
      <text>
        <r>
          <rPr>
            <b/>
            <sz val="9"/>
            <color indexed="81"/>
            <rFont val="Tahoma"/>
            <family val="2"/>
          </rPr>
          <t>Potter, Daniel:</t>
        </r>
        <r>
          <rPr>
            <sz val="9"/>
            <color indexed="81"/>
            <rFont val="Tahoma"/>
            <family val="2"/>
          </rPr>
          <t xml:space="preserve">
TY Actuals. 07/23-06/24</t>
        </r>
      </text>
    </comment>
    <comment ref="C382" authorId="0" shapeId="0" xr:uid="{08CECC73-D498-450B-96A9-59D7F55C8242}">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FY2024.</t>
        </r>
        <r>
          <rPr>
            <sz val="9"/>
            <color indexed="81"/>
            <rFont val="Tahoma"/>
            <family val="2"/>
          </rPr>
          <t xml:space="preserve">  Annual cost of $2,827,894 distributed evenly. </t>
        </r>
      </text>
    </comment>
    <comment ref="O382" authorId="0" shapeId="0" xr:uid="{389E582A-F6F8-455B-A83C-FFA7938ECA30}">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P382" authorId="0" shapeId="0" xr:uid="{EC64C3BE-62CD-4FAC-9ADF-9F9F6DB7E266}">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Q382" authorId="0" shapeId="0" xr:uid="{3B785BCB-BB9C-41F9-ACC2-45FF9FAD0AC5}">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R382" authorId="0" shapeId="0" xr:uid="{0A85935F-07E2-4782-B690-2E090688E8F9}">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S382" authorId="0" shapeId="0" xr:uid="{E815025E-1C52-48E0-9381-99935E982815}">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T382" authorId="0" shapeId="0" xr:uid="{8BA824C2-0652-41BA-A191-001F845A87CB}">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U382" authorId="0" shapeId="0" xr:uid="{8A924315-EFD4-4BCD-BF17-9EEC75F16F7F}">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V382" authorId="0" shapeId="0" xr:uid="{B195382E-1F0B-488C-AAD1-8E78C3EE1A76}">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W382" authorId="0" shapeId="0" xr:uid="{EC160C02-1146-4FAD-B282-487F176308D5}">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X382" authorId="0" shapeId="0" xr:uid="{16A61CA4-608D-47D3-9B4E-B374243A2FAE}">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Y382" authorId="0" shapeId="0" xr:uid="{6DB9CB37-8E72-41E4-8EC7-D3FD9B3D3695}">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Z382" authorId="0" shapeId="0" xr:uid="{F771D627-81A2-4A78-90A7-8E5D587F9325}">
      <text>
        <r>
          <rPr>
            <b/>
            <sz val="9"/>
            <color indexed="81"/>
            <rFont val="Tahoma"/>
            <family val="2"/>
          </rPr>
          <t>Potter, Daniel:</t>
        </r>
        <r>
          <rPr>
            <sz val="9"/>
            <color indexed="81"/>
            <rFont val="Tahoma"/>
            <family val="2"/>
          </rPr>
          <t xml:space="preserve">
Based on GMP's forecast from their Rate Case.  See </t>
        </r>
        <r>
          <rPr>
            <i/>
            <sz val="9"/>
            <color indexed="81"/>
            <rFont val="Tahoma"/>
            <family val="2"/>
          </rPr>
          <t>KCW Resales projected for FY2025.</t>
        </r>
        <r>
          <rPr>
            <sz val="9"/>
            <color indexed="81"/>
            <rFont val="Tahoma"/>
            <family val="2"/>
          </rPr>
          <t xml:space="preserve">  </t>
        </r>
      </text>
    </comment>
    <comment ref="C389" authorId="0" shapeId="0" xr:uid="{A17A3E3A-6612-4C07-AB8F-987F08FC9A24}">
      <text>
        <r>
          <rPr>
            <b/>
            <sz val="9"/>
            <color indexed="81"/>
            <rFont val="Tahoma"/>
            <family val="2"/>
          </rPr>
          <t>Potter, Daniel:</t>
        </r>
        <r>
          <rPr>
            <sz val="9"/>
            <color indexed="81"/>
            <rFont val="Tahoma"/>
            <family val="2"/>
          </rPr>
          <t xml:space="preserve">
TY Actuals.  July 2022 - June 2023. </t>
        </r>
      </text>
    </comment>
    <comment ref="D389" authorId="0" shapeId="0" xr:uid="{45164444-E5A3-42EE-93C6-670009530B3C}">
      <text>
        <r>
          <rPr>
            <b/>
            <sz val="9"/>
            <color indexed="81"/>
            <rFont val="Tahoma"/>
            <family val="2"/>
          </rPr>
          <t>Potter, Daniel:</t>
        </r>
        <r>
          <rPr>
            <sz val="9"/>
            <color indexed="81"/>
            <rFont val="Tahoma"/>
            <family val="2"/>
          </rPr>
          <t xml:space="preserve">
TY Actuals.  July 2022 - June 2023. </t>
        </r>
      </text>
    </comment>
    <comment ref="E389" authorId="0" shapeId="0" xr:uid="{165D8116-9D30-495A-848F-B1D2FBEB0294}">
      <text>
        <r>
          <rPr>
            <b/>
            <sz val="9"/>
            <color indexed="81"/>
            <rFont val="Tahoma"/>
            <family val="2"/>
          </rPr>
          <t>Potter, Daniel:</t>
        </r>
        <r>
          <rPr>
            <sz val="9"/>
            <color indexed="81"/>
            <rFont val="Tahoma"/>
            <family val="2"/>
          </rPr>
          <t xml:space="preserve">
TY Actuals.  July 2022 - June 2023. </t>
        </r>
      </text>
    </comment>
    <comment ref="F389" authorId="0" shapeId="0" xr:uid="{E26757DC-1EB8-444B-A95E-B1868B630245}">
      <text>
        <r>
          <rPr>
            <b/>
            <sz val="9"/>
            <color indexed="81"/>
            <rFont val="Tahoma"/>
            <family val="2"/>
          </rPr>
          <t>Potter, Daniel:</t>
        </r>
        <r>
          <rPr>
            <sz val="9"/>
            <color indexed="81"/>
            <rFont val="Tahoma"/>
            <family val="2"/>
          </rPr>
          <t xml:space="preserve">
TY Actuals.  July 2022 - June 2023. </t>
        </r>
      </text>
    </comment>
    <comment ref="G389" authorId="0" shapeId="0" xr:uid="{C60056E4-0E77-4E36-8AF6-36535995539D}">
      <text>
        <r>
          <rPr>
            <b/>
            <sz val="9"/>
            <color indexed="81"/>
            <rFont val="Tahoma"/>
            <family val="2"/>
          </rPr>
          <t>Potter, Daniel:</t>
        </r>
        <r>
          <rPr>
            <sz val="9"/>
            <color indexed="81"/>
            <rFont val="Tahoma"/>
            <family val="2"/>
          </rPr>
          <t xml:space="preserve">
TY Actuals.  July 2022 - June 2023. </t>
        </r>
      </text>
    </comment>
    <comment ref="H389" authorId="0" shapeId="0" xr:uid="{BA43E35F-98FF-4D33-A74C-A25933D6F8AA}">
      <text>
        <r>
          <rPr>
            <b/>
            <sz val="9"/>
            <color indexed="81"/>
            <rFont val="Tahoma"/>
            <family val="2"/>
          </rPr>
          <t>Potter, Daniel:</t>
        </r>
        <r>
          <rPr>
            <sz val="9"/>
            <color indexed="81"/>
            <rFont val="Tahoma"/>
            <family val="2"/>
          </rPr>
          <t xml:space="preserve">
TY Actuals.  July 2022 - June 2023. </t>
        </r>
      </text>
    </comment>
    <comment ref="I389" authorId="0" shapeId="0" xr:uid="{8487F9D1-2B34-485B-A39D-C170263D1E16}">
      <text>
        <r>
          <rPr>
            <b/>
            <sz val="9"/>
            <color indexed="81"/>
            <rFont val="Tahoma"/>
            <family val="2"/>
          </rPr>
          <t>Potter, Daniel:</t>
        </r>
        <r>
          <rPr>
            <sz val="9"/>
            <color indexed="81"/>
            <rFont val="Tahoma"/>
            <family val="2"/>
          </rPr>
          <t xml:space="preserve">
TY Actuals.  July 2022 - June 2023. </t>
        </r>
      </text>
    </comment>
    <comment ref="J389" authorId="0" shapeId="0" xr:uid="{1C1E3954-76A5-4181-9259-ECE4002F7EB8}">
      <text>
        <r>
          <rPr>
            <b/>
            <sz val="9"/>
            <color indexed="81"/>
            <rFont val="Tahoma"/>
            <family val="2"/>
          </rPr>
          <t>Potter, Daniel:</t>
        </r>
        <r>
          <rPr>
            <sz val="9"/>
            <color indexed="81"/>
            <rFont val="Tahoma"/>
            <family val="2"/>
          </rPr>
          <t xml:space="preserve">
TY Actuals.  July 2022 - June 2023. </t>
        </r>
      </text>
    </comment>
    <comment ref="K389" authorId="0" shapeId="0" xr:uid="{BC4BB553-8427-4D10-B0BA-1A07A2EB68B5}">
      <text>
        <r>
          <rPr>
            <b/>
            <sz val="9"/>
            <color indexed="81"/>
            <rFont val="Tahoma"/>
            <family val="2"/>
          </rPr>
          <t>Potter, Daniel:</t>
        </r>
        <r>
          <rPr>
            <sz val="9"/>
            <color indexed="81"/>
            <rFont val="Tahoma"/>
            <family val="2"/>
          </rPr>
          <t xml:space="preserve">
TY Actuals.  July 2022 - June 2023. </t>
        </r>
      </text>
    </comment>
    <comment ref="L389" authorId="0" shapeId="0" xr:uid="{6844AFE1-E83D-4B5B-BBC9-07818BEE006C}">
      <text>
        <r>
          <rPr>
            <b/>
            <sz val="9"/>
            <color indexed="81"/>
            <rFont val="Tahoma"/>
            <family val="2"/>
          </rPr>
          <t>Potter, Daniel:</t>
        </r>
        <r>
          <rPr>
            <sz val="9"/>
            <color indexed="81"/>
            <rFont val="Tahoma"/>
            <family val="2"/>
          </rPr>
          <t xml:space="preserve">
TY Actuals.  July 2022 - June 2023. </t>
        </r>
      </text>
    </comment>
    <comment ref="M389" authorId="0" shapeId="0" xr:uid="{3A299DEB-B1D8-4A5C-8213-6DD91A6DCF19}">
      <text>
        <r>
          <rPr>
            <b/>
            <sz val="9"/>
            <color indexed="81"/>
            <rFont val="Tahoma"/>
            <family val="2"/>
          </rPr>
          <t>Potter, Daniel:</t>
        </r>
        <r>
          <rPr>
            <sz val="9"/>
            <color indexed="81"/>
            <rFont val="Tahoma"/>
            <family val="2"/>
          </rPr>
          <t xml:space="preserve">
TY Actuals.  July 2022 - June 2023. </t>
        </r>
      </text>
    </comment>
    <comment ref="N389" authorId="0" shapeId="0" xr:uid="{A42707A4-8CEE-4BE8-B736-2EF5B2400229}">
      <text>
        <r>
          <rPr>
            <b/>
            <sz val="9"/>
            <color indexed="81"/>
            <rFont val="Tahoma"/>
            <family val="2"/>
          </rPr>
          <t>Potter, Daniel:</t>
        </r>
        <r>
          <rPr>
            <sz val="9"/>
            <color indexed="81"/>
            <rFont val="Tahoma"/>
            <family val="2"/>
          </rPr>
          <t xml:space="preserve">
TY Actuals.  July 2022 - June 2023. </t>
        </r>
      </text>
    </comment>
    <comment ref="O389" authorId="0" shapeId="0" xr:uid="{0488FB52-8BAD-445C-B4F2-E3870F71B405}">
      <text>
        <r>
          <rPr>
            <b/>
            <sz val="9"/>
            <color indexed="81"/>
            <rFont val="Tahoma"/>
            <family val="2"/>
          </rPr>
          <t>Potter, Daniel:</t>
        </r>
        <r>
          <rPr>
            <sz val="9"/>
            <color indexed="81"/>
            <rFont val="Tahoma"/>
            <family val="2"/>
          </rPr>
          <t xml:space="preserve">
TY Actuals
</t>
        </r>
      </text>
    </comment>
    <comment ref="P389" authorId="0" shapeId="0" xr:uid="{CA284F32-12A4-44A1-9521-097F07268D8A}">
      <text>
        <r>
          <rPr>
            <b/>
            <sz val="9"/>
            <color indexed="81"/>
            <rFont val="Tahoma"/>
            <family val="2"/>
          </rPr>
          <t>Potter, Daniel:</t>
        </r>
        <r>
          <rPr>
            <sz val="9"/>
            <color indexed="81"/>
            <rFont val="Tahoma"/>
            <family val="2"/>
          </rPr>
          <t xml:space="preserve">
TY Actuals
</t>
        </r>
      </text>
    </comment>
    <comment ref="Q389" authorId="0" shapeId="0" xr:uid="{64DCDA56-7F25-4D83-A559-2EB59264427F}">
      <text>
        <r>
          <rPr>
            <b/>
            <sz val="9"/>
            <color indexed="81"/>
            <rFont val="Tahoma"/>
            <family val="2"/>
          </rPr>
          <t>Potter, Daniel:</t>
        </r>
        <r>
          <rPr>
            <sz val="9"/>
            <color indexed="81"/>
            <rFont val="Tahoma"/>
            <family val="2"/>
          </rPr>
          <t xml:space="preserve">
TY Actuals
</t>
        </r>
      </text>
    </comment>
    <comment ref="R389" authorId="0" shapeId="0" xr:uid="{62F728F3-66CC-42C0-92BB-7E2009CDAA53}">
      <text>
        <r>
          <rPr>
            <b/>
            <sz val="9"/>
            <color indexed="81"/>
            <rFont val="Tahoma"/>
            <family val="2"/>
          </rPr>
          <t>Potter, Daniel:</t>
        </r>
        <r>
          <rPr>
            <sz val="9"/>
            <color indexed="81"/>
            <rFont val="Tahoma"/>
            <family val="2"/>
          </rPr>
          <t xml:space="preserve">
TY Actuals
</t>
        </r>
      </text>
    </comment>
    <comment ref="S389" authorId="0" shapeId="0" xr:uid="{51DB339E-DA71-40AE-9135-FCD63EBA97B4}">
      <text>
        <r>
          <rPr>
            <b/>
            <sz val="9"/>
            <color indexed="81"/>
            <rFont val="Tahoma"/>
            <family val="2"/>
          </rPr>
          <t>Potter, Daniel:</t>
        </r>
        <r>
          <rPr>
            <sz val="9"/>
            <color indexed="81"/>
            <rFont val="Tahoma"/>
            <family val="2"/>
          </rPr>
          <t xml:space="preserve">
TY Actuals
</t>
        </r>
      </text>
    </comment>
    <comment ref="T389" authorId="0" shapeId="0" xr:uid="{ACA31246-AC33-409D-9B84-35A5D1D37D37}">
      <text>
        <r>
          <rPr>
            <b/>
            <sz val="9"/>
            <color indexed="81"/>
            <rFont val="Tahoma"/>
            <family val="2"/>
          </rPr>
          <t>Potter, Daniel:</t>
        </r>
        <r>
          <rPr>
            <sz val="9"/>
            <color indexed="81"/>
            <rFont val="Tahoma"/>
            <family val="2"/>
          </rPr>
          <t xml:space="preserve">
TY Actuals
</t>
        </r>
      </text>
    </comment>
    <comment ref="U389" authorId="0" shapeId="0" xr:uid="{3B08CF92-4EFB-4991-8B16-85D869C65861}">
      <text>
        <r>
          <rPr>
            <b/>
            <sz val="9"/>
            <color indexed="81"/>
            <rFont val="Tahoma"/>
            <family val="2"/>
          </rPr>
          <t>Potter, Daniel:</t>
        </r>
        <r>
          <rPr>
            <sz val="9"/>
            <color indexed="81"/>
            <rFont val="Tahoma"/>
            <family val="2"/>
          </rPr>
          <t xml:space="preserve">
TY Actuals
</t>
        </r>
      </text>
    </comment>
    <comment ref="V389" authorId="0" shapeId="0" xr:uid="{B8ABC5E6-A130-46D7-BF0B-88ED98D0DC5A}">
      <text>
        <r>
          <rPr>
            <b/>
            <sz val="9"/>
            <color indexed="81"/>
            <rFont val="Tahoma"/>
            <family val="2"/>
          </rPr>
          <t>Potter, Daniel:</t>
        </r>
        <r>
          <rPr>
            <sz val="9"/>
            <color indexed="81"/>
            <rFont val="Tahoma"/>
            <family val="2"/>
          </rPr>
          <t xml:space="preserve">
TY Actuals
</t>
        </r>
      </text>
    </comment>
    <comment ref="W389" authorId="0" shapeId="0" xr:uid="{B43C6513-E47C-4671-8FD8-FB41784DDECD}">
      <text>
        <r>
          <rPr>
            <b/>
            <sz val="9"/>
            <color indexed="81"/>
            <rFont val="Tahoma"/>
            <family val="2"/>
          </rPr>
          <t>Potter, Daniel:</t>
        </r>
        <r>
          <rPr>
            <sz val="9"/>
            <color indexed="81"/>
            <rFont val="Tahoma"/>
            <family val="2"/>
          </rPr>
          <t xml:space="preserve">
TY Actuals
</t>
        </r>
      </text>
    </comment>
    <comment ref="X389" authorId="0" shapeId="0" xr:uid="{26553080-1DF2-42A6-BF9E-C0423CA07D4D}">
      <text>
        <r>
          <rPr>
            <b/>
            <sz val="9"/>
            <color indexed="81"/>
            <rFont val="Tahoma"/>
            <family val="2"/>
          </rPr>
          <t>Potter, Daniel:</t>
        </r>
        <r>
          <rPr>
            <sz val="9"/>
            <color indexed="81"/>
            <rFont val="Tahoma"/>
            <family val="2"/>
          </rPr>
          <t xml:space="preserve">
TY Actuals
</t>
        </r>
      </text>
    </comment>
    <comment ref="Y389" authorId="0" shapeId="0" xr:uid="{DDDC7E6D-C3F8-4299-B2BE-D9AB7D96B761}">
      <text>
        <r>
          <rPr>
            <b/>
            <sz val="9"/>
            <color indexed="81"/>
            <rFont val="Tahoma"/>
            <family val="2"/>
          </rPr>
          <t>Potter, Daniel:</t>
        </r>
        <r>
          <rPr>
            <sz val="9"/>
            <color indexed="81"/>
            <rFont val="Tahoma"/>
            <family val="2"/>
          </rPr>
          <t xml:space="preserve">
TY Actuals
</t>
        </r>
      </text>
    </comment>
    <comment ref="Z389" authorId="0" shapeId="0" xr:uid="{1365E22A-5D22-42F6-8C19-B3C761B11E46}">
      <text>
        <r>
          <rPr>
            <b/>
            <sz val="9"/>
            <color indexed="81"/>
            <rFont val="Tahoma"/>
            <family val="2"/>
          </rPr>
          <t>Potter, Daniel:</t>
        </r>
        <r>
          <rPr>
            <sz val="9"/>
            <color indexed="81"/>
            <rFont val="Tahoma"/>
            <family val="2"/>
          </rPr>
          <t xml:space="preserve">
TY Actuals
</t>
        </r>
      </text>
    </comment>
    <comment ref="C394" authorId="0" shapeId="0" xr:uid="{73199496-50A0-49D9-9165-30E9B979768E}">
      <text>
        <r>
          <rPr>
            <b/>
            <sz val="9"/>
            <color indexed="81"/>
            <rFont val="Tahoma"/>
            <family val="2"/>
          </rPr>
          <t>Potter, Daniel:</t>
        </r>
        <r>
          <rPr>
            <sz val="9"/>
            <color indexed="81"/>
            <rFont val="Tahoma"/>
            <family val="2"/>
          </rPr>
          <t xml:space="preserve">
TY Actuals.  July 2022 - June 2023. </t>
        </r>
      </text>
    </comment>
    <comment ref="D394" authorId="0" shapeId="0" xr:uid="{99F4FE81-2885-4EF0-A79C-23CE0361DB98}">
      <text>
        <r>
          <rPr>
            <b/>
            <sz val="9"/>
            <color indexed="81"/>
            <rFont val="Tahoma"/>
            <family val="2"/>
          </rPr>
          <t>Potter, Daniel:</t>
        </r>
        <r>
          <rPr>
            <sz val="9"/>
            <color indexed="81"/>
            <rFont val="Tahoma"/>
            <family val="2"/>
          </rPr>
          <t xml:space="preserve">
TY Actuals.  July 2022 - June 2023. </t>
        </r>
      </text>
    </comment>
    <comment ref="E394" authorId="0" shapeId="0" xr:uid="{86F00B6A-F91F-4EFD-B0EC-9845BB2CD922}">
      <text>
        <r>
          <rPr>
            <b/>
            <sz val="9"/>
            <color indexed="81"/>
            <rFont val="Tahoma"/>
            <family val="2"/>
          </rPr>
          <t>Potter, Daniel:</t>
        </r>
        <r>
          <rPr>
            <sz val="9"/>
            <color indexed="81"/>
            <rFont val="Tahoma"/>
            <family val="2"/>
          </rPr>
          <t xml:space="preserve">
TY Actuals.  July 2022 - June 2023. </t>
        </r>
      </text>
    </comment>
    <comment ref="F394" authorId="0" shapeId="0" xr:uid="{7D6D0E32-B0DB-4ACB-9734-E01D11709388}">
      <text>
        <r>
          <rPr>
            <b/>
            <sz val="9"/>
            <color indexed="81"/>
            <rFont val="Tahoma"/>
            <family val="2"/>
          </rPr>
          <t>Potter, Daniel:</t>
        </r>
        <r>
          <rPr>
            <sz val="9"/>
            <color indexed="81"/>
            <rFont val="Tahoma"/>
            <family val="2"/>
          </rPr>
          <t xml:space="preserve">
TY Actuals.  July 2022 - June 2023. </t>
        </r>
      </text>
    </comment>
    <comment ref="G394" authorId="0" shapeId="0" xr:uid="{FBC42960-6728-450F-8125-8B776B2CF0D3}">
      <text>
        <r>
          <rPr>
            <b/>
            <sz val="9"/>
            <color indexed="81"/>
            <rFont val="Tahoma"/>
            <family val="2"/>
          </rPr>
          <t>Potter, Daniel:</t>
        </r>
        <r>
          <rPr>
            <sz val="9"/>
            <color indexed="81"/>
            <rFont val="Tahoma"/>
            <family val="2"/>
          </rPr>
          <t xml:space="preserve">
TY Actuals.  July 2022 - June 2023. </t>
        </r>
      </text>
    </comment>
    <comment ref="H394" authorId="0" shapeId="0" xr:uid="{A461929B-2415-48D9-89CC-BCF44D7085E7}">
      <text>
        <r>
          <rPr>
            <b/>
            <sz val="9"/>
            <color indexed="81"/>
            <rFont val="Tahoma"/>
            <family val="2"/>
          </rPr>
          <t>Potter, Daniel:</t>
        </r>
        <r>
          <rPr>
            <sz val="9"/>
            <color indexed="81"/>
            <rFont val="Tahoma"/>
            <family val="2"/>
          </rPr>
          <t xml:space="preserve">
TY Actuals.  July 2022 - June 2023. </t>
        </r>
      </text>
    </comment>
    <comment ref="I394" authorId="0" shapeId="0" xr:uid="{76B6C2A3-5169-4468-8BE5-3E62E34CA1C2}">
      <text>
        <r>
          <rPr>
            <b/>
            <sz val="9"/>
            <color indexed="81"/>
            <rFont val="Tahoma"/>
            <family val="2"/>
          </rPr>
          <t>Potter, Daniel:</t>
        </r>
        <r>
          <rPr>
            <sz val="9"/>
            <color indexed="81"/>
            <rFont val="Tahoma"/>
            <family val="2"/>
          </rPr>
          <t xml:space="preserve">
TY Actuals.  July 2022 - June 2023. </t>
        </r>
      </text>
    </comment>
    <comment ref="J394" authorId="0" shapeId="0" xr:uid="{4FAE3174-E4A5-4A80-9091-6F9C9AB2094E}">
      <text>
        <r>
          <rPr>
            <b/>
            <sz val="9"/>
            <color indexed="81"/>
            <rFont val="Tahoma"/>
            <family val="2"/>
          </rPr>
          <t>Potter, Daniel:</t>
        </r>
        <r>
          <rPr>
            <sz val="9"/>
            <color indexed="81"/>
            <rFont val="Tahoma"/>
            <family val="2"/>
          </rPr>
          <t xml:space="preserve">
TY Actuals.  July 2022 - June 2023. </t>
        </r>
      </text>
    </comment>
    <comment ref="K394" authorId="0" shapeId="0" xr:uid="{ED57BB5B-1D3C-452A-A46D-24A7020CB8BF}">
      <text>
        <r>
          <rPr>
            <b/>
            <sz val="9"/>
            <color indexed="81"/>
            <rFont val="Tahoma"/>
            <family val="2"/>
          </rPr>
          <t>Potter, Daniel:</t>
        </r>
        <r>
          <rPr>
            <sz val="9"/>
            <color indexed="81"/>
            <rFont val="Tahoma"/>
            <family val="2"/>
          </rPr>
          <t xml:space="preserve">
TY Actuals.  July 2022 - June 2023. </t>
        </r>
      </text>
    </comment>
    <comment ref="L394" authorId="0" shapeId="0" xr:uid="{93106EAC-F988-4173-855C-058CE58450AF}">
      <text>
        <r>
          <rPr>
            <b/>
            <sz val="9"/>
            <color indexed="81"/>
            <rFont val="Tahoma"/>
            <family val="2"/>
          </rPr>
          <t>Potter, Daniel:</t>
        </r>
        <r>
          <rPr>
            <sz val="9"/>
            <color indexed="81"/>
            <rFont val="Tahoma"/>
            <family val="2"/>
          </rPr>
          <t xml:space="preserve">
TY Actuals.  July 2022 - June 2023. </t>
        </r>
      </text>
    </comment>
    <comment ref="M394" authorId="0" shapeId="0" xr:uid="{F1AC834B-7EE4-4923-BFDB-64CC9309C5AA}">
      <text>
        <r>
          <rPr>
            <b/>
            <sz val="9"/>
            <color indexed="81"/>
            <rFont val="Tahoma"/>
            <family val="2"/>
          </rPr>
          <t>Potter, Daniel:</t>
        </r>
        <r>
          <rPr>
            <sz val="9"/>
            <color indexed="81"/>
            <rFont val="Tahoma"/>
            <family val="2"/>
          </rPr>
          <t xml:space="preserve">
TY Actuals.  July 2022 - June 2023. </t>
        </r>
      </text>
    </comment>
    <comment ref="N394" authorId="0" shapeId="0" xr:uid="{9316623A-91F5-43CE-AA2F-87FFF43D14F0}">
      <text>
        <r>
          <rPr>
            <b/>
            <sz val="9"/>
            <color indexed="81"/>
            <rFont val="Tahoma"/>
            <family val="2"/>
          </rPr>
          <t>Potter, Daniel:</t>
        </r>
        <r>
          <rPr>
            <sz val="9"/>
            <color indexed="81"/>
            <rFont val="Tahoma"/>
            <family val="2"/>
          </rPr>
          <t xml:space="preserve">
TY Actuals.  July 2022 - June 2023. </t>
        </r>
      </text>
    </comment>
    <comment ref="O394" authorId="0" shapeId="0" xr:uid="{8F75B841-21AD-4AD9-B119-852D4E2E52C9}">
      <text>
        <r>
          <rPr>
            <b/>
            <sz val="9"/>
            <color indexed="81"/>
            <rFont val="Tahoma"/>
            <family val="2"/>
          </rPr>
          <t>Potter, Daniel:</t>
        </r>
        <r>
          <rPr>
            <sz val="9"/>
            <color indexed="81"/>
            <rFont val="Tahoma"/>
            <family val="2"/>
          </rPr>
          <t xml:space="preserve">
TY Actuals
</t>
        </r>
      </text>
    </comment>
    <comment ref="P394" authorId="0" shapeId="0" xr:uid="{5744675D-E73C-414C-8FB4-22A7B37E1E6B}">
      <text>
        <r>
          <rPr>
            <b/>
            <sz val="9"/>
            <color indexed="81"/>
            <rFont val="Tahoma"/>
            <family val="2"/>
          </rPr>
          <t>Potter, Daniel:</t>
        </r>
        <r>
          <rPr>
            <sz val="9"/>
            <color indexed="81"/>
            <rFont val="Tahoma"/>
            <family val="2"/>
          </rPr>
          <t xml:space="preserve">
TY Actuals
</t>
        </r>
      </text>
    </comment>
    <comment ref="Q394" authorId="0" shapeId="0" xr:uid="{DDF957A0-08FD-4427-8A6C-F326723CA254}">
      <text>
        <r>
          <rPr>
            <b/>
            <sz val="9"/>
            <color indexed="81"/>
            <rFont val="Tahoma"/>
            <family val="2"/>
          </rPr>
          <t>Potter, Daniel:</t>
        </r>
        <r>
          <rPr>
            <sz val="9"/>
            <color indexed="81"/>
            <rFont val="Tahoma"/>
            <family val="2"/>
          </rPr>
          <t xml:space="preserve">
TY Actuals
</t>
        </r>
      </text>
    </comment>
    <comment ref="R394" authorId="0" shapeId="0" xr:uid="{A773DC3D-4A03-456B-8D55-2CFDFC6C7DD9}">
      <text>
        <r>
          <rPr>
            <b/>
            <sz val="9"/>
            <color indexed="81"/>
            <rFont val="Tahoma"/>
            <family val="2"/>
          </rPr>
          <t>Potter, Daniel:</t>
        </r>
        <r>
          <rPr>
            <sz val="9"/>
            <color indexed="81"/>
            <rFont val="Tahoma"/>
            <family val="2"/>
          </rPr>
          <t xml:space="preserve">
TY Actuals
</t>
        </r>
      </text>
    </comment>
    <comment ref="S394" authorId="0" shapeId="0" xr:uid="{08A4BA89-E04F-4E6A-8FBE-4ED802B21B28}">
      <text>
        <r>
          <rPr>
            <b/>
            <sz val="9"/>
            <color indexed="81"/>
            <rFont val="Tahoma"/>
            <family val="2"/>
          </rPr>
          <t>Potter, Daniel:</t>
        </r>
        <r>
          <rPr>
            <sz val="9"/>
            <color indexed="81"/>
            <rFont val="Tahoma"/>
            <family val="2"/>
          </rPr>
          <t xml:space="preserve">
TY Actuals
</t>
        </r>
      </text>
    </comment>
    <comment ref="T394" authorId="0" shapeId="0" xr:uid="{C70D1D80-67B4-447F-B848-2C5F0D28BCF3}">
      <text>
        <r>
          <rPr>
            <b/>
            <sz val="9"/>
            <color indexed="81"/>
            <rFont val="Tahoma"/>
            <family val="2"/>
          </rPr>
          <t>Potter, Daniel:</t>
        </r>
        <r>
          <rPr>
            <sz val="9"/>
            <color indexed="81"/>
            <rFont val="Tahoma"/>
            <family val="2"/>
          </rPr>
          <t xml:space="preserve">
TY Actuals
</t>
        </r>
      </text>
    </comment>
    <comment ref="U394" authorId="0" shapeId="0" xr:uid="{79C2DF22-2D4C-45C1-92CF-F300F81BCFDA}">
      <text>
        <r>
          <rPr>
            <b/>
            <sz val="9"/>
            <color indexed="81"/>
            <rFont val="Tahoma"/>
            <family val="2"/>
          </rPr>
          <t>Potter, Daniel:</t>
        </r>
        <r>
          <rPr>
            <sz val="9"/>
            <color indexed="81"/>
            <rFont val="Tahoma"/>
            <family val="2"/>
          </rPr>
          <t xml:space="preserve">
TY Actuals
</t>
        </r>
      </text>
    </comment>
    <comment ref="V394" authorId="0" shapeId="0" xr:uid="{3F404811-C895-4BF9-8A4D-B84960B07371}">
      <text>
        <r>
          <rPr>
            <b/>
            <sz val="9"/>
            <color indexed="81"/>
            <rFont val="Tahoma"/>
            <family val="2"/>
          </rPr>
          <t>Potter, Daniel:</t>
        </r>
        <r>
          <rPr>
            <sz val="9"/>
            <color indexed="81"/>
            <rFont val="Tahoma"/>
            <family val="2"/>
          </rPr>
          <t xml:space="preserve">
TY Actuals
</t>
        </r>
      </text>
    </comment>
    <comment ref="W394" authorId="0" shapeId="0" xr:uid="{EC36E3F1-D6B5-419B-9E22-E2C944C43869}">
      <text>
        <r>
          <rPr>
            <b/>
            <sz val="9"/>
            <color indexed="81"/>
            <rFont val="Tahoma"/>
            <family val="2"/>
          </rPr>
          <t>Potter, Daniel:</t>
        </r>
        <r>
          <rPr>
            <sz val="9"/>
            <color indexed="81"/>
            <rFont val="Tahoma"/>
            <family val="2"/>
          </rPr>
          <t xml:space="preserve">
TY Actuals
</t>
        </r>
      </text>
    </comment>
    <comment ref="X394" authorId="0" shapeId="0" xr:uid="{F48B97CC-693B-4B03-B6F0-13568156DD77}">
      <text>
        <r>
          <rPr>
            <b/>
            <sz val="9"/>
            <color indexed="81"/>
            <rFont val="Tahoma"/>
            <family val="2"/>
          </rPr>
          <t>Potter, Daniel:</t>
        </r>
        <r>
          <rPr>
            <sz val="9"/>
            <color indexed="81"/>
            <rFont val="Tahoma"/>
            <family val="2"/>
          </rPr>
          <t xml:space="preserve">
TY Actuals
</t>
        </r>
      </text>
    </comment>
    <comment ref="Y394" authorId="0" shapeId="0" xr:uid="{9746B0E2-1AF0-42D0-A1D7-F905D09DDD0F}">
      <text>
        <r>
          <rPr>
            <b/>
            <sz val="9"/>
            <color indexed="81"/>
            <rFont val="Tahoma"/>
            <family val="2"/>
          </rPr>
          <t>Potter, Daniel:</t>
        </r>
        <r>
          <rPr>
            <sz val="9"/>
            <color indexed="81"/>
            <rFont val="Tahoma"/>
            <family val="2"/>
          </rPr>
          <t xml:space="preserve">
TY Actuals
</t>
        </r>
      </text>
    </comment>
    <comment ref="Z394" authorId="0" shapeId="0" xr:uid="{7A0EA722-EC57-479A-B586-17D1CE961324}">
      <text>
        <r>
          <rPr>
            <b/>
            <sz val="9"/>
            <color indexed="81"/>
            <rFont val="Tahoma"/>
            <family val="2"/>
          </rPr>
          <t>Potter, Daniel:</t>
        </r>
        <r>
          <rPr>
            <sz val="9"/>
            <color indexed="81"/>
            <rFont val="Tahoma"/>
            <family val="2"/>
          </rPr>
          <t xml:space="preserve">
TY Actuals
</t>
        </r>
      </text>
    </comment>
    <comment ref="A438" authorId="1" shapeId="0" xr:uid="{00000000-0006-0000-0500-00004E190000}">
      <text>
        <r>
          <rPr>
            <b/>
            <sz val="9"/>
            <color indexed="81"/>
            <rFont val="Tahoma"/>
            <family val="2"/>
          </rPr>
          <t>Craig Kieny:</t>
        </r>
        <r>
          <rPr>
            <sz val="9"/>
            <color indexed="81"/>
            <rFont val="Tahoma"/>
            <family val="2"/>
          </rPr>
          <t xml:space="preserve">
Part of settlement with ISO-NE.</t>
        </r>
      </text>
    </comment>
    <comment ref="A439" authorId="1" shapeId="0" xr:uid="{00000000-0006-0000-0500-00004F190000}">
      <text>
        <r>
          <rPr>
            <b/>
            <sz val="9"/>
            <color indexed="81"/>
            <rFont val="Tahoma"/>
            <family val="2"/>
          </rPr>
          <t>Craig Kieny:</t>
        </r>
        <r>
          <rPr>
            <sz val="9"/>
            <color indexed="81"/>
            <rFont val="Tahoma"/>
            <family val="2"/>
          </rPr>
          <t xml:space="preserve">
Part of settlement with ISO-NE.</t>
        </r>
      </text>
    </comment>
    <comment ref="C538" authorId="0" shapeId="0" xr:uid="{F8D976AD-8DF6-41C0-A246-93C5270AC070}">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D538" authorId="0" shapeId="0" xr:uid="{3F65FDF0-02C1-43C0-A498-29C794BA3534}">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E538" authorId="0" shapeId="0" xr:uid="{0A9FFDAE-5383-4573-910F-2CD7C0F229B3}">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F538" authorId="0" shapeId="0" xr:uid="{16F0675E-4731-4187-A023-F29E6F559728}">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G538" authorId="0" shapeId="0" xr:uid="{C13DD79F-5510-45B2-890A-C1208262E2D8}">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H538" authorId="0" shapeId="0" xr:uid="{E28D63B7-A7D6-49EE-B6B6-4C3AC252E4A2}">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I538" authorId="0" shapeId="0" xr:uid="{AC09150D-235B-473F-8D76-0D2BEE0E0676}">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J538" authorId="0" shapeId="0" xr:uid="{98AD7B61-94AB-497B-BD04-0A21B3238608}">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K538" authorId="0" shapeId="0" xr:uid="{C2818816-E3EB-49AF-8AB1-674BB57F611B}">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L538" authorId="0" shapeId="0" xr:uid="{F528D1AE-8992-4897-9894-55C56DE9AA9F}">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M538" authorId="0" shapeId="0" xr:uid="{54445998-920C-4B45-B30A-232DD42A886F}">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N538" authorId="0" shapeId="0" xr:uid="{E37B2C34-8369-4449-A263-37CA829BBC86}">
      <text>
        <r>
          <rPr>
            <b/>
            <sz val="9"/>
            <color indexed="81"/>
            <rFont val="Tahoma"/>
            <family val="2"/>
          </rPr>
          <t>Potter, Daniel:</t>
        </r>
        <r>
          <rPr>
            <sz val="9"/>
            <color indexed="81"/>
            <rFont val="Tahoma"/>
            <family val="2"/>
          </rPr>
          <t xml:space="preserve">
TY Actuals for Jan-Jun 2023.  July-December are shaped based on historical output provided by Howard Wind. </t>
        </r>
      </text>
    </comment>
    <comment ref="O538" authorId="0" shapeId="0" xr:uid="{AB276C14-BF95-4AA8-B467-D9CFDCA985EF}">
      <text>
        <r>
          <rPr>
            <b/>
            <sz val="9"/>
            <color indexed="81"/>
            <rFont val="Tahoma"/>
            <family val="2"/>
          </rPr>
          <t>Potter, Daniel:</t>
        </r>
        <r>
          <rPr>
            <sz val="9"/>
            <color indexed="81"/>
            <rFont val="Tahoma"/>
            <family val="2"/>
          </rPr>
          <t xml:space="preserve">
TY Actuals. 07/23-06/24</t>
        </r>
      </text>
    </comment>
    <comment ref="P538" authorId="0" shapeId="0" xr:uid="{C34DDE8D-2950-4863-8219-791C1377E2A6}">
      <text>
        <r>
          <rPr>
            <b/>
            <sz val="9"/>
            <color indexed="81"/>
            <rFont val="Tahoma"/>
            <family val="2"/>
          </rPr>
          <t>Potter, Daniel:</t>
        </r>
        <r>
          <rPr>
            <sz val="9"/>
            <color indexed="81"/>
            <rFont val="Tahoma"/>
            <family val="2"/>
          </rPr>
          <t xml:space="preserve">
TY Actuals. 07/23-06/24</t>
        </r>
      </text>
    </comment>
    <comment ref="Q538" authorId="0" shapeId="0" xr:uid="{2CA6F2E1-96E8-4AAF-B28D-4482539A5415}">
      <text>
        <r>
          <rPr>
            <b/>
            <sz val="9"/>
            <color indexed="81"/>
            <rFont val="Tahoma"/>
            <family val="2"/>
          </rPr>
          <t>Potter, Daniel:</t>
        </r>
        <r>
          <rPr>
            <sz val="9"/>
            <color indexed="81"/>
            <rFont val="Tahoma"/>
            <family val="2"/>
          </rPr>
          <t xml:space="preserve">
TY Actuals. 07/23-06/24</t>
        </r>
      </text>
    </comment>
    <comment ref="R538" authorId="0" shapeId="0" xr:uid="{6F941E99-6367-48B9-9209-57B5AF12BEB3}">
      <text>
        <r>
          <rPr>
            <b/>
            <sz val="9"/>
            <color indexed="81"/>
            <rFont val="Tahoma"/>
            <family val="2"/>
          </rPr>
          <t>Potter, Daniel:</t>
        </r>
        <r>
          <rPr>
            <sz val="9"/>
            <color indexed="81"/>
            <rFont val="Tahoma"/>
            <family val="2"/>
          </rPr>
          <t xml:space="preserve">
TY Actuals. 07/23-06/24</t>
        </r>
      </text>
    </comment>
    <comment ref="S538" authorId="0" shapeId="0" xr:uid="{D81A9DD0-11AB-4E84-8F3D-E43FCCBF7222}">
      <text>
        <r>
          <rPr>
            <b/>
            <sz val="9"/>
            <color indexed="81"/>
            <rFont val="Tahoma"/>
            <family val="2"/>
          </rPr>
          <t>Potter, Daniel:</t>
        </r>
        <r>
          <rPr>
            <sz val="9"/>
            <color indexed="81"/>
            <rFont val="Tahoma"/>
            <family val="2"/>
          </rPr>
          <t xml:space="preserve">
TY Actuals. 07/23-06/24</t>
        </r>
      </text>
    </comment>
    <comment ref="T538" authorId="0" shapeId="0" xr:uid="{5A0CEDE3-A75C-436B-979E-E7DCBA1092C5}">
      <text>
        <r>
          <rPr>
            <b/>
            <sz val="9"/>
            <color indexed="81"/>
            <rFont val="Tahoma"/>
            <family val="2"/>
          </rPr>
          <t>Potter, Daniel:</t>
        </r>
        <r>
          <rPr>
            <sz val="9"/>
            <color indexed="81"/>
            <rFont val="Tahoma"/>
            <family val="2"/>
          </rPr>
          <t xml:space="preserve">
TY Actuals. 07/23-06/24</t>
        </r>
      </text>
    </comment>
    <comment ref="U538" authorId="0" shapeId="0" xr:uid="{A422AA66-6B0E-4736-B536-F69DBF888F56}">
      <text>
        <r>
          <rPr>
            <b/>
            <sz val="9"/>
            <color indexed="81"/>
            <rFont val="Tahoma"/>
            <family val="2"/>
          </rPr>
          <t>Potter, Daniel:</t>
        </r>
        <r>
          <rPr>
            <sz val="9"/>
            <color indexed="81"/>
            <rFont val="Tahoma"/>
            <family val="2"/>
          </rPr>
          <t xml:space="preserve">
TY Actuals. 07/23-06/24</t>
        </r>
      </text>
    </comment>
    <comment ref="V538" authorId="0" shapeId="0" xr:uid="{3E233754-C94C-45C9-B340-72F79C0A53A0}">
      <text>
        <r>
          <rPr>
            <b/>
            <sz val="9"/>
            <color indexed="81"/>
            <rFont val="Tahoma"/>
            <family val="2"/>
          </rPr>
          <t>Potter, Daniel:</t>
        </r>
        <r>
          <rPr>
            <sz val="9"/>
            <color indexed="81"/>
            <rFont val="Tahoma"/>
            <family val="2"/>
          </rPr>
          <t xml:space="preserve">
TY Actuals. 07/23-06/24</t>
        </r>
      </text>
    </comment>
    <comment ref="W538" authorId="0" shapeId="0" xr:uid="{A82927D8-380B-469C-A8D3-D313908686C0}">
      <text>
        <r>
          <rPr>
            <b/>
            <sz val="9"/>
            <color indexed="81"/>
            <rFont val="Tahoma"/>
            <family val="2"/>
          </rPr>
          <t>Potter, Daniel:</t>
        </r>
        <r>
          <rPr>
            <sz val="9"/>
            <color indexed="81"/>
            <rFont val="Tahoma"/>
            <family val="2"/>
          </rPr>
          <t xml:space="preserve">
TY Actuals. 07/23-06/24</t>
        </r>
      </text>
    </comment>
    <comment ref="X538" authorId="0" shapeId="0" xr:uid="{E621AD04-13A2-49C6-B329-4A87F0DDD80A}">
      <text>
        <r>
          <rPr>
            <b/>
            <sz val="9"/>
            <color indexed="81"/>
            <rFont val="Tahoma"/>
            <family val="2"/>
          </rPr>
          <t>Potter, Daniel:</t>
        </r>
        <r>
          <rPr>
            <sz val="9"/>
            <color indexed="81"/>
            <rFont val="Tahoma"/>
            <family val="2"/>
          </rPr>
          <t xml:space="preserve">
TY Actuals. 07/23-06/24</t>
        </r>
      </text>
    </comment>
    <comment ref="Y538" authorId="0" shapeId="0" xr:uid="{12439506-CF28-4F32-AF0F-5B0ABC026262}">
      <text>
        <r>
          <rPr>
            <b/>
            <sz val="9"/>
            <color indexed="81"/>
            <rFont val="Tahoma"/>
            <family val="2"/>
          </rPr>
          <t>Potter, Daniel:</t>
        </r>
        <r>
          <rPr>
            <sz val="9"/>
            <color indexed="81"/>
            <rFont val="Tahoma"/>
            <family val="2"/>
          </rPr>
          <t xml:space="preserve">
TY Actuals. 07/23-06/24</t>
        </r>
      </text>
    </comment>
    <comment ref="Z538" authorId="0" shapeId="0" xr:uid="{769D9650-DE31-471F-AD78-B2AD909BDFC3}">
      <text>
        <r>
          <rPr>
            <b/>
            <sz val="9"/>
            <color indexed="81"/>
            <rFont val="Tahoma"/>
            <family val="2"/>
          </rPr>
          <t>Potter, Daniel:</t>
        </r>
        <r>
          <rPr>
            <sz val="9"/>
            <color indexed="81"/>
            <rFont val="Tahoma"/>
            <family val="2"/>
          </rPr>
          <t xml:space="preserve">
TY Actuals. 07/23-06/24</t>
        </r>
      </text>
    </comment>
    <comment ref="C539" authorId="0" shapeId="0" xr:uid="{339AF043-CCC7-4738-9C99-B490262C2067}">
      <text>
        <r>
          <rPr>
            <b/>
            <sz val="9"/>
            <color indexed="81"/>
            <rFont val="Tahoma"/>
            <family val="2"/>
          </rPr>
          <t>Potter, Daniel:</t>
        </r>
        <r>
          <rPr>
            <sz val="9"/>
            <color indexed="81"/>
            <rFont val="Tahoma"/>
            <family val="2"/>
          </rPr>
          <t xml:space="preserve">
01/23-06/23 ty Actuals.  See Sales for Resales file. </t>
        </r>
      </text>
    </comment>
    <comment ref="D539" authorId="0" shapeId="0" xr:uid="{1F0EBD15-BA25-4239-A2B1-862DBD7DE9D8}">
      <text>
        <r>
          <rPr>
            <b/>
            <sz val="9"/>
            <color indexed="81"/>
            <rFont val="Tahoma"/>
            <family val="2"/>
          </rPr>
          <t>Potter, Daniel:</t>
        </r>
        <r>
          <rPr>
            <sz val="9"/>
            <color indexed="81"/>
            <rFont val="Tahoma"/>
            <family val="2"/>
          </rPr>
          <t xml:space="preserve">
01/23-06/23 ty Actuals.  See Sales for Resales file. </t>
        </r>
      </text>
    </comment>
    <comment ref="E539" authorId="0" shapeId="0" xr:uid="{A40BB904-485A-462F-B568-4061158E4DCC}">
      <text>
        <r>
          <rPr>
            <b/>
            <sz val="9"/>
            <color indexed="81"/>
            <rFont val="Tahoma"/>
            <family val="2"/>
          </rPr>
          <t>Potter, Daniel:</t>
        </r>
        <r>
          <rPr>
            <sz val="9"/>
            <color indexed="81"/>
            <rFont val="Tahoma"/>
            <family val="2"/>
          </rPr>
          <t xml:space="preserve">
01/23-06/23 ty Actuals.  See Sales for Resales file. </t>
        </r>
      </text>
    </comment>
    <comment ref="F539" authorId="0" shapeId="0" xr:uid="{8FCEB1D6-AC5D-4B9C-9BEE-A238EA723128}">
      <text>
        <r>
          <rPr>
            <b/>
            <sz val="9"/>
            <color indexed="81"/>
            <rFont val="Tahoma"/>
            <family val="2"/>
          </rPr>
          <t>Potter, Daniel:</t>
        </r>
        <r>
          <rPr>
            <sz val="9"/>
            <color indexed="81"/>
            <rFont val="Tahoma"/>
            <family val="2"/>
          </rPr>
          <t xml:space="preserve">
01/23-06/23 ty Actuals.  See Sales for Resales file. </t>
        </r>
      </text>
    </comment>
    <comment ref="G539" authorId="0" shapeId="0" xr:uid="{239052AC-FA29-4888-ADEC-F3735476136B}">
      <text>
        <r>
          <rPr>
            <b/>
            <sz val="9"/>
            <color indexed="81"/>
            <rFont val="Tahoma"/>
            <family val="2"/>
          </rPr>
          <t>Potter, Daniel:</t>
        </r>
        <r>
          <rPr>
            <sz val="9"/>
            <color indexed="81"/>
            <rFont val="Tahoma"/>
            <family val="2"/>
          </rPr>
          <t xml:space="preserve">
01/23-06/23 ty Actuals.  See Sales for Resales file. </t>
        </r>
      </text>
    </comment>
    <comment ref="H539" authorId="0" shapeId="0" xr:uid="{C4DAAEEA-891F-4C0A-A5F7-4D55C27F1F26}">
      <text>
        <r>
          <rPr>
            <b/>
            <sz val="9"/>
            <color indexed="81"/>
            <rFont val="Tahoma"/>
            <family val="2"/>
          </rPr>
          <t>Potter, Daniel:</t>
        </r>
        <r>
          <rPr>
            <sz val="9"/>
            <color indexed="81"/>
            <rFont val="Tahoma"/>
            <family val="2"/>
          </rPr>
          <t xml:space="preserve">
01/23-06/23 ty Actuals.  See Sales for Resales file. </t>
        </r>
      </text>
    </comment>
    <comment ref="A647" authorId="1" shapeId="0" xr:uid="{00000000-0006-0000-0500-000077190000}">
      <text>
        <r>
          <rPr>
            <b/>
            <sz val="8"/>
            <color indexed="81"/>
            <rFont val="Tahoma"/>
            <family val="2"/>
          </rPr>
          <t>Craig Kieny:</t>
        </r>
        <r>
          <rPr>
            <sz val="8"/>
            <color indexed="81"/>
            <rFont val="Tahoma"/>
            <family val="2"/>
          </rPr>
          <t xml:space="preserve">
Based on dated provided by VPPSA.</t>
        </r>
      </text>
    </comment>
    <comment ref="C647" authorId="0" shapeId="0" xr:uid="{E82DD2EB-57DB-48FC-BDE5-B48624EBCD47}">
      <text>
        <r>
          <rPr>
            <b/>
            <sz val="9"/>
            <color indexed="81"/>
            <rFont val="Tahoma"/>
            <family val="2"/>
          </rPr>
          <t>Potter, Daniel:</t>
        </r>
        <r>
          <rPr>
            <sz val="9"/>
            <color indexed="81"/>
            <rFont val="Tahoma"/>
            <family val="2"/>
          </rPr>
          <t xml:space="preserve">
07/22-06/23 TY Actuals.</t>
        </r>
      </text>
    </comment>
    <comment ref="D647" authorId="0" shapeId="0" xr:uid="{66F61EDA-DE02-4F44-A8E3-921138788ABF}">
      <text>
        <r>
          <rPr>
            <b/>
            <sz val="9"/>
            <color indexed="81"/>
            <rFont val="Tahoma"/>
            <family val="2"/>
          </rPr>
          <t>Potter, Daniel:</t>
        </r>
        <r>
          <rPr>
            <sz val="9"/>
            <color indexed="81"/>
            <rFont val="Tahoma"/>
            <family val="2"/>
          </rPr>
          <t xml:space="preserve">
07/22-06/23 TY Actuals.</t>
        </r>
      </text>
    </comment>
    <comment ref="E647" authorId="0" shapeId="0" xr:uid="{3D685229-F0E4-40E0-B608-DFBDD7BB7797}">
      <text>
        <r>
          <rPr>
            <b/>
            <sz val="9"/>
            <color indexed="81"/>
            <rFont val="Tahoma"/>
            <family val="2"/>
          </rPr>
          <t>Potter, Daniel:</t>
        </r>
        <r>
          <rPr>
            <sz val="9"/>
            <color indexed="81"/>
            <rFont val="Tahoma"/>
            <family val="2"/>
          </rPr>
          <t xml:space="preserve">
07/22-06/23 TY Actuals.</t>
        </r>
      </text>
    </comment>
    <comment ref="F647" authorId="0" shapeId="0" xr:uid="{F2689ED3-1041-4E97-9F6E-2FEF3470BAAD}">
      <text>
        <r>
          <rPr>
            <b/>
            <sz val="9"/>
            <color indexed="81"/>
            <rFont val="Tahoma"/>
            <family val="2"/>
          </rPr>
          <t>Potter, Daniel:</t>
        </r>
        <r>
          <rPr>
            <sz val="9"/>
            <color indexed="81"/>
            <rFont val="Tahoma"/>
            <family val="2"/>
          </rPr>
          <t xml:space="preserve">
07/22-06/23 TY Actuals.</t>
        </r>
      </text>
    </comment>
    <comment ref="G647" authorId="0" shapeId="0" xr:uid="{70AB60A1-6D5F-4D49-BE1B-B00B659E8390}">
      <text>
        <r>
          <rPr>
            <b/>
            <sz val="9"/>
            <color indexed="81"/>
            <rFont val="Tahoma"/>
            <family val="2"/>
          </rPr>
          <t>Potter, Daniel:</t>
        </r>
        <r>
          <rPr>
            <sz val="9"/>
            <color indexed="81"/>
            <rFont val="Tahoma"/>
            <family val="2"/>
          </rPr>
          <t xml:space="preserve">
07/22-06/23 TY Actuals.</t>
        </r>
      </text>
    </comment>
    <comment ref="H647" authorId="0" shapeId="0" xr:uid="{C8675406-D22D-457E-987A-C8BE606E8FA7}">
      <text>
        <r>
          <rPr>
            <b/>
            <sz val="9"/>
            <color indexed="81"/>
            <rFont val="Tahoma"/>
            <family val="2"/>
          </rPr>
          <t>Potter, Daniel:</t>
        </r>
        <r>
          <rPr>
            <sz val="9"/>
            <color indexed="81"/>
            <rFont val="Tahoma"/>
            <family val="2"/>
          </rPr>
          <t xml:space="preserve">
07/22-06/23 TY Actuals.</t>
        </r>
      </text>
    </comment>
    <comment ref="I647" authorId="0" shapeId="0" xr:uid="{31EA98C9-9B39-4538-9208-F95A9C7DE14F}">
      <text>
        <r>
          <rPr>
            <b/>
            <sz val="9"/>
            <color indexed="81"/>
            <rFont val="Tahoma"/>
            <family val="2"/>
          </rPr>
          <t>Potter, Daniel:</t>
        </r>
        <r>
          <rPr>
            <sz val="9"/>
            <color indexed="81"/>
            <rFont val="Tahoma"/>
            <family val="2"/>
          </rPr>
          <t xml:space="preserve">
07/22-06/23 TY Actuals.</t>
        </r>
      </text>
    </comment>
    <comment ref="J647" authorId="0" shapeId="0" xr:uid="{13380584-0513-4B03-A24B-872C0DDBDA00}">
      <text>
        <r>
          <rPr>
            <b/>
            <sz val="9"/>
            <color indexed="81"/>
            <rFont val="Tahoma"/>
            <family val="2"/>
          </rPr>
          <t>Potter, Daniel:</t>
        </r>
        <r>
          <rPr>
            <sz val="9"/>
            <color indexed="81"/>
            <rFont val="Tahoma"/>
            <family val="2"/>
          </rPr>
          <t xml:space="preserve">
07/22-06/23 TY Actuals.</t>
        </r>
      </text>
    </comment>
    <comment ref="K647" authorId="0" shapeId="0" xr:uid="{1E0B2678-FB9D-4BC4-BBFD-6576ECD3BEE7}">
      <text>
        <r>
          <rPr>
            <b/>
            <sz val="9"/>
            <color indexed="81"/>
            <rFont val="Tahoma"/>
            <family val="2"/>
          </rPr>
          <t>Potter, Daniel:</t>
        </r>
        <r>
          <rPr>
            <sz val="9"/>
            <color indexed="81"/>
            <rFont val="Tahoma"/>
            <family val="2"/>
          </rPr>
          <t xml:space="preserve">
07/22-06/23 TY Actuals.</t>
        </r>
      </text>
    </comment>
    <comment ref="L647" authorId="0" shapeId="0" xr:uid="{8ADADD7F-17DC-42F4-9E59-D9CEC9547D22}">
      <text>
        <r>
          <rPr>
            <b/>
            <sz val="9"/>
            <color indexed="81"/>
            <rFont val="Tahoma"/>
            <family val="2"/>
          </rPr>
          <t>Potter, Daniel:</t>
        </r>
        <r>
          <rPr>
            <sz val="9"/>
            <color indexed="81"/>
            <rFont val="Tahoma"/>
            <family val="2"/>
          </rPr>
          <t xml:space="preserve">
07/22-06/23 TY Actuals.</t>
        </r>
      </text>
    </comment>
    <comment ref="M647" authorId="0" shapeId="0" xr:uid="{A4A44542-DCE5-42E2-92CE-75D04D8E26B8}">
      <text>
        <r>
          <rPr>
            <b/>
            <sz val="9"/>
            <color indexed="81"/>
            <rFont val="Tahoma"/>
            <family val="2"/>
          </rPr>
          <t>Potter, Daniel:</t>
        </r>
        <r>
          <rPr>
            <sz val="9"/>
            <color indexed="81"/>
            <rFont val="Tahoma"/>
            <family val="2"/>
          </rPr>
          <t xml:space="preserve">
07/22-06/23 TY Actuals.</t>
        </r>
      </text>
    </comment>
    <comment ref="N647" authorId="0" shapeId="0" xr:uid="{50A5386E-CFBD-4155-97B6-369B4DE99647}">
      <text>
        <r>
          <rPr>
            <b/>
            <sz val="9"/>
            <color indexed="81"/>
            <rFont val="Tahoma"/>
            <family val="2"/>
          </rPr>
          <t>Potter, Daniel:</t>
        </r>
        <r>
          <rPr>
            <sz val="9"/>
            <color indexed="81"/>
            <rFont val="Tahoma"/>
            <family val="2"/>
          </rPr>
          <t xml:space="preserve">
07/22-06/23 TY Actuals.</t>
        </r>
      </text>
    </comment>
    <comment ref="O647" authorId="0" shapeId="0" xr:uid="{A94631C4-610F-4F96-B64F-F346FE9FDC92}">
      <text>
        <r>
          <rPr>
            <b/>
            <sz val="9"/>
            <color indexed="81"/>
            <rFont val="Tahoma"/>
            <family val="2"/>
          </rPr>
          <t>Potter, Daniel:</t>
        </r>
        <r>
          <rPr>
            <sz val="9"/>
            <color indexed="81"/>
            <rFont val="Tahoma"/>
            <family val="2"/>
          </rPr>
          <t xml:space="preserve">
TY Actuals. 07/23-06/24</t>
        </r>
      </text>
    </comment>
    <comment ref="P647" authorId="0" shapeId="0" xr:uid="{718E737B-A36F-49BD-B8BF-A2AF2029A2F4}">
      <text>
        <r>
          <rPr>
            <b/>
            <sz val="9"/>
            <color indexed="81"/>
            <rFont val="Tahoma"/>
            <family val="2"/>
          </rPr>
          <t>Potter, Daniel:</t>
        </r>
        <r>
          <rPr>
            <sz val="9"/>
            <color indexed="81"/>
            <rFont val="Tahoma"/>
            <family val="2"/>
          </rPr>
          <t xml:space="preserve">
TY Actuals. 07/23-06/24</t>
        </r>
      </text>
    </comment>
    <comment ref="Q647" authorId="0" shapeId="0" xr:uid="{0B7CED54-6B87-437B-90CE-A1501745F561}">
      <text>
        <r>
          <rPr>
            <b/>
            <sz val="9"/>
            <color indexed="81"/>
            <rFont val="Tahoma"/>
            <family val="2"/>
          </rPr>
          <t>Potter, Daniel:</t>
        </r>
        <r>
          <rPr>
            <sz val="9"/>
            <color indexed="81"/>
            <rFont val="Tahoma"/>
            <family val="2"/>
          </rPr>
          <t xml:space="preserve">
TY Actuals. 07/23-06/24</t>
        </r>
      </text>
    </comment>
    <comment ref="R647" authorId="0" shapeId="0" xr:uid="{DD8FB9C6-1051-47BF-A831-40AC76E4FD42}">
      <text>
        <r>
          <rPr>
            <b/>
            <sz val="9"/>
            <color indexed="81"/>
            <rFont val="Tahoma"/>
            <family val="2"/>
          </rPr>
          <t>Potter, Daniel:</t>
        </r>
        <r>
          <rPr>
            <sz val="9"/>
            <color indexed="81"/>
            <rFont val="Tahoma"/>
            <family val="2"/>
          </rPr>
          <t xml:space="preserve">
TY Actuals. 07/23-06/24</t>
        </r>
      </text>
    </comment>
    <comment ref="S647" authorId="0" shapeId="0" xr:uid="{DCACB853-D4EA-443C-9C6F-D3D869613A26}">
      <text>
        <r>
          <rPr>
            <b/>
            <sz val="9"/>
            <color indexed="81"/>
            <rFont val="Tahoma"/>
            <family val="2"/>
          </rPr>
          <t>Potter, Daniel:</t>
        </r>
        <r>
          <rPr>
            <sz val="9"/>
            <color indexed="81"/>
            <rFont val="Tahoma"/>
            <family val="2"/>
          </rPr>
          <t xml:space="preserve">
TY Actuals. 07/23-06/24</t>
        </r>
      </text>
    </comment>
    <comment ref="T647" authorId="0" shapeId="0" xr:uid="{B35D4091-AEB1-46EA-9265-1999FD409A81}">
      <text>
        <r>
          <rPr>
            <b/>
            <sz val="9"/>
            <color indexed="81"/>
            <rFont val="Tahoma"/>
            <family val="2"/>
          </rPr>
          <t>Potter, Daniel:</t>
        </r>
        <r>
          <rPr>
            <sz val="9"/>
            <color indexed="81"/>
            <rFont val="Tahoma"/>
            <family val="2"/>
          </rPr>
          <t xml:space="preserve">
TY Actuals. 07/23-06/24</t>
        </r>
      </text>
    </comment>
    <comment ref="U647" authorId="0" shapeId="0" xr:uid="{49C8EB37-6D6C-4F3E-BB5D-A1164BAD5D0C}">
      <text>
        <r>
          <rPr>
            <b/>
            <sz val="9"/>
            <color indexed="81"/>
            <rFont val="Tahoma"/>
            <family val="2"/>
          </rPr>
          <t>Potter, Daniel:</t>
        </r>
        <r>
          <rPr>
            <sz val="9"/>
            <color indexed="81"/>
            <rFont val="Tahoma"/>
            <family val="2"/>
          </rPr>
          <t xml:space="preserve">
TY Actuals. 07/23-06/24</t>
        </r>
      </text>
    </comment>
    <comment ref="V647" authorId="0" shapeId="0" xr:uid="{03309819-D53B-41AD-A85B-D138A117E664}">
      <text>
        <r>
          <rPr>
            <b/>
            <sz val="9"/>
            <color indexed="81"/>
            <rFont val="Tahoma"/>
            <family val="2"/>
          </rPr>
          <t>Potter, Daniel:</t>
        </r>
        <r>
          <rPr>
            <sz val="9"/>
            <color indexed="81"/>
            <rFont val="Tahoma"/>
            <family val="2"/>
          </rPr>
          <t xml:space="preserve">
TY Actuals. 07/23-06/24</t>
        </r>
      </text>
    </comment>
    <comment ref="W647" authorId="0" shapeId="0" xr:uid="{5854F049-D766-4014-90B6-D03DA4455835}">
      <text>
        <r>
          <rPr>
            <b/>
            <sz val="9"/>
            <color indexed="81"/>
            <rFont val="Tahoma"/>
            <family val="2"/>
          </rPr>
          <t>Potter, Daniel:</t>
        </r>
        <r>
          <rPr>
            <sz val="9"/>
            <color indexed="81"/>
            <rFont val="Tahoma"/>
            <family val="2"/>
          </rPr>
          <t xml:space="preserve">
TY Actuals. 07/23-06/24</t>
        </r>
      </text>
    </comment>
    <comment ref="X647" authorId="0" shapeId="0" xr:uid="{8D56DF2F-AA68-4607-A4FF-AFB5C8383CF9}">
      <text>
        <r>
          <rPr>
            <b/>
            <sz val="9"/>
            <color indexed="81"/>
            <rFont val="Tahoma"/>
            <family val="2"/>
          </rPr>
          <t>Potter, Daniel:</t>
        </r>
        <r>
          <rPr>
            <sz val="9"/>
            <color indexed="81"/>
            <rFont val="Tahoma"/>
            <family val="2"/>
          </rPr>
          <t xml:space="preserve">
TY Actuals. 07/23-06/24</t>
        </r>
      </text>
    </comment>
    <comment ref="Y647" authorId="0" shapeId="0" xr:uid="{AACD54F9-74B0-42F4-B01C-D2755BD4C369}">
      <text>
        <r>
          <rPr>
            <b/>
            <sz val="9"/>
            <color indexed="81"/>
            <rFont val="Tahoma"/>
            <family val="2"/>
          </rPr>
          <t>Potter, Daniel:</t>
        </r>
        <r>
          <rPr>
            <sz val="9"/>
            <color indexed="81"/>
            <rFont val="Tahoma"/>
            <family val="2"/>
          </rPr>
          <t xml:space="preserve">
TY Actuals. 07/23-06/24</t>
        </r>
      </text>
    </comment>
    <comment ref="Z647" authorId="0" shapeId="0" xr:uid="{9D73AF8F-97C8-40D1-BD9D-0B8E5AEC5EBD}">
      <text>
        <r>
          <rPr>
            <b/>
            <sz val="9"/>
            <color indexed="81"/>
            <rFont val="Tahoma"/>
            <family val="2"/>
          </rPr>
          <t>Potter, Daniel:</t>
        </r>
        <r>
          <rPr>
            <sz val="9"/>
            <color indexed="81"/>
            <rFont val="Tahoma"/>
            <family val="2"/>
          </rPr>
          <t xml:space="preserve">
TY Actuals. 07/23-06/24</t>
        </r>
      </text>
    </comment>
    <comment ref="A648" authorId="1" shapeId="0" xr:uid="{00000000-0006-0000-0500-0000B4190000}">
      <text>
        <r>
          <rPr>
            <b/>
            <sz val="8"/>
            <color indexed="81"/>
            <rFont val="Tahoma"/>
            <family val="2"/>
          </rPr>
          <t>Craig Kieny:</t>
        </r>
        <r>
          <rPr>
            <sz val="8"/>
            <color indexed="81"/>
            <rFont val="Tahoma"/>
            <family val="2"/>
          </rPr>
          <t xml:space="preserve">
Based on dated provided by VPPSA.</t>
        </r>
      </text>
    </comment>
    <comment ref="C650" authorId="0" shapeId="0" xr:uid="{AF1F7690-7ED2-4053-91FA-1DEBEA00490D}">
      <text>
        <r>
          <rPr>
            <b/>
            <sz val="9"/>
            <color indexed="81"/>
            <rFont val="Tahoma"/>
            <family val="2"/>
          </rPr>
          <t>Potter, Daniel:</t>
        </r>
        <r>
          <rPr>
            <sz val="9"/>
            <color indexed="81"/>
            <rFont val="Tahoma"/>
            <family val="2"/>
          </rPr>
          <t xml:space="preserve">
Based on P10 CY Budget file from VPPSA.  See </t>
        </r>
        <r>
          <rPr>
            <i/>
            <sz val="9"/>
            <color indexed="81"/>
            <rFont val="Tahoma"/>
            <family val="2"/>
          </rPr>
          <t xml:space="preserve">P10 2024 CY Budget </t>
        </r>
        <r>
          <rPr>
            <sz val="9"/>
            <color indexed="81"/>
            <rFont val="Tahoma"/>
            <family val="2"/>
          </rPr>
          <t xml:space="preserve">for backup. </t>
        </r>
      </text>
    </comment>
    <comment ref="C651" authorId="0" shapeId="0" xr:uid="{9A958C76-EAD7-4319-9109-ED91196E1D85}">
      <text>
        <r>
          <rPr>
            <b/>
            <sz val="9"/>
            <color indexed="81"/>
            <rFont val="Tahoma"/>
            <family val="2"/>
          </rPr>
          <t>Potter, Daniel:</t>
        </r>
        <r>
          <rPr>
            <sz val="9"/>
            <color indexed="81"/>
            <rFont val="Tahoma"/>
            <family val="2"/>
          </rPr>
          <t xml:space="preserve">
Based on P10 CY Budget file from VPPSA.  See </t>
        </r>
        <r>
          <rPr>
            <i/>
            <sz val="9"/>
            <color indexed="81"/>
            <rFont val="Tahoma"/>
            <family val="2"/>
          </rPr>
          <t xml:space="preserve">P10 2024 CY Budget </t>
        </r>
        <r>
          <rPr>
            <sz val="9"/>
            <color indexed="81"/>
            <rFont val="Tahoma"/>
            <family val="2"/>
          </rPr>
          <t xml:space="preserve">for backup. </t>
        </r>
      </text>
    </comment>
    <comment ref="C652" authorId="0" shapeId="0" xr:uid="{C841F03D-2FD5-440B-9209-16321476CE07}">
      <text>
        <r>
          <rPr>
            <b/>
            <sz val="9"/>
            <color indexed="81"/>
            <rFont val="Tahoma"/>
            <family val="2"/>
          </rPr>
          <t>Potter, Daniel:</t>
        </r>
        <r>
          <rPr>
            <sz val="9"/>
            <color indexed="81"/>
            <rFont val="Tahoma"/>
            <family val="2"/>
          </rPr>
          <t xml:space="preserve">
Based on P10 CY Budget file from VPPSA.  See </t>
        </r>
        <r>
          <rPr>
            <i/>
            <sz val="9"/>
            <color indexed="81"/>
            <rFont val="Tahoma"/>
            <family val="2"/>
          </rPr>
          <t xml:space="preserve">P10 2024 CY Budget </t>
        </r>
        <r>
          <rPr>
            <sz val="9"/>
            <color indexed="81"/>
            <rFont val="Tahoma"/>
            <family val="2"/>
          </rPr>
          <t xml:space="preserve">for backup. </t>
        </r>
      </text>
    </comment>
    <comment ref="A653" authorId="1" shapeId="0" xr:uid="{00000000-0006-0000-0500-0000141A0000}">
      <text>
        <r>
          <rPr>
            <b/>
            <sz val="8"/>
            <color indexed="81"/>
            <rFont val="Tahoma"/>
            <family val="2"/>
          </rPr>
          <t>Craig Kieny:</t>
        </r>
        <r>
          <rPr>
            <sz val="8"/>
            <color indexed="81"/>
            <rFont val="Tahoma"/>
            <family val="2"/>
          </rPr>
          <t xml:space="preserve">
Based on dated provided by VPPSA.  Based on $112,061 annual Principal and Interest Payments allocated evenly across 12 months.</t>
        </r>
      </text>
    </comment>
    <comment ref="O660" authorId="0" shapeId="0" xr:uid="{A636585C-DEA9-4706-AF8A-FF7B1F2D5FF2}">
      <text>
        <r>
          <rPr>
            <b/>
            <sz val="9"/>
            <color indexed="81"/>
            <rFont val="Tahoma"/>
            <family val="2"/>
          </rPr>
          <t>Potter, Daniel:</t>
        </r>
        <r>
          <rPr>
            <sz val="9"/>
            <color indexed="81"/>
            <rFont val="Tahoma"/>
            <family val="2"/>
          </rPr>
          <t xml:space="preserve">
TY Actuals</t>
        </r>
      </text>
    </comment>
    <comment ref="C712" authorId="0" shapeId="0" xr:uid="{22974FA1-ADB8-49A8-9A7D-F14CADDEC75C}">
      <text>
        <r>
          <rPr>
            <b/>
            <sz val="9"/>
            <color indexed="81"/>
            <rFont val="Tahoma"/>
            <family val="2"/>
          </rPr>
          <t>Potter, Daniel:</t>
        </r>
        <r>
          <rPr>
            <sz val="9"/>
            <color indexed="81"/>
            <rFont val="Tahoma"/>
            <family val="2"/>
          </rPr>
          <t xml:space="preserve">
See "DRAFT New (Single File) Format for 2024 Budget - 2023 09 13</t>
        </r>
      </text>
    </comment>
    <comment ref="D712" authorId="0" shapeId="0" xr:uid="{7F452370-49F6-453E-A571-3B7E7988D454}">
      <text>
        <r>
          <rPr>
            <b/>
            <sz val="9"/>
            <color indexed="81"/>
            <rFont val="Tahoma"/>
            <family val="2"/>
          </rPr>
          <t>Potter, Daniel:</t>
        </r>
        <r>
          <rPr>
            <sz val="9"/>
            <color indexed="81"/>
            <rFont val="Tahoma"/>
            <family val="2"/>
          </rPr>
          <t xml:space="preserve">
See "DRAFT New (Single File) Format for 2024 Budget - 2023 09 13</t>
        </r>
      </text>
    </comment>
    <comment ref="E712" authorId="0" shapeId="0" xr:uid="{4F77F50D-6DA2-4DF2-A978-C22341455AFD}">
      <text>
        <r>
          <rPr>
            <b/>
            <sz val="9"/>
            <color indexed="81"/>
            <rFont val="Tahoma"/>
            <family val="2"/>
          </rPr>
          <t>Potter, Daniel:</t>
        </r>
        <r>
          <rPr>
            <sz val="9"/>
            <color indexed="81"/>
            <rFont val="Tahoma"/>
            <family val="2"/>
          </rPr>
          <t xml:space="preserve">
See "DRAFT New (Single File) Format for 2024 Budget - 2023 09 13</t>
        </r>
      </text>
    </comment>
    <comment ref="F712" authorId="0" shapeId="0" xr:uid="{A9EC5742-BD08-49F0-A9D2-BBDAA582C0FE}">
      <text>
        <r>
          <rPr>
            <b/>
            <sz val="9"/>
            <color indexed="81"/>
            <rFont val="Tahoma"/>
            <family val="2"/>
          </rPr>
          <t>Potter, Daniel:</t>
        </r>
        <r>
          <rPr>
            <sz val="9"/>
            <color indexed="81"/>
            <rFont val="Tahoma"/>
            <family val="2"/>
          </rPr>
          <t xml:space="preserve">
See "DRAFT New (Single File) Format for 2024 Budget - 2023 09 13</t>
        </r>
      </text>
    </comment>
    <comment ref="G712" authorId="0" shapeId="0" xr:uid="{BC443761-7A83-4A99-B35B-EE0A93C4E55E}">
      <text>
        <r>
          <rPr>
            <b/>
            <sz val="9"/>
            <color indexed="81"/>
            <rFont val="Tahoma"/>
            <family val="2"/>
          </rPr>
          <t>Potter, Daniel:</t>
        </r>
        <r>
          <rPr>
            <sz val="9"/>
            <color indexed="81"/>
            <rFont val="Tahoma"/>
            <family val="2"/>
          </rPr>
          <t xml:space="preserve">
See "DRAFT New (Single File) Format for 2024 Budget - 2023 09 13</t>
        </r>
      </text>
    </comment>
    <comment ref="H712" authorId="0" shapeId="0" xr:uid="{4E3854B4-61D5-4CAD-B659-ADFF2D7F3119}">
      <text>
        <r>
          <rPr>
            <b/>
            <sz val="9"/>
            <color indexed="81"/>
            <rFont val="Tahoma"/>
            <family val="2"/>
          </rPr>
          <t>Potter, Daniel:</t>
        </r>
        <r>
          <rPr>
            <sz val="9"/>
            <color indexed="81"/>
            <rFont val="Tahoma"/>
            <family val="2"/>
          </rPr>
          <t xml:space="preserve">
See "DRAFT New (Single File) Format for 2024 Budget - 2023 09 13</t>
        </r>
      </text>
    </comment>
    <comment ref="I712" authorId="0" shapeId="0" xr:uid="{90C9B5C5-5D42-41B2-BA2B-2FBD2A296FFC}">
      <text>
        <r>
          <rPr>
            <b/>
            <sz val="9"/>
            <color indexed="81"/>
            <rFont val="Tahoma"/>
            <family val="2"/>
          </rPr>
          <t>Potter, Daniel:</t>
        </r>
        <r>
          <rPr>
            <sz val="9"/>
            <color indexed="81"/>
            <rFont val="Tahoma"/>
            <family val="2"/>
          </rPr>
          <t xml:space="preserve">
See "DRAFT New (Single File) Format for 2024 Budget - 2023 09 13</t>
        </r>
      </text>
    </comment>
    <comment ref="J712" authorId="0" shapeId="0" xr:uid="{5CB116DC-C0E1-4055-A52F-A40CFD201D93}">
      <text>
        <r>
          <rPr>
            <b/>
            <sz val="9"/>
            <color indexed="81"/>
            <rFont val="Tahoma"/>
            <family val="2"/>
          </rPr>
          <t>Potter, Daniel:</t>
        </r>
        <r>
          <rPr>
            <sz val="9"/>
            <color indexed="81"/>
            <rFont val="Tahoma"/>
            <family val="2"/>
          </rPr>
          <t xml:space="preserve">
See "DRAFT New (Single File) Format for 2024 Budget - 2023 09 13</t>
        </r>
      </text>
    </comment>
    <comment ref="K712" authorId="0" shapeId="0" xr:uid="{EB1FF32D-5553-41D7-B354-E456ABEC73A2}">
      <text>
        <r>
          <rPr>
            <b/>
            <sz val="9"/>
            <color indexed="81"/>
            <rFont val="Tahoma"/>
            <family val="2"/>
          </rPr>
          <t>Potter, Daniel:</t>
        </r>
        <r>
          <rPr>
            <sz val="9"/>
            <color indexed="81"/>
            <rFont val="Tahoma"/>
            <family val="2"/>
          </rPr>
          <t xml:space="preserve">
See "DRAFT New (Single File) Format for 2024 Budget - 2023 09 13</t>
        </r>
      </text>
    </comment>
    <comment ref="L712" authorId="0" shapeId="0" xr:uid="{EF26F091-72D9-4057-A575-7C2C63400171}">
      <text>
        <r>
          <rPr>
            <b/>
            <sz val="9"/>
            <color indexed="81"/>
            <rFont val="Tahoma"/>
            <family val="2"/>
          </rPr>
          <t>Potter, Daniel:</t>
        </r>
        <r>
          <rPr>
            <sz val="9"/>
            <color indexed="81"/>
            <rFont val="Tahoma"/>
            <family val="2"/>
          </rPr>
          <t xml:space="preserve">
See "DRAFT New (Single File) Format for 2024 Budget - 2023 09 13</t>
        </r>
      </text>
    </comment>
    <comment ref="M712" authorId="0" shapeId="0" xr:uid="{DC275A3E-73D9-4276-9C30-6FC5B1B04B66}">
      <text>
        <r>
          <rPr>
            <b/>
            <sz val="9"/>
            <color indexed="81"/>
            <rFont val="Tahoma"/>
            <family val="2"/>
          </rPr>
          <t>Potter, Daniel:</t>
        </r>
        <r>
          <rPr>
            <sz val="9"/>
            <color indexed="81"/>
            <rFont val="Tahoma"/>
            <family val="2"/>
          </rPr>
          <t xml:space="preserve">
See "DRAFT New (Single File) Format for 2024 Budget - 2023 09 13</t>
        </r>
      </text>
    </comment>
    <comment ref="N712" authorId="0" shapeId="0" xr:uid="{9B3FD579-3EBA-4383-8029-28D9462E4212}">
      <text>
        <r>
          <rPr>
            <b/>
            <sz val="9"/>
            <color indexed="81"/>
            <rFont val="Tahoma"/>
            <family val="2"/>
          </rPr>
          <t>Potter, Daniel:</t>
        </r>
        <r>
          <rPr>
            <sz val="9"/>
            <color indexed="81"/>
            <rFont val="Tahoma"/>
            <family val="2"/>
          </rPr>
          <t xml:space="preserve">
See "DRAFT New (Single File) Format for 2024 Budget - 2023 09 13</t>
        </r>
      </text>
    </comment>
    <comment ref="C713" authorId="0" shapeId="0" xr:uid="{2A3D2A20-E5C9-4FA0-9F6B-F04FF767A6B3}">
      <text>
        <r>
          <rPr>
            <b/>
            <sz val="9"/>
            <color indexed="81"/>
            <rFont val="Tahoma"/>
            <family val="2"/>
          </rPr>
          <t>Potter, Daniel:</t>
        </r>
        <r>
          <rPr>
            <sz val="9"/>
            <color indexed="81"/>
            <rFont val="Tahoma"/>
            <family val="2"/>
          </rPr>
          <t xml:space="preserve">
See "DRAFT New (Single File) Format for 2024 Budget - 2023 09 13</t>
        </r>
      </text>
    </comment>
    <comment ref="D713" authorId="0" shapeId="0" xr:uid="{871FCCE5-CBBC-44B3-B67F-1B5EB80604C1}">
      <text>
        <r>
          <rPr>
            <b/>
            <sz val="9"/>
            <color indexed="81"/>
            <rFont val="Tahoma"/>
            <family val="2"/>
          </rPr>
          <t>Potter, Daniel:</t>
        </r>
        <r>
          <rPr>
            <sz val="9"/>
            <color indexed="81"/>
            <rFont val="Tahoma"/>
            <family val="2"/>
          </rPr>
          <t xml:space="preserve">
See "DRAFT New (Single File) Format for 2024 Budget - 2023 09 13</t>
        </r>
      </text>
    </comment>
    <comment ref="E713" authorId="0" shapeId="0" xr:uid="{A35F1042-D732-4B77-9CC4-458E6A0C1EFB}">
      <text>
        <r>
          <rPr>
            <b/>
            <sz val="9"/>
            <color indexed="81"/>
            <rFont val="Tahoma"/>
            <family val="2"/>
          </rPr>
          <t>Potter, Daniel:</t>
        </r>
        <r>
          <rPr>
            <sz val="9"/>
            <color indexed="81"/>
            <rFont val="Tahoma"/>
            <family val="2"/>
          </rPr>
          <t xml:space="preserve">
See "DRAFT New (Single File) Format for 2024 Budget - 2023 09 13</t>
        </r>
      </text>
    </comment>
    <comment ref="F713" authorId="0" shapeId="0" xr:uid="{1515BA1B-DA97-4BEC-943C-17AEF646F7E9}">
      <text>
        <r>
          <rPr>
            <b/>
            <sz val="9"/>
            <color indexed="81"/>
            <rFont val="Tahoma"/>
            <family val="2"/>
          </rPr>
          <t>Potter, Daniel:</t>
        </r>
        <r>
          <rPr>
            <sz val="9"/>
            <color indexed="81"/>
            <rFont val="Tahoma"/>
            <family val="2"/>
          </rPr>
          <t xml:space="preserve">
See "DRAFT New (Single File) Format for 2024 Budget - 2023 09 13</t>
        </r>
      </text>
    </comment>
    <comment ref="G713" authorId="0" shapeId="0" xr:uid="{F9CAF2A1-7824-4B0C-99F4-AD369BDF02AB}">
      <text>
        <r>
          <rPr>
            <b/>
            <sz val="9"/>
            <color indexed="81"/>
            <rFont val="Tahoma"/>
            <family val="2"/>
          </rPr>
          <t>Potter, Daniel:</t>
        </r>
        <r>
          <rPr>
            <sz val="9"/>
            <color indexed="81"/>
            <rFont val="Tahoma"/>
            <family val="2"/>
          </rPr>
          <t xml:space="preserve">
See "DRAFT New (Single File) Format for 2024 Budget - 2023 09 13</t>
        </r>
      </text>
    </comment>
    <comment ref="H713" authorId="0" shapeId="0" xr:uid="{B9CD7084-8037-41A8-87D8-3A771667FFC3}">
      <text>
        <r>
          <rPr>
            <b/>
            <sz val="9"/>
            <color indexed="81"/>
            <rFont val="Tahoma"/>
            <family val="2"/>
          </rPr>
          <t>Potter, Daniel:</t>
        </r>
        <r>
          <rPr>
            <sz val="9"/>
            <color indexed="81"/>
            <rFont val="Tahoma"/>
            <family val="2"/>
          </rPr>
          <t xml:space="preserve">
See "DRAFT New (Single File) Format for 2024 Budget - 2023 09 13</t>
        </r>
      </text>
    </comment>
    <comment ref="I713" authorId="0" shapeId="0" xr:uid="{EFC1DB8B-4F66-433E-992E-49A212EFF4C6}">
      <text>
        <r>
          <rPr>
            <b/>
            <sz val="9"/>
            <color indexed="81"/>
            <rFont val="Tahoma"/>
            <family val="2"/>
          </rPr>
          <t>Potter, Daniel:</t>
        </r>
        <r>
          <rPr>
            <sz val="9"/>
            <color indexed="81"/>
            <rFont val="Tahoma"/>
            <family val="2"/>
          </rPr>
          <t xml:space="preserve">
See "DRAFT New (Single File) Format for 2024 Budget - 2023 09 13</t>
        </r>
      </text>
    </comment>
    <comment ref="J713" authorId="0" shapeId="0" xr:uid="{DB016F0B-18A0-422F-8164-FEAE0F89CF21}">
      <text>
        <r>
          <rPr>
            <b/>
            <sz val="9"/>
            <color indexed="81"/>
            <rFont val="Tahoma"/>
            <family val="2"/>
          </rPr>
          <t>Potter, Daniel:</t>
        </r>
        <r>
          <rPr>
            <sz val="9"/>
            <color indexed="81"/>
            <rFont val="Tahoma"/>
            <family val="2"/>
          </rPr>
          <t xml:space="preserve">
See "DRAFT New (Single File) Format for 2024 Budget - 2023 09 13</t>
        </r>
      </text>
    </comment>
    <comment ref="K713" authorId="0" shapeId="0" xr:uid="{3FDB4045-F2EB-4123-A635-5916E9BE9142}">
      <text>
        <r>
          <rPr>
            <b/>
            <sz val="9"/>
            <color indexed="81"/>
            <rFont val="Tahoma"/>
            <family val="2"/>
          </rPr>
          <t>Potter, Daniel:</t>
        </r>
        <r>
          <rPr>
            <sz val="9"/>
            <color indexed="81"/>
            <rFont val="Tahoma"/>
            <family val="2"/>
          </rPr>
          <t xml:space="preserve">
See "DRAFT New (Single File) Format for 2024 Budget - 2023 09 13</t>
        </r>
      </text>
    </comment>
    <comment ref="L713" authorId="0" shapeId="0" xr:uid="{BEBC0D6F-FD1F-45D0-8D09-1400C84CB79D}">
      <text>
        <r>
          <rPr>
            <b/>
            <sz val="9"/>
            <color indexed="81"/>
            <rFont val="Tahoma"/>
            <family val="2"/>
          </rPr>
          <t>Potter, Daniel:</t>
        </r>
        <r>
          <rPr>
            <sz val="9"/>
            <color indexed="81"/>
            <rFont val="Tahoma"/>
            <family val="2"/>
          </rPr>
          <t xml:space="preserve">
See "DRAFT New (Single File) Format for 2024 Budget - 2023 09 13</t>
        </r>
      </text>
    </comment>
    <comment ref="M713" authorId="0" shapeId="0" xr:uid="{55AD01FC-3983-44E4-A491-D0C810EE3CC6}">
      <text>
        <r>
          <rPr>
            <b/>
            <sz val="9"/>
            <color indexed="81"/>
            <rFont val="Tahoma"/>
            <family val="2"/>
          </rPr>
          <t>Potter, Daniel:</t>
        </r>
        <r>
          <rPr>
            <sz val="9"/>
            <color indexed="81"/>
            <rFont val="Tahoma"/>
            <family val="2"/>
          </rPr>
          <t xml:space="preserve">
See "DRAFT New (Single File) Format for 2024 Budget - 2023 09 13</t>
        </r>
      </text>
    </comment>
    <comment ref="N713" authorId="0" shapeId="0" xr:uid="{021BFDB2-FEEB-46D9-B325-CDD801D01FEC}">
      <text>
        <r>
          <rPr>
            <b/>
            <sz val="9"/>
            <color indexed="81"/>
            <rFont val="Tahoma"/>
            <family val="2"/>
          </rPr>
          <t>Potter, Daniel:</t>
        </r>
        <r>
          <rPr>
            <sz val="9"/>
            <color indexed="81"/>
            <rFont val="Tahoma"/>
            <family val="2"/>
          </rPr>
          <t xml:space="preserve">
See "DRAFT New (Single File) Format for 2024 Budget - 2023 09 13</t>
        </r>
      </text>
    </comment>
    <comment ref="C714" authorId="0" shapeId="0" xr:uid="{DB8C9040-45D9-4AB1-99D6-318A6AFD0B80}">
      <text>
        <r>
          <rPr>
            <b/>
            <sz val="9"/>
            <color indexed="81"/>
            <rFont val="Tahoma"/>
            <family val="2"/>
          </rPr>
          <t>Potter, Daniel:</t>
        </r>
        <r>
          <rPr>
            <sz val="9"/>
            <color indexed="81"/>
            <rFont val="Tahoma"/>
            <family val="2"/>
          </rPr>
          <t xml:space="preserve">
See "DRAFT New (Single File) Format for 2024 Budget - 2023 09 13</t>
        </r>
      </text>
    </comment>
    <comment ref="D714" authorId="0" shapeId="0" xr:uid="{5D30AEFF-ADAA-4BFE-B032-941EC99B598A}">
      <text>
        <r>
          <rPr>
            <b/>
            <sz val="9"/>
            <color indexed="81"/>
            <rFont val="Tahoma"/>
            <family val="2"/>
          </rPr>
          <t>Potter, Daniel:</t>
        </r>
        <r>
          <rPr>
            <sz val="9"/>
            <color indexed="81"/>
            <rFont val="Tahoma"/>
            <family val="2"/>
          </rPr>
          <t xml:space="preserve">
See "DRAFT New (Single File) Format for 2024 Budget - 2023 09 13</t>
        </r>
      </text>
    </comment>
    <comment ref="E714" authorId="0" shapeId="0" xr:uid="{514B38F1-9D5E-4BC1-B5D1-4EA958834B0A}">
      <text>
        <r>
          <rPr>
            <b/>
            <sz val="9"/>
            <color indexed="81"/>
            <rFont val="Tahoma"/>
            <family val="2"/>
          </rPr>
          <t>Potter, Daniel:</t>
        </r>
        <r>
          <rPr>
            <sz val="9"/>
            <color indexed="81"/>
            <rFont val="Tahoma"/>
            <family val="2"/>
          </rPr>
          <t xml:space="preserve">
See "DRAFT New (Single File) Format for 2024 Budget - 2023 09 13</t>
        </r>
      </text>
    </comment>
    <comment ref="F714" authorId="0" shapeId="0" xr:uid="{FA67BC9B-EB79-4AF1-BB8A-54A9C41B76D7}">
      <text>
        <r>
          <rPr>
            <b/>
            <sz val="9"/>
            <color indexed="81"/>
            <rFont val="Tahoma"/>
            <family val="2"/>
          </rPr>
          <t>Potter, Daniel:</t>
        </r>
        <r>
          <rPr>
            <sz val="9"/>
            <color indexed="81"/>
            <rFont val="Tahoma"/>
            <family val="2"/>
          </rPr>
          <t xml:space="preserve">
See "DRAFT New (Single File) Format for 2024 Budget - 2023 09 13</t>
        </r>
      </text>
    </comment>
    <comment ref="G714" authorId="0" shapeId="0" xr:uid="{1C9DE137-C382-4CC8-A99E-1F7C248739DD}">
      <text>
        <r>
          <rPr>
            <b/>
            <sz val="9"/>
            <color indexed="81"/>
            <rFont val="Tahoma"/>
            <family val="2"/>
          </rPr>
          <t>Potter, Daniel:</t>
        </r>
        <r>
          <rPr>
            <sz val="9"/>
            <color indexed="81"/>
            <rFont val="Tahoma"/>
            <family val="2"/>
          </rPr>
          <t xml:space="preserve">
See "DRAFT New (Single File) Format for 2024 Budget - 2023 09 13</t>
        </r>
      </text>
    </comment>
    <comment ref="H714" authorId="0" shapeId="0" xr:uid="{64F7D2A7-3CD4-427E-B445-15C142FBF97B}">
      <text>
        <r>
          <rPr>
            <b/>
            <sz val="9"/>
            <color indexed="81"/>
            <rFont val="Tahoma"/>
            <family val="2"/>
          </rPr>
          <t>Potter, Daniel:</t>
        </r>
        <r>
          <rPr>
            <sz val="9"/>
            <color indexed="81"/>
            <rFont val="Tahoma"/>
            <family val="2"/>
          </rPr>
          <t xml:space="preserve">
See "DRAFT New (Single File) Format for 2024 Budget - 2023 09 13</t>
        </r>
      </text>
    </comment>
    <comment ref="I714" authorId="0" shapeId="0" xr:uid="{50581AD2-3BE8-4440-88DF-15F917DCE0C1}">
      <text>
        <r>
          <rPr>
            <b/>
            <sz val="9"/>
            <color indexed="81"/>
            <rFont val="Tahoma"/>
            <family val="2"/>
          </rPr>
          <t>Potter, Daniel:</t>
        </r>
        <r>
          <rPr>
            <sz val="9"/>
            <color indexed="81"/>
            <rFont val="Tahoma"/>
            <family val="2"/>
          </rPr>
          <t xml:space="preserve">
See "DRAFT New (Single File) Format for 2024 Budget - 2023 09 13</t>
        </r>
      </text>
    </comment>
    <comment ref="J714" authorId="0" shapeId="0" xr:uid="{3508B80A-4DA3-421E-969F-8111CA582239}">
      <text>
        <r>
          <rPr>
            <b/>
            <sz val="9"/>
            <color indexed="81"/>
            <rFont val="Tahoma"/>
            <family val="2"/>
          </rPr>
          <t>Potter, Daniel:</t>
        </r>
        <r>
          <rPr>
            <sz val="9"/>
            <color indexed="81"/>
            <rFont val="Tahoma"/>
            <family val="2"/>
          </rPr>
          <t xml:space="preserve">
See "DRAFT New (Single File) Format for 2024 Budget - 2023 09 13</t>
        </r>
      </text>
    </comment>
    <comment ref="K714" authorId="0" shapeId="0" xr:uid="{3D41372F-6E8B-4C01-B9BC-075F4EFA96DD}">
      <text>
        <r>
          <rPr>
            <b/>
            <sz val="9"/>
            <color indexed="81"/>
            <rFont val="Tahoma"/>
            <family val="2"/>
          </rPr>
          <t>Potter, Daniel:</t>
        </r>
        <r>
          <rPr>
            <sz val="9"/>
            <color indexed="81"/>
            <rFont val="Tahoma"/>
            <family val="2"/>
          </rPr>
          <t xml:space="preserve">
See "DRAFT New (Single File) Format for 2024 Budget - 2023 09 13</t>
        </r>
      </text>
    </comment>
    <comment ref="L714" authorId="0" shapeId="0" xr:uid="{78962431-8E23-46A0-9765-337655C37E8C}">
      <text>
        <r>
          <rPr>
            <b/>
            <sz val="9"/>
            <color indexed="81"/>
            <rFont val="Tahoma"/>
            <family val="2"/>
          </rPr>
          <t>Potter, Daniel:</t>
        </r>
        <r>
          <rPr>
            <sz val="9"/>
            <color indexed="81"/>
            <rFont val="Tahoma"/>
            <family val="2"/>
          </rPr>
          <t xml:space="preserve">
See "DRAFT New (Single File) Format for 2024 Budget - 2023 09 13</t>
        </r>
      </text>
    </comment>
    <comment ref="M714" authorId="0" shapeId="0" xr:uid="{DBEE4B6B-FDE0-4138-B349-75EF40F5578F}">
      <text>
        <r>
          <rPr>
            <b/>
            <sz val="9"/>
            <color indexed="81"/>
            <rFont val="Tahoma"/>
            <family val="2"/>
          </rPr>
          <t>Potter, Daniel:</t>
        </r>
        <r>
          <rPr>
            <sz val="9"/>
            <color indexed="81"/>
            <rFont val="Tahoma"/>
            <family val="2"/>
          </rPr>
          <t xml:space="preserve">
See "DRAFT New (Single File) Format for 2024 Budget - 2023 09 13</t>
        </r>
      </text>
    </comment>
    <comment ref="N714" authorId="0" shapeId="0" xr:uid="{9CD829CC-E7AD-4090-AE55-8FD448D3F0A0}">
      <text>
        <r>
          <rPr>
            <b/>
            <sz val="9"/>
            <color indexed="81"/>
            <rFont val="Tahoma"/>
            <family val="2"/>
          </rPr>
          <t>Potter, Daniel:</t>
        </r>
        <r>
          <rPr>
            <sz val="9"/>
            <color indexed="81"/>
            <rFont val="Tahoma"/>
            <family val="2"/>
          </rPr>
          <t xml:space="preserve">
See "DRAFT New (Single File) Format for 2024 Budget - 2023 09 13</t>
        </r>
      </text>
    </comment>
    <comment ref="C715" authorId="0" shapeId="0" xr:uid="{1342DC87-CD26-4D14-ACEF-42084456C14F}">
      <text>
        <r>
          <rPr>
            <b/>
            <sz val="9"/>
            <color indexed="81"/>
            <rFont val="Tahoma"/>
            <family val="2"/>
          </rPr>
          <t>Potter, Daniel:</t>
        </r>
        <r>
          <rPr>
            <sz val="9"/>
            <color indexed="81"/>
            <rFont val="Tahoma"/>
            <family val="2"/>
          </rPr>
          <t xml:space="preserve">
See "DRAFT New (Single File) Format for 2024 Budget - 2023 09 13</t>
        </r>
      </text>
    </comment>
    <comment ref="D715" authorId="0" shapeId="0" xr:uid="{01C66411-4601-4798-9983-2D73B0F3C4E4}">
      <text>
        <r>
          <rPr>
            <b/>
            <sz val="9"/>
            <color indexed="81"/>
            <rFont val="Tahoma"/>
            <family val="2"/>
          </rPr>
          <t>Potter, Daniel:</t>
        </r>
        <r>
          <rPr>
            <sz val="9"/>
            <color indexed="81"/>
            <rFont val="Tahoma"/>
            <family val="2"/>
          </rPr>
          <t xml:space="preserve">
See "DRAFT New (Single File) Format for 2024 Budget - 2023 09 13</t>
        </r>
      </text>
    </comment>
    <comment ref="E715" authorId="0" shapeId="0" xr:uid="{0E511BDD-A915-40A6-BCEA-9B15C9AA4D9C}">
      <text>
        <r>
          <rPr>
            <b/>
            <sz val="9"/>
            <color indexed="81"/>
            <rFont val="Tahoma"/>
            <family val="2"/>
          </rPr>
          <t>Potter, Daniel:</t>
        </r>
        <r>
          <rPr>
            <sz val="9"/>
            <color indexed="81"/>
            <rFont val="Tahoma"/>
            <family val="2"/>
          </rPr>
          <t xml:space="preserve">
See "DRAFT New (Single File) Format for 2024 Budget - 2023 09 13</t>
        </r>
      </text>
    </comment>
    <comment ref="F715" authorId="0" shapeId="0" xr:uid="{0B2BCE4F-3C98-452C-916B-F313BB0F6556}">
      <text>
        <r>
          <rPr>
            <b/>
            <sz val="9"/>
            <color indexed="81"/>
            <rFont val="Tahoma"/>
            <family val="2"/>
          </rPr>
          <t>Potter, Daniel:</t>
        </r>
        <r>
          <rPr>
            <sz val="9"/>
            <color indexed="81"/>
            <rFont val="Tahoma"/>
            <family val="2"/>
          </rPr>
          <t xml:space="preserve">
See "DRAFT New (Single File) Format for 2024 Budget - 2023 09 13</t>
        </r>
      </text>
    </comment>
    <comment ref="G715" authorId="0" shapeId="0" xr:uid="{74BBA255-7BC5-4C39-A2D9-972AC46300D7}">
      <text>
        <r>
          <rPr>
            <b/>
            <sz val="9"/>
            <color indexed="81"/>
            <rFont val="Tahoma"/>
            <family val="2"/>
          </rPr>
          <t>Potter, Daniel:</t>
        </r>
        <r>
          <rPr>
            <sz val="9"/>
            <color indexed="81"/>
            <rFont val="Tahoma"/>
            <family val="2"/>
          </rPr>
          <t xml:space="preserve">
See "DRAFT New (Single File) Format for 2024 Budget - 2023 09 13</t>
        </r>
      </text>
    </comment>
    <comment ref="H715" authorId="0" shapeId="0" xr:uid="{D74A4489-B6A1-4323-8FCC-8D27B5BB0F18}">
      <text>
        <r>
          <rPr>
            <b/>
            <sz val="9"/>
            <color indexed="81"/>
            <rFont val="Tahoma"/>
            <family val="2"/>
          </rPr>
          <t>Potter, Daniel:</t>
        </r>
        <r>
          <rPr>
            <sz val="9"/>
            <color indexed="81"/>
            <rFont val="Tahoma"/>
            <family val="2"/>
          </rPr>
          <t xml:space="preserve">
See "DRAFT New (Single File) Format for 2024 Budget - 2023 09 13</t>
        </r>
      </text>
    </comment>
    <comment ref="I715" authorId="0" shapeId="0" xr:uid="{C4EA34D5-8EEF-4CEE-A991-7DBE872E2388}">
      <text>
        <r>
          <rPr>
            <b/>
            <sz val="9"/>
            <color indexed="81"/>
            <rFont val="Tahoma"/>
            <family val="2"/>
          </rPr>
          <t>Potter, Daniel:</t>
        </r>
        <r>
          <rPr>
            <sz val="9"/>
            <color indexed="81"/>
            <rFont val="Tahoma"/>
            <family val="2"/>
          </rPr>
          <t xml:space="preserve">
See "DRAFT New (Single File) Format for 2024 Budget - 2023 09 13</t>
        </r>
      </text>
    </comment>
    <comment ref="J715" authorId="0" shapeId="0" xr:uid="{331F3FEF-6CE5-4C3D-A471-741EBFDF38B8}">
      <text>
        <r>
          <rPr>
            <b/>
            <sz val="9"/>
            <color indexed="81"/>
            <rFont val="Tahoma"/>
            <family val="2"/>
          </rPr>
          <t>Potter, Daniel:</t>
        </r>
        <r>
          <rPr>
            <sz val="9"/>
            <color indexed="81"/>
            <rFont val="Tahoma"/>
            <family val="2"/>
          </rPr>
          <t xml:space="preserve">
See "DRAFT New (Single File) Format for 2024 Budget - 2023 09 13</t>
        </r>
      </text>
    </comment>
    <comment ref="K715" authorId="0" shapeId="0" xr:uid="{D0F84115-0CC6-4EF4-8653-E4DBA274EE3D}">
      <text>
        <r>
          <rPr>
            <b/>
            <sz val="9"/>
            <color indexed="81"/>
            <rFont val="Tahoma"/>
            <family val="2"/>
          </rPr>
          <t>Potter, Daniel:</t>
        </r>
        <r>
          <rPr>
            <sz val="9"/>
            <color indexed="81"/>
            <rFont val="Tahoma"/>
            <family val="2"/>
          </rPr>
          <t xml:space="preserve">
See "DRAFT New (Single File) Format for 2024 Budget - 2023 09 13</t>
        </r>
      </text>
    </comment>
    <comment ref="L715" authorId="0" shapeId="0" xr:uid="{9101C72F-63EB-491B-AB92-036A6B8F7BA7}">
      <text>
        <r>
          <rPr>
            <b/>
            <sz val="9"/>
            <color indexed="81"/>
            <rFont val="Tahoma"/>
            <family val="2"/>
          </rPr>
          <t>Potter, Daniel:</t>
        </r>
        <r>
          <rPr>
            <sz val="9"/>
            <color indexed="81"/>
            <rFont val="Tahoma"/>
            <family val="2"/>
          </rPr>
          <t xml:space="preserve">
See "DRAFT New (Single File) Format for 2024 Budget - 2023 09 13</t>
        </r>
      </text>
    </comment>
    <comment ref="M715" authorId="0" shapeId="0" xr:uid="{6A21EFF0-E602-40B1-8BE5-FF5A8E7CBE84}">
      <text>
        <r>
          <rPr>
            <b/>
            <sz val="9"/>
            <color indexed="81"/>
            <rFont val="Tahoma"/>
            <family val="2"/>
          </rPr>
          <t>Potter, Daniel:</t>
        </r>
        <r>
          <rPr>
            <sz val="9"/>
            <color indexed="81"/>
            <rFont val="Tahoma"/>
            <family val="2"/>
          </rPr>
          <t xml:space="preserve">
See "DRAFT New (Single File) Format for 2024 Budget - 2023 09 13</t>
        </r>
      </text>
    </comment>
    <comment ref="N715" authorId="0" shapeId="0" xr:uid="{36D4FC6A-B589-4500-BBD0-85A9AA08022C}">
      <text>
        <r>
          <rPr>
            <b/>
            <sz val="9"/>
            <color indexed="81"/>
            <rFont val="Tahoma"/>
            <family val="2"/>
          </rPr>
          <t>Potter, Daniel:</t>
        </r>
        <r>
          <rPr>
            <sz val="9"/>
            <color indexed="81"/>
            <rFont val="Tahoma"/>
            <family val="2"/>
          </rPr>
          <t xml:space="preserve">
See "DRAFT New (Single File) Format for 2024 Budget - 2023 09 13</t>
        </r>
      </text>
    </comment>
    <comment ref="C716" authorId="0" shapeId="0" xr:uid="{6CEBC29D-F1C5-422F-8F29-1D21E15CE8E7}">
      <text>
        <r>
          <rPr>
            <b/>
            <sz val="9"/>
            <color indexed="81"/>
            <rFont val="Tahoma"/>
            <family val="2"/>
          </rPr>
          <t>Potter, Daniel:</t>
        </r>
        <r>
          <rPr>
            <sz val="9"/>
            <color indexed="81"/>
            <rFont val="Tahoma"/>
            <family val="2"/>
          </rPr>
          <t xml:space="preserve">
See "DRAFT New (Single File) Format for 2024 Budget - 2023 09 13</t>
        </r>
      </text>
    </comment>
    <comment ref="D716" authorId="0" shapeId="0" xr:uid="{D06C2903-CE39-45D8-95E2-5AD291073182}">
      <text>
        <r>
          <rPr>
            <b/>
            <sz val="9"/>
            <color indexed="81"/>
            <rFont val="Tahoma"/>
            <family val="2"/>
          </rPr>
          <t>Potter, Daniel:</t>
        </r>
        <r>
          <rPr>
            <sz val="9"/>
            <color indexed="81"/>
            <rFont val="Tahoma"/>
            <family val="2"/>
          </rPr>
          <t xml:space="preserve">
See "DRAFT New (Single File) Format for 2024 Budget - 2023 09 13</t>
        </r>
      </text>
    </comment>
    <comment ref="E716" authorId="0" shapeId="0" xr:uid="{830D5B7D-26D6-4591-A037-D87AFDDB34D0}">
      <text>
        <r>
          <rPr>
            <b/>
            <sz val="9"/>
            <color indexed="81"/>
            <rFont val="Tahoma"/>
            <family val="2"/>
          </rPr>
          <t>Potter, Daniel:</t>
        </r>
        <r>
          <rPr>
            <sz val="9"/>
            <color indexed="81"/>
            <rFont val="Tahoma"/>
            <family val="2"/>
          </rPr>
          <t xml:space="preserve">
See "DRAFT New (Single File) Format for 2024 Budget - 2023 09 13</t>
        </r>
      </text>
    </comment>
    <comment ref="F716" authorId="0" shapeId="0" xr:uid="{A4DA5CE5-F1C5-4556-A282-C1B2CE99FEF5}">
      <text>
        <r>
          <rPr>
            <b/>
            <sz val="9"/>
            <color indexed="81"/>
            <rFont val="Tahoma"/>
            <family val="2"/>
          </rPr>
          <t>Potter, Daniel:</t>
        </r>
        <r>
          <rPr>
            <sz val="9"/>
            <color indexed="81"/>
            <rFont val="Tahoma"/>
            <family val="2"/>
          </rPr>
          <t xml:space="preserve">
See "DRAFT New (Single File) Format for 2024 Budget - 2023 09 13</t>
        </r>
      </text>
    </comment>
    <comment ref="G716" authorId="0" shapeId="0" xr:uid="{A8AFD929-6F47-4E58-A76A-B0FE037C2E29}">
      <text>
        <r>
          <rPr>
            <b/>
            <sz val="9"/>
            <color indexed="81"/>
            <rFont val="Tahoma"/>
            <family val="2"/>
          </rPr>
          <t>Potter, Daniel:</t>
        </r>
        <r>
          <rPr>
            <sz val="9"/>
            <color indexed="81"/>
            <rFont val="Tahoma"/>
            <family val="2"/>
          </rPr>
          <t xml:space="preserve">
See "DRAFT New (Single File) Format for 2024 Budget - 2023 09 13</t>
        </r>
      </text>
    </comment>
    <comment ref="H716" authorId="0" shapeId="0" xr:uid="{F768D38F-31BF-40AC-8426-49E1ECC6B8EF}">
      <text>
        <r>
          <rPr>
            <b/>
            <sz val="9"/>
            <color indexed="81"/>
            <rFont val="Tahoma"/>
            <family val="2"/>
          </rPr>
          <t>Potter, Daniel:</t>
        </r>
        <r>
          <rPr>
            <sz val="9"/>
            <color indexed="81"/>
            <rFont val="Tahoma"/>
            <family val="2"/>
          </rPr>
          <t xml:space="preserve">
See "DRAFT New (Single File) Format for 2024 Budget - 2023 09 13</t>
        </r>
      </text>
    </comment>
    <comment ref="I716" authorId="0" shapeId="0" xr:uid="{9EA528D4-E550-4464-A753-697F4FCA69FE}">
      <text>
        <r>
          <rPr>
            <b/>
            <sz val="9"/>
            <color indexed="81"/>
            <rFont val="Tahoma"/>
            <family val="2"/>
          </rPr>
          <t>Potter, Daniel:</t>
        </r>
        <r>
          <rPr>
            <sz val="9"/>
            <color indexed="81"/>
            <rFont val="Tahoma"/>
            <family val="2"/>
          </rPr>
          <t xml:space="preserve">
See "DRAFT New (Single File) Format for 2024 Budget - 2023 09 13</t>
        </r>
      </text>
    </comment>
    <comment ref="J716" authorId="0" shapeId="0" xr:uid="{FB2B6BD6-731B-4595-82F0-0BA23E4B77E2}">
      <text>
        <r>
          <rPr>
            <b/>
            <sz val="9"/>
            <color indexed="81"/>
            <rFont val="Tahoma"/>
            <family val="2"/>
          </rPr>
          <t>Potter, Daniel:</t>
        </r>
        <r>
          <rPr>
            <sz val="9"/>
            <color indexed="81"/>
            <rFont val="Tahoma"/>
            <family val="2"/>
          </rPr>
          <t xml:space="preserve">
See "DRAFT New (Single File) Format for 2024 Budget - 2023 09 13</t>
        </r>
      </text>
    </comment>
    <comment ref="K716" authorId="0" shapeId="0" xr:uid="{A88A6469-0B07-4B76-A8AD-468FFC68CF69}">
      <text>
        <r>
          <rPr>
            <b/>
            <sz val="9"/>
            <color indexed="81"/>
            <rFont val="Tahoma"/>
            <family val="2"/>
          </rPr>
          <t>Potter, Daniel:</t>
        </r>
        <r>
          <rPr>
            <sz val="9"/>
            <color indexed="81"/>
            <rFont val="Tahoma"/>
            <family val="2"/>
          </rPr>
          <t xml:space="preserve">
See "DRAFT New (Single File) Format for 2024 Budget - 2023 09 13</t>
        </r>
      </text>
    </comment>
    <comment ref="L716" authorId="0" shapeId="0" xr:uid="{78BB4A8A-54B2-4C1A-9E7A-548B657A7B0F}">
      <text>
        <r>
          <rPr>
            <b/>
            <sz val="9"/>
            <color indexed="81"/>
            <rFont val="Tahoma"/>
            <family val="2"/>
          </rPr>
          <t>Potter, Daniel:</t>
        </r>
        <r>
          <rPr>
            <sz val="9"/>
            <color indexed="81"/>
            <rFont val="Tahoma"/>
            <family val="2"/>
          </rPr>
          <t xml:space="preserve">
See "DRAFT New (Single File) Format for 2024 Budget - 2023 09 13</t>
        </r>
      </text>
    </comment>
    <comment ref="M716" authorId="0" shapeId="0" xr:uid="{8157DD02-B010-4C99-AC2B-8416C42B91F6}">
      <text>
        <r>
          <rPr>
            <b/>
            <sz val="9"/>
            <color indexed="81"/>
            <rFont val="Tahoma"/>
            <family val="2"/>
          </rPr>
          <t>Potter, Daniel:</t>
        </r>
        <r>
          <rPr>
            <sz val="9"/>
            <color indexed="81"/>
            <rFont val="Tahoma"/>
            <family val="2"/>
          </rPr>
          <t xml:space="preserve">
See "DRAFT New (Single File) Format for 2024 Budget - 2023 09 13</t>
        </r>
      </text>
    </comment>
    <comment ref="N716" authorId="0" shapeId="0" xr:uid="{676DD74A-E28F-477C-AAA0-827D2C300831}">
      <text>
        <r>
          <rPr>
            <b/>
            <sz val="9"/>
            <color indexed="81"/>
            <rFont val="Tahoma"/>
            <family val="2"/>
          </rPr>
          <t>Potter, Daniel:</t>
        </r>
        <r>
          <rPr>
            <sz val="9"/>
            <color indexed="81"/>
            <rFont val="Tahoma"/>
            <family val="2"/>
          </rPr>
          <t xml:space="preserve">
See "DRAFT New (Single File) Format for 2024 Budget - 2023 09 13</t>
        </r>
      </text>
    </comment>
    <comment ref="C717" authorId="0" shapeId="0" xr:uid="{E9DF698B-01FF-4771-8DC2-22BC944A3917}">
      <text>
        <r>
          <rPr>
            <b/>
            <sz val="9"/>
            <color indexed="81"/>
            <rFont val="Tahoma"/>
            <family val="2"/>
          </rPr>
          <t>Potter, Daniel:</t>
        </r>
        <r>
          <rPr>
            <sz val="9"/>
            <color indexed="81"/>
            <rFont val="Tahoma"/>
            <family val="2"/>
          </rPr>
          <t xml:space="preserve">
See "DRAFT New (Single File) Format for 2024 Budget - 2023 09 13</t>
        </r>
      </text>
    </comment>
    <comment ref="D717" authorId="0" shapeId="0" xr:uid="{FDE67CDE-0E52-48EC-BD56-3A3245252EA5}">
      <text>
        <r>
          <rPr>
            <b/>
            <sz val="9"/>
            <color indexed="81"/>
            <rFont val="Tahoma"/>
            <family val="2"/>
          </rPr>
          <t>Potter, Daniel:</t>
        </r>
        <r>
          <rPr>
            <sz val="9"/>
            <color indexed="81"/>
            <rFont val="Tahoma"/>
            <family val="2"/>
          </rPr>
          <t xml:space="preserve">
See "DRAFT New (Single File) Format for 2024 Budget - 2023 09 13</t>
        </r>
      </text>
    </comment>
    <comment ref="E717" authorId="0" shapeId="0" xr:uid="{A0C24936-F1ED-4F4F-B2F3-F2EB865CAF7B}">
      <text>
        <r>
          <rPr>
            <b/>
            <sz val="9"/>
            <color indexed="81"/>
            <rFont val="Tahoma"/>
            <family val="2"/>
          </rPr>
          <t>Potter, Daniel:</t>
        </r>
        <r>
          <rPr>
            <sz val="9"/>
            <color indexed="81"/>
            <rFont val="Tahoma"/>
            <family val="2"/>
          </rPr>
          <t xml:space="preserve">
See "DRAFT New (Single File) Format for 2024 Budget - 2023 09 13</t>
        </r>
      </text>
    </comment>
    <comment ref="F717" authorId="0" shapeId="0" xr:uid="{DA90AB23-24DB-45A8-8C5A-7F48A5F5C45E}">
      <text>
        <r>
          <rPr>
            <b/>
            <sz val="9"/>
            <color indexed="81"/>
            <rFont val="Tahoma"/>
            <family val="2"/>
          </rPr>
          <t>Potter, Daniel:</t>
        </r>
        <r>
          <rPr>
            <sz val="9"/>
            <color indexed="81"/>
            <rFont val="Tahoma"/>
            <family val="2"/>
          </rPr>
          <t xml:space="preserve">
See "DRAFT New (Single File) Format for 2024 Budget - 2023 09 13</t>
        </r>
      </text>
    </comment>
    <comment ref="G717" authorId="0" shapeId="0" xr:uid="{7D018EFE-2D00-4946-ADE8-629615149F19}">
      <text>
        <r>
          <rPr>
            <b/>
            <sz val="9"/>
            <color indexed="81"/>
            <rFont val="Tahoma"/>
            <family val="2"/>
          </rPr>
          <t>Potter, Daniel:</t>
        </r>
        <r>
          <rPr>
            <sz val="9"/>
            <color indexed="81"/>
            <rFont val="Tahoma"/>
            <family val="2"/>
          </rPr>
          <t xml:space="preserve">
See "DRAFT New (Single File) Format for 2024 Budget - 2023 09 13</t>
        </r>
      </text>
    </comment>
    <comment ref="H717" authorId="0" shapeId="0" xr:uid="{4D675932-4F97-45FA-B468-96F6458662CE}">
      <text>
        <r>
          <rPr>
            <b/>
            <sz val="9"/>
            <color indexed="81"/>
            <rFont val="Tahoma"/>
            <family val="2"/>
          </rPr>
          <t>Potter, Daniel:</t>
        </r>
        <r>
          <rPr>
            <sz val="9"/>
            <color indexed="81"/>
            <rFont val="Tahoma"/>
            <family val="2"/>
          </rPr>
          <t xml:space="preserve">
See "DRAFT New (Single File) Format for 2024 Budget - 2023 09 13</t>
        </r>
      </text>
    </comment>
    <comment ref="I717" authorId="0" shapeId="0" xr:uid="{690A2D89-746E-45A3-A1E8-96B7103D23CA}">
      <text>
        <r>
          <rPr>
            <b/>
            <sz val="9"/>
            <color indexed="81"/>
            <rFont val="Tahoma"/>
            <family val="2"/>
          </rPr>
          <t>Potter, Daniel:</t>
        </r>
        <r>
          <rPr>
            <sz val="9"/>
            <color indexed="81"/>
            <rFont val="Tahoma"/>
            <family val="2"/>
          </rPr>
          <t xml:space="preserve">
See "DRAFT New (Single File) Format for 2024 Budget - 2023 09 13</t>
        </r>
      </text>
    </comment>
    <comment ref="J717" authorId="0" shapeId="0" xr:uid="{F464C7BD-8F63-4294-814F-40637DFED873}">
      <text>
        <r>
          <rPr>
            <b/>
            <sz val="9"/>
            <color indexed="81"/>
            <rFont val="Tahoma"/>
            <family val="2"/>
          </rPr>
          <t>Potter, Daniel:</t>
        </r>
        <r>
          <rPr>
            <sz val="9"/>
            <color indexed="81"/>
            <rFont val="Tahoma"/>
            <family val="2"/>
          </rPr>
          <t xml:space="preserve">
See "DRAFT New (Single File) Format for 2024 Budget - 2023 09 13</t>
        </r>
      </text>
    </comment>
    <comment ref="K717" authorId="0" shapeId="0" xr:uid="{87209AAA-72C8-4DA9-8D68-917107C56605}">
      <text>
        <r>
          <rPr>
            <b/>
            <sz val="9"/>
            <color indexed="81"/>
            <rFont val="Tahoma"/>
            <family val="2"/>
          </rPr>
          <t>Potter, Daniel:</t>
        </r>
        <r>
          <rPr>
            <sz val="9"/>
            <color indexed="81"/>
            <rFont val="Tahoma"/>
            <family val="2"/>
          </rPr>
          <t xml:space="preserve">
See "DRAFT New (Single File) Format for 2024 Budget - 2023 09 13</t>
        </r>
      </text>
    </comment>
    <comment ref="L717" authorId="0" shapeId="0" xr:uid="{A1E5EFD2-2F19-4A4C-937F-D061BA862C0E}">
      <text>
        <r>
          <rPr>
            <b/>
            <sz val="9"/>
            <color indexed="81"/>
            <rFont val="Tahoma"/>
            <family val="2"/>
          </rPr>
          <t>Potter, Daniel:</t>
        </r>
        <r>
          <rPr>
            <sz val="9"/>
            <color indexed="81"/>
            <rFont val="Tahoma"/>
            <family val="2"/>
          </rPr>
          <t xml:space="preserve">
See "DRAFT New (Single File) Format for 2024 Budget - 2023 09 13</t>
        </r>
      </text>
    </comment>
    <comment ref="M717" authorId="0" shapeId="0" xr:uid="{D3538B77-B398-4286-9266-7C53A35C63D8}">
      <text>
        <r>
          <rPr>
            <b/>
            <sz val="9"/>
            <color indexed="81"/>
            <rFont val="Tahoma"/>
            <family val="2"/>
          </rPr>
          <t>Potter, Daniel:</t>
        </r>
        <r>
          <rPr>
            <sz val="9"/>
            <color indexed="81"/>
            <rFont val="Tahoma"/>
            <family val="2"/>
          </rPr>
          <t xml:space="preserve">
See "DRAFT New (Single File) Format for 2024 Budget - 2023 09 13</t>
        </r>
      </text>
    </comment>
    <comment ref="N717" authorId="0" shapeId="0" xr:uid="{0B357BAB-2F21-4058-A24F-D65E8B24306F}">
      <text>
        <r>
          <rPr>
            <b/>
            <sz val="9"/>
            <color indexed="81"/>
            <rFont val="Tahoma"/>
            <family val="2"/>
          </rPr>
          <t>Potter, Daniel:</t>
        </r>
        <r>
          <rPr>
            <sz val="9"/>
            <color indexed="81"/>
            <rFont val="Tahoma"/>
            <family val="2"/>
          </rPr>
          <t xml:space="preserve">
See "DRAFT New (Single File) Format for 2024 Budget - 2023 09 13</t>
        </r>
      </text>
    </comment>
    <comment ref="C718" authorId="0" shapeId="0" xr:uid="{70809372-4A0B-480A-B666-A425DBCDD03E}">
      <text>
        <r>
          <rPr>
            <b/>
            <sz val="9"/>
            <color indexed="81"/>
            <rFont val="Tahoma"/>
            <family val="2"/>
          </rPr>
          <t>Potter, Daniel:</t>
        </r>
        <r>
          <rPr>
            <sz val="9"/>
            <color indexed="81"/>
            <rFont val="Tahoma"/>
            <family val="2"/>
          </rPr>
          <t xml:space="preserve">
See "DRAFT New (Single File) Format for 2024 Budget - 2023 09 13</t>
        </r>
      </text>
    </comment>
    <comment ref="D718" authorId="0" shapeId="0" xr:uid="{4D9C49B3-8441-436B-A941-8FC7ADC82743}">
      <text>
        <r>
          <rPr>
            <b/>
            <sz val="9"/>
            <color indexed="81"/>
            <rFont val="Tahoma"/>
            <family val="2"/>
          </rPr>
          <t>Potter, Daniel:</t>
        </r>
        <r>
          <rPr>
            <sz val="9"/>
            <color indexed="81"/>
            <rFont val="Tahoma"/>
            <family val="2"/>
          </rPr>
          <t xml:space="preserve">
See "DRAFT New (Single File) Format for 2024 Budget - 2023 09 13</t>
        </r>
      </text>
    </comment>
    <comment ref="E718" authorId="0" shapeId="0" xr:uid="{85248B23-8E41-453F-A839-A84F5ED27D4C}">
      <text>
        <r>
          <rPr>
            <b/>
            <sz val="9"/>
            <color indexed="81"/>
            <rFont val="Tahoma"/>
            <family val="2"/>
          </rPr>
          <t>Potter, Daniel:</t>
        </r>
        <r>
          <rPr>
            <sz val="9"/>
            <color indexed="81"/>
            <rFont val="Tahoma"/>
            <family val="2"/>
          </rPr>
          <t xml:space="preserve">
See "DRAFT New (Single File) Format for 2024 Budget - 2023 09 13</t>
        </r>
      </text>
    </comment>
    <comment ref="F718" authorId="0" shapeId="0" xr:uid="{95AF562D-4A7C-419E-9061-6AD153FF7EE1}">
      <text>
        <r>
          <rPr>
            <b/>
            <sz val="9"/>
            <color indexed="81"/>
            <rFont val="Tahoma"/>
            <family val="2"/>
          </rPr>
          <t>Potter, Daniel:</t>
        </r>
        <r>
          <rPr>
            <sz val="9"/>
            <color indexed="81"/>
            <rFont val="Tahoma"/>
            <family val="2"/>
          </rPr>
          <t xml:space="preserve">
See "DRAFT New (Single File) Format for 2024 Budget - 2023 09 13</t>
        </r>
      </text>
    </comment>
    <comment ref="G718" authorId="0" shapeId="0" xr:uid="{0D5F6566-7155-4D01-AB98-D355EEC87196}">
      <text>
        <r>
          <rPr>
            <b/>
            <sz val="9"/>
            <color indexed="81"/>
            <rFont val="Tahoma"/>
            <family val="2"/>
          </rPr>
          <t>Potter, Daniel:</t>
        </r>
        <r>
          <rPr>
            <sz val="9"/>
            <color indexed="81"/>
            <rFont val="Tahoma"/>
            <family val="2"/>
          </rPr>
          <t xml:space="preserve">
See "DRAFT New (Single File) Format for 2024 Budget - 2023 09 13</t>
        </r>
      </text>
    </comment>
    <comment ref="H718" authorId="0" shapeId="0" xr:uid="{0FDEAABA-D999-4D17-82FE-77C252FBEB05}">
      <text>
        <r>
          <rPr>
            <b/>
            <sz val="9"/>
            <color indexed="81"/>
            <rFont val="Tahoma"/>
            <family val="2"/>
          </rPr>
          <t>Potter, Daniel:</t>
        </r>
        <r>
          <rPr>
            <sz val="9"/>
            <color indexed="81"/>
            <rFont val="Tahoma"/>
            <family val="2"/>
          </rPr>
          <t xml:space="preserve">
See "DRAFT New (Single File) Format for 2024 Budget - 2023 09 13</t>
        </r>
      </text>
    </comment>
    <comment ref="I718" authorId="0" shapeId="0" xr:uid="{76C916D1-454B-4B41-96B7-639170B1E338}">
      <text>
        <r>
          <rPr>
            <b/>
            <sz val="9"/>
            <color indexed="81"/>
            <rFont val="Tahoma"/>
            <family val="2"/>
          </rPr>
          <t>Potter, Daniel:</t>
        </r>
        <r>
          <rPr>
            <sz val="9"/>
            <color indexed="81"/>
            <rFont val="Tahoma"/>
            <family val="2"/>
          </rPr>
          <t xml:space="preserve">
See "DRAFT New (Single File) Format for 2024 Budget - 2023 09 13</t>
        </r>
      </text>
    </comment>
    <comment ref="J718" authorId="0" shapeId="0" xr:uid="{1175E7F3-FCB0-408D-9538-D3E84354D890}">
      <text>
        <r>
          <rPr>
            <b/>
            <sz val="9"/>
            <color indexed="81"/>
            <rFont val="Tahoma"/>
            <family val="2"/>
          </rPr>
          <t>Potter, Daniel:</t>
        </r>
        <r>
          <rPr>
            <sz val="9"/>
            <color indexed="81"/>
            <rFont val="Tahoma"/>
            <family val="2"/>
          </rPr>
          <t xml:space="preserve">
See "DRAFT New (Single File) Format for 2024 Budget - 2023 09 13</t>
        </r>
      </text>
    </comment>
    <comment ref="K718" authorId="0" shapeId="0" xr:uid="{DB46C267-2536-4483-B5D3-0A9C87BF717C}">
      <text>
        <r>
          <rPr>
            <b/>
            <sz val="9"/>
            <color indexed="81"/>
            <rFont val="Tahoma"/>
            <family val="2"/>
          </rPr>
          <t>Potter, Daniel:</t>
        </r>
        <r>
          <rPr>
            <sz val="9"/>
            <color indexed="81"/>
            <rFont val="Tahoma"/>
            <family val="2"/>
          </rPr>
          <t xml:space="preserve">
See "DRAFT New (Single File) Format for 2024 Budget - 2023 09 13</t>
        </r>
      </text>
    </comment>
    <comment ref="L718" authorId="0" shapeId="0" xr:uid="{0B1E5E51-55BA-45C3-A460-489DCD5804F7}">
      <text>
        <r>
          <rPr>
            <b/>
            <sz val="9"/>
            <color indexed="81"/>
            <rFont val="Tahoma"/>
            <family val="2"/>
          </rPr>
          <t>Potter, Daniel:</t>
        </r>
        <r>
          <rPr>
            <sz val="9"/>
            <color indexed="81"/>
            <rFont val="Tahoma"/>
            <family val="2"/>
          </rPr>
          <t xml:space="preserve">
See "DRAFT New (Single File) Format for 2024 Budget - 2023 09 13</t>
        </r>
      </text>
    </comment>
    <comment ref="M718" authorId="0" shapeId="0" xr:uid="{FC23D7C3-C1C3-45E3-A4FC-BFC3B00F310B}">
      <text>
        <r>
          <rPr>
            <b/>
            <sz val="9"/>
            <color indexed="81"/>
            <rFont val="Tahoma"/>
            <family val="2"/>
          </rPr>
          <t>Potter, Daniel:</t>
        </r>
        <r>
          <rPr>
            <sz val="9"/>
            <color indexed="81"/>
            <rFont val="Tahoma"/>
            <family val="2"/>
          </rPr>
          <t xml:space="preserve">
See "DRAFT New (Single File) Format for 2024 Budget - 2023 09 13</t>
        </r>
      </text>
    </comment>
    <comment ref="N718" authorId="0" shapeId="0" xr:uid="{251AAAEB-3A8E-4504-A1E5-3B74B13D8292}">
      <text>
        <r>
          <rPr>
            <b/>
            <sz val="9"/>
            <color indexed="81"/>
            <rFont val="Tahoma"/>
            <family val="2"/>
          </rPr>
          <t>Potter, Daniel:</t>
        </r>
        <r>
          <rPr>
            <sz val="9"/>
            <color indexed="81"/>
            <rFont val="Tahoma"/>
            <family val="2"/>
          </rPr>
          <t xml:space="preserve">
See "DRAFT New (Single File) Format for 2024 Budget - 2023 09 13</t>
        </r>
      </text>
    </comment>
    <comment ref="C750" authorId="0" shapeId="0" xr:uid="{B18CAEF0-9ABA-4C8B-B655-13D9D8F6DF51}">
      <text>
        <r>
          <rPr>
            <b/>
            <sz val="9"/>
            <color indexed="81"/>
            <rFont val="Tahoma"/>
            <family val="2"/>
          </rPr>
          <t>Potter, Daniel:</t>
        </r>
        <r>
          <rPr>
            <sz val="9"/>
            <color indexed="81"/>
            <rFont val="Tahoma"/>
            <family val="2"/>
          </rPr>
          <t xml:space="preserve">
See "June+ FCM Projections - ATY - 2023-09-27.xls"</t>
        </r>
      </text>
    </comment>
    <comment ref="D750" authorId="0" shapeId="0" xr:uid="{91DE3F97-97BA-43BE-8B1C-2B762B29B4A5}">
      <text>
        <r>
          <rPr>
            <b/>
            <sz val="9"/>
            <color indexed="81"/>
            <rFont val="Tahoma"/>
            <family val="2"/>
          </rPr>
          <t>Potter, Daniel:</t>
        </r>
        <r>
          <rPr>
            <sz val="9"/>
            <color indexed="81"/>
            <rFont val="Tahoma"/>
            <family val="2"/>
          </rPr>
          <t xml:space="preserve">
See "June+ FCM Projections - ATY - 2023-09-27.xls"</t>
        </r>
      </text>
    </comment>
    <comment ref="E750" authorId="0" shapeId="0" xr:uid="{510E981C-08E7-431B-99F1-205CA9E7107B}">
      <text>
        <r>
          <rPr>
            <b/>
            <sz val="9"/>
            <color indexed="81"/>
            <rFont val="Tahoma"/>
            <family val="2"/>
          </rPr>
          <t>Potter, Daniel:</t>
        </r>
        <r>
          <rPr>
            <sz val="9"/>
            <color indexed="81"/>
            <rFont val="Tahoma"/>
            <family val="2"/>
          </rPr>
          <t xml:space="preserve">
See "June+ FCM Projections - ATY - 2023-09-27.xls"</t>
        </r>
      </text>
    </comment>
    <comment ref="F750" authorId="0" shapeId="0" xr:uid="{F8CACEAE-74F8-4B77-8069-C1E36236B0A4}">
      <text>
        <r>
          <rPr>
            <b/>
            <sz val="9"/>
            <color indexed="81"/>
            <rFont val="Tahoma"/>
            <family val="2"/>
          </rPr>
          <t>Potter, Daniel:</t>
        </r>
        <r>
          <rPr>
            <sz val="9"/>
            <color indexed="81"/>
            <rFont val="Tahoma"/>
            <family val="2"/>
          </rPr>
          <t xml:space="preserve">
See "June+ FCM Projections - ATY - 2023-09-27.xls"</t>
        </r>
      </text>
    </comment>
    <comment ref="G750" authorId="0" shapeId="0" xr:uid="{242CE95A-DD83-48D0-A557-A3DEFD2B2F5E}">
      <text>
        <r>
          <rPr>
            <b/>
            <sz val="9"/>
            <color indexed="81"/>
            <rFont val="Tahoma"/>
            <family val="2"/>
          </rPr>
          <t>Potter, Daniel:</t>
        </r>
        <r>
          <rPr>
            <sz val="9"/>
            <color indexed="81"/>
            <rFont val="Tahoma"/>
            <family val="2"/>
          </rPr>
          <t xml:space="preserve">
See "June+ FCM Projections - ATY - 2023-09-27.xls"</t>
        </r>
      </text>
    </comment>
    <comment ref="H750" authorId="0" shapeId="0" xr:uid="{DCAE6165-219A-4305-A21C-0E618C7CB963}">
      <text>
        <r>
          <rPr>
            <b/>
            <sz val="9"/>
            <color indexed="81"/>
            <rFont val="Tahoma"/>
            <family val="2"/>
          </rPr>
          <t>Potter, Daniel:</t>
        </r>
        <r>
          <rPr>
            <sz val="9"/>
            <color indexed="81"/>
            <rFont val="Tahoma"/>
            <family val="2"/>
          </rPr>
          <t xml:space="preserve">
See "June+ FCM Projections - ATY - 2023-09-27.xls"</t>
        </r>
      </text>
    </comment>
    <comment ref="I750" authorId="0" shapeId="0" xr:uid="{4FB5210D-46B0-438B-986B-42FB8167C4AF}">
      <text>
        <r>
          <rPr>
            <b/>
            <sz val="9"/>
            <color indexed="81"/>
            <rFont val="Tahoma"/>
            <family val="2"/>
          </rPr>
          <t>Potter, Daniel:</t>
        </r>
        <r>
          <rPr>
            <sz val="9"/>
            <color indexed="81"/>
            <rFont val="Tahoma"/>
            <family val="2"/>
          </rPr>
          <t xml:space="preserve">
See "June+ FCM Projections - ATY - 2023-09-27.xls"</t>
        </r>
      </text>
    </comment>
    <comment ref="J750" authorId="0" shapeId="0" xr:uid="{2B1E8532-14A8-4800-AAFC-FD78FA65FC6E}">
      <text>
        <r>
          <rPr>
            <b/>
            <sz val="9"/>
            <color indexed="81"/>
            <rFont val="Tahoma"/>
            <family val="2"/>
          </rPr>
          <t>Potter, Daniel:</t>
        </r>
        <r>
          <rPr>
            <sz val="9"/>
            <color indexed="81"/>
            <rFont val="Tahoma"/>
            <family val="2"/>
          </rPr>
          <t xml:space="preserve">
See "June+ FCM Projections - ATY - 2023-09-27.xls"</t>
        </r>
      </text>
    </comment>
    <comment ref="K750" authorId="0" shapeId="0" xr:uid="{D19B0724-0A4C-44B8-A751-4E26239E6992}">
      <text>
        <r>
          <rPr>
            <b/>
            <sz val="9"/>
            <color indexed="81"/>
            <rFont val="Tahoma"/>
            <family val="2"/>
          </rPr>
          <t>Potter, Daniel:</t>
        </r>
        <r>
          <rPr>
            <sz val="9"/>
            <color indexed="81"/>
            <rFont val="Tahoma"/>
            <family val="2"/>
          </rPr>
          <t xml:space="preserve">
See "June+ FCM Projections - ATY - 2023-09-27.xls"</t>
        </r>
      </text>
    </comment>
    <comment ref="L750" authorId="0" shapeId="0" xr:uid="{907D51D4-A2FA-40AC-AD24-77D53C9F3EB5}">
      <text>
        <r>
          <rPr>
            <b/>
            <sz val="9"/>
            <color indexed="81"/>
            <rFont val="Tahoma"/>
            <family val="2"/>
          </rPr>
          <t>Potter, Daniel:</t>
        </r>
        <r>
          <rPr>
            <sz val="9"/>
            <color indexed="81"/>
            <rFont val="Tahoma"/>
            <family val="2"/>
          </rPr>
          <t xml:space="preserve">
See "June+ FCM Projections - ATY - 2023-09-27.xls"</t>
        </r>
      </text>
    </comment>
    <comment ref="M750" authorId="0" shapeId="0" xr:uid="{77AAAB48-1BF2-41C4-8C94-4B3BA6ABC6B1}">
      <text>
        <r>
          <rPr>
            <b/>
            <sz val="9"/>
            <color indexed="81"/>
            <rFont val="Tahoma"/>
            <family val="2"/>
          </rPr>
          <t>Potter, Daniel:</t>
        </r>
        <r>
          <rPr>
            <sz val="9"/>
            <color indexed="81"/>
            <rFont val="Tahoma"/>
            <family val="2"/>
          </rPr>
          <t xml:space="preserve">
See "June+ FCM Projections - ATY - 2023-09-27.xls"</t>
        </r>
      </text>
    </comment>
    <comment ref="N750" authorId="0" shapeId="0" xr:uid="{6E4EBBFF-8B18-4C9E-9AD9-995967726D77}">
      <text>
        <r>
          <rPr>
            <b/>
            <sz val="9"/>
            <color indexed="81"/>
            <rFont val="Tahoma"/>
            <family val="2"/>
          </rPr>
          <t>Potter, Daniel:</t>
        </r>
        <r>
          <rPr>
            <sz val="9"/>
            <color indexed="81"/>
            <rFont val="Tahoma"/>
            <family val="2"/>
          </rPr>
          <t xml:space="preserve">
See "June+ FCM Projections - ATY - 2023-09-27.xls"</t>
        </r>
      </text>
    </comment>
    <comment ref="O750" authorId="0" shapeId="0" xr:uid="{A1254E9A-6237-4440-884A-3481942FE9B8}">
      <text>
        <r>
          <rPr>
            <b/>
            <sz val="9"/>
            <color indexed="81"/>
            <rFont val="Tahoma"/>
            <family val="2"/>
          </rPr>
          <t>Potter, Daniel:</t>
        </r>
        <r>
          <rPr>
            <sz val="9"/>
            <color indexed="81"/>
            <rFont val="Tahoma"/>
            <family val="2"/>
          </rPr>
          <t xml:space="preserve">
See "June+ FCM Projections - ATY - 2023-09-27.xls"</t>
        </r>
      </text>
    </comment>
    <comment ref="P750" authorId="0" shapeId="0" xr:uid="{822A741E-7541-4CEC-B8DC-01D1EA38B2E8}">
      <text>
        <r>
          <rPr>
            <b/>
            <sz val="9"/>
            <color indexed="81"/>
            <rFont val="Tahoma"/>
            <family val="2"/>
          </rPr>
          <t>Potter, Daniel:</t>
        </r>
        <r>
          <rPr>
            <sz val="9"/>
            <color indexed="81"/>
            <rFont val="Tahoma"/>
            <family val="2"/>
          </rPr>
          <t xml:space="preserve">
See "June+ FCM Projections - ATY - 2023-09-27.xls"</t>
        </r>
      </text>
    </comment>
    <comment ref="Q750" authorId="0" shapeId="0" xr:uid="{503E9D24-C3E5-4BA4-8D28-926E07CE510E}">
      <text>
        <r>
          <rPr>
            <b/>
            <sz val="9"/>
            <color indexed="81"/>
            <rFont val="Tahoma"/>
            <family val="2"/>
          </rPr>
          <t>Potter, Daniel:</t>
        </r>
        <r>
          <rPr>
            <sz val="9"/>
            <color indexed="81"/>
            <rFont val="Tahoma"/>
            <family val="2"/>
          </rPr>
          <t xml:space="preserve">
See "June+ FCM Projections - ATY - 2023-09-27.xls"</t>
        </r>
      </text>
    </comment>
    <comment ref="R750" authorId="0" shapeId="0" xr:uid="{2E17750E-D3DB-433D-8AA7-CA9E475D157A}">
      <text>
        <r>
          <rPr>
            <b/>
            <sz val="9"/>
            <color indexed="81"/>
            <rFont val="Tahoma"/>
            <family val="2"/>
          </rPr>
          <t>Potter, Daniel:</t>
        </r>
        <r>
          <rPr>
            <sz val="9"/>
            <color indexed="81"/>
            <rFont val="Tahoma"/>
            <family val="2"/>
          </rPr>
          <t xml:space="preserve">
See "June+ FCM Projections - ATY - 2023-09-27.xls"</t>
        </r>
      </text>
    </comment>
    <comment ref="S750" authorId="0" shapeId="0" xr:uid="{8BE25EA8-1924-4AD9-839B-D9CFE60BC8A2}">
      <text>
        <r>
          <rPr>
            <b/>
            <sz val="9"/>
            <color indexed="81"/>
            <rFont val="Tahoma"/>
            <family val="2"/>
          </rPr>
          <t>Potter, Daniel:</t>
        </r>
        <r>
          <rPr>
            <sz val="9"/>
            <color indexed="81"/>
            <rFont val="Tahoma"/>
            <family val="2"/>
          </rPr>
          <t xml:space="preserve">
See "June+ FCM Projections - ATY - 2023-09-27.xls"</t>
        </r>
      </text>
    </comment>
    <comment ref="T750" authorId="0" shapeId="0" xr:uid="{00000000-0006-0000-0500-00006A1C0000}">
      <text>
        <r>
          <rPr>
            <b/>
            <sz val="9"/>
            <color indexed="81"/>
            <rFont val="Tahoma"/>
            <family val="2"/>
          </rPr>
          <t>Potter, Daniel:</t>
        </r>
        <r>
          <rPr>
            <sz val="9"/>
            <color indexed="81"/>
            <rFont val="Tahoma"/>
            <family val="2"/>
          </rPr>
          <t xml:space="preserve">
See "June 2022+ FCM Projections - ATY - 2023 -10-31"  
VEC FCM Load Ob - Proj - New Tab
Row 193</t>
        </r>
      </text>
    </comment>
    <comment ref="U750" authorId="0" shapeId="0" xr:uid="{B61714FF-E9EC-46F9-9617-E215DA5F0932}">
      <text>
        <r>
          <rPr>
            <b/>
            <sz val="9"/>
            <color indexed="81"/>
            <rFont val="Tahoma"/>
            <family val="2"/>
          </rPr>
          <t>Potter, Daniel:</t>
        </r>
        <r>
          <rPr>
            <sz val="9"/>
            <color indexed="81"/>
            <rFont val="Tahoma"/>
            <family val="2"/>
          </rPr>
          <t xml:space="preserve">
See "June 2022+ FCM Projections - ATY - 2023 -10-31"  
VEC FCM Load Ob - Proj - New Tab
Row 193</t>
        </r>
      </text>
    </comment>
    <comment ref="V750" authorId="0" shapeId="0" xr:uid="{058200B9-3F8D-4A86-AE7B-A06BF57AAB7C}">
      <text>
        <r>
          <rPr>
            <b/>
            <sz val="9"/>
            <color indexed="81"/>
            <rFont val="Tahoma"/>
            <family val="2"/>
          </rPr>
          <t>Potter, Daniel:</t>
        </r>
        <r>
          <rPr>
            <sz val="9"/>
            <color indexed="81"/>
            <rFont val="Tahoma"/>
            <family val="2"/>
          </rPr>
          <t xml:space="preserve">
See "June 2022+ FCM Projections - ATY - 2023 -10-31"  
VEC FCM Load Ob - Proj - New Tab
Row 193</t>
        </r>
      </text>
    </comment>
    <comment ref="W750" authorId="0" shapeId="0" xr:uid="{4B18EF3F-4E3D-4490-8D50-B80ECA5CA456}">
      <text>
        <r>
          <rPr>
            <b/>
            <sz val="9"/>
            <color indexed="81"/>
            <rFont val="Tahoma"/>
            <family val="2"/>
          </rPr>
          <t>Potter, Daniel:</t>
        </r>
        <r>
          <rPr>
            <sz val="9"/>
            <color indexed="81"/>
            <rFont val="Tahoma"/>
            <family val="2"/>
          </rPr>
          <t xml:space="preserve">
See "June 2022+ FCM Projections - ATY - 2023 -10-31"  
VEC FCM Load Ob - Proj - New Tab
Row 193</t>
        </r>
      </text>
    </comment>
    <comment ref="X750" authorId="0" shapeId="0" xr:uid="{AE137803-E70F-4128-95AD-3B23DCB07457}">
      <text>
        <r>
          <rPr>
            <b/>
            <sz val="9"/>
            <color indexed="81"/>
            <rFont val="Tahoma"/>
            <family val="2"/>
          </rPr>
          <t>Potter, Daniel:</t>
        </r>
        <r>
          <rPr>
            <sz val="9"/>
            <color indexed="81"/>
            <rFont val="Tahoma"/>
            <family val="2"/>
          </rPr>
          <t xml:space="preserve">
See "June 2022+ FCM Projections - ATY - 2023 -10-31"  
VEC FCM Load Ob - Proj - New Tab
Row 193</t>
        </r>
      </text>
    </comment>
    <comment ref="Y750" authorId="0" shapeId="0" xr:uid="{09EE385F-1533-4A31-A7AC-4565B2FB940A}">
      <text>
        <r>
          <rPr>
            <b/>
            <sz val="9"/>
            <color indexed="81"/>
            <rFont val="Tahoma"/>
            <family val="2"/>
          </rPr>
          <t>Potter, Daniel:</t>
        </r>
        <r>
          <rPr>
            <sz val="9"/>
            <color indexed="81"/>
            <rFont val="Tahoma"/>
            <family val="2"/>
          </rPr>
          <t xml:space="preserve">
See "June 2022+ FCM Projections - ATY - 2023 -10-31"  
VEC FCM Load Ob - Proj - New Tab
Row 193</t>
        </r>
      </text>
    </comment>
    <comment ref="Z750" authorId="0" shapeId="0" xr:uid="{9F0A8FC9-BABC-4C0F-A9E7-1E75FA617769}">
      <text>
        <r>
          <rPr>
            <b/>
            <sz val="9"/>
            <color indexed="81"/>
            <rFont val="Tahoma"/>
            <family val="2"/>
          </rPr>
          <t>Potter, Daniel:</t>
        </r>
        <r>
          <rPr>
            <sz val="9"/>
            <color indexed="81"/>
            <rFont val="Tahoma"/>
            <family val="2"/>
          </rPr>
          <t xml:space="preserve">
See "June 2022+ FCM Projections - ATY - 2023 -10-31"  
VEC FCM Load Ob - Proj - New Tab
Row 193</t>
        </r>
      </text>
    </comment>
    <comment ref="C751" authorId="0" shapeId="0" xr:uid="{63187EF9-68CE-4529-927F-8F0BC6D6487A}">
      <text>
        <r>
          <rPr>
            <b/>
            <sz val="9"/>
            <color indexed="81"/>
            <rFont val="Tahoma"/>
            <family val="2"/>
          </rPr>
          <t>Potter, Daniel:</t>
        </r>
        <r>
          <rPr>
            <sz val="9"/>
            <color indexed="81"/>
            <rFont val="Tahoma"/>
            <family val="2"/>
          </rPr>
          <t xml:space="preserve">
See "June+ FCM Projections - ATY - 2023-09-27.xls"</t>
        </r>
      </text>
    </comment>
    <comment ref="D751" authorId="0" shapeId="0" xr:uid="{6569C554-30E4-4E1F-BCDB-D5314A32116D}">
      <text>
        <r>
          <rPr>
            <b/>
            <sz val="9"/>
            <color indexed="81"/>
            <rFont val="Tahoma"/>
            <family val="2"/>
          </rPr>
          <t>Potter, Daniel:</t>
        </r>
        <r>
          <rPr>
            <sz val="9"/>
            <color indexed="81"/>
            <rFont val="Tahoma"/>
            <family val="2"/>
          </rPr>
          <t xml:space="preserve">
See "June+ FCM Projections - ATY - 2023-09-27.xls"</t>
        </r>
      </text>
    </comment>
    <comment ref="E751" authorId="0" shapeId="0" xr:uid="{AFF600AB-A5A8-4898-AB46-0CCD519EF2F2}">
      <text>
        <r>
          <rPr>
            <b/>
            <sz val="9"/>
            <color indexed="81"/>
            <rFont val="Tahoma"/>
            <family val="2"/>
          </rPr>
          <t>Potter, Daniel:</t>
        </r>
        <r>
          <rPr>
            <sz val="9"/>
            <color indexed="81"/>
            <rFont val="Tahoma"/>
            <family val="2"/>
          </rPr>
          <t xml:space="preserve">
See "June+ FCM Projections - ATY - 2023-09-27.xls"</t>
        </r>
      </text>
    </comment>
    <comment ref="F751" authorId="0" shapeId="0" xr:uid="{753BA3CB-1433-4FB7-A0C0-2537972C27D7}">
      <text>
        <r>
          <rPr>
            <b/>
            <sz val="9"/>
            <color indexed="81"/>
            <rFont val="Tahoma"/>
            <family val="2"/>
          </rPr>
          <t>Potter, Daniel:</t>
        </r>
        <r>
          <rPr>
            <sz val="9"/>
            <color indexed="81"/>
            <rFont val="Tahoma"/>
            <family val="2"/>
          </rPr>
          <t xml:space="preserve">
See "June+ FCM Projections - ATY - 2023-09-27.xls"</t>
        </r>
      </text>
    </comment>
    <comment ref="G751" authorId="0" shapeId="0" xr:uid="{BEA9B8A7-7981-4A6A-8E6C-731C220C896C}">
      <text>
        <r>
          <rPr>
            <b/>
            <sz val="9"/>
            <color indexed="81"/>
            <rFont val="Tahoma"/>
            <family val="2"/>
          </rPr>
          <t>Potter, Daniel:</t>
        </r>
        <r>
          <rPr>
            <sz val="9"/>
            <color indexed="81"/>
            <rFont val="Tahoma"/>
            <family val="2"/>
          </rPr>
          <t xml:space="preserve">
See "June+ FCM Projections - ATY - 2023-09-27.xls"</t>
        </r>
      </text>
    </comment>
    <comment ref="H751" authorId="0" shapeId="0" xr:uid="{5EF0958F-7791-46EA-B9F6-7E6912FC605E}">
      <text>
        <r>
          <rPr>
            <b/>
            <sz val="9"/>
            <color indexed="81"/>
            <rFont val="Tahoma"/>
            <family val="2"/>
          </rPr>
          <t>Potter, Daniel:</t>
        </r>
        <r>
          <rPr>
            <sz val="9"/>
            <color indexed="81"/>
            <rFont val="Tahoma"/>
            <family val="2"/>
          </rPr>
          <t xml:space="preserve">
See "June+ FCM Projections - ATY - 2023-09-27.xls"</t>
        </r>
      </text>
    </comment>
    <comment ref="I751" authorId="0" shapeId="0" xr:uid="{4782FB97-4F58-4C18-B69B-5264D45748FE}">
      <text>
        <r>
          <rPr>
            <b/>
            <sz val="9"/>
            <color indexed="81"/>
            <rFont val="Tahoma"/>
            <family val="2"/>
          </rPr>
          <t>Potter, Daniel:</t>
        </r>
        <r>
          <rPr>
            <sz val="9"/>
            <color indexed="81"/>
            <rFont val="Tahoma"/>
            <family val="2"/>
          </rPr>
          <t xml:space="preserve">
See "June+ FCM Projections - ATY - 2023-09-27.xls"</t>
        </r>
      </text>
    </comment>
    <comment ref="J751" authorId="0" shapeId="0" xr:uid="{D566D892-9005-45BD-9FAC-566FD32284BC}">
      <text>
        <r>
          <rPr>
            <b/>
            <sz val="9"/>
            <color indexed="81"/>
            <rFont val="Tahoma"/>
            <family val="2"/>
          </rPr>
          <t>Potter, Daniel:</t>
        </r>
        <r>
          <rPr>
            <sz val="9"/>
            <color indexed="81"/>
            <rFont val="Tahoma"/>
            <family val="2"/>
          </rPr>
          <t xml:space="preserve">
See "June+ FCM Projections - ATY - 2023-09-27.xls"</t>
        </r>
      </text>
    </comment>
    <comment ref="K751" authorId="0" shapeId="0" xr:uid="{27AD6357-B069-4DE3-AAAC-F5E3AC7C1662}">
      <text>
        <r>
          <rPr>
            <b/>
            <sz val="9"/>
            <color indexed="81"/>
            <rFont val="Tahoma"/>
            <family val="2"/>
          </rPr>
          <t>Potter, Daniel:</t>
        </r>
        <r>
          <rPr>
            <sz val="9"/>
            <color indexed="81"/>
            <rFont val="Tahoma"/>
            <family val="2"/>
          </rPr>
          <t xml:space="preserve">
See "June+ FCM Projections - ATY - 2023-09-27.xls"</t>
        </r>
      </text>
    </comment>
    <comment ref="L751" authorId="0" shapeId="0" xr:uid="{BA9D5D42-F80F-4F9F-93D0-697D5D44D32F}">
      <text>
        <r>
          <rPr>
            <b/>
            <sz val="9"/>
            <color indexed="81"/>
            <rFont val="Tahoma"/>
            <family val="2"/>
          </rPr>
          <t>Potter, Daniel:</t>
        </r>
        <r>
          <rPr>
            <sz val="9"/>
            <color indexed="81"/>
            <rFont val="Tahoma"/>
            <family val="2"/>
          </rPr>
          <t xml:space="preserve">
See "June+ FCM Projections - ATY - 2023-09-27.xls"</t>
        </r>
      </text>
    </comment>
    <comment ref="M751" authorId="0" shapeId="0" xr:uid="{581363A0-47C3-434F-9249-0B0DC1A5C983}">
      <text>
        <r>
          <rPr>
            <b/>
            <sz val="9"/>
            <color indexed="81"/>
            <rFont val="Tahoma"/>
            <family val="2"/>
          </rPr>
          <t>Potter, Daniel:</t>
        </r>
        <r>
          <rPr>
            <sz val="9"/>
            <color indexed="81"/>
            <rFont val="Tahoma"/>
            <family val="2"/>
          </rPr>
          <t xml:space="preserve">
See "June+ FCM Projections - ATY - 2023-09-27.xls"</t>
        </r>
      </text>
    </comment>
    <comment ref="N751" authorId="0" shapeId="0" xr:uid="{9B9CCF0D-5F51-4655-A792-8EF3AF68E6FF}">
      <text>
        <r>
          <rPr>
            <b/>
            <sz val="9"/>
            <color indexed="81"/>
            <rFont val="Tahoma"/>
            <family val="2"/>
          </rPr>
          <t>Potter, Daniel:</t>
        </r>
        <r>
          <rPr>
            <sz val="9"/>
            <color indexed="81"/>
            <rFont val="Tahoma"/>
            <family val="2"/>
          </rPr>
          <t xml:space="preserve">
See "June+ FCM Projections - ATY - 2023-09-27.xls"</t>
        </r>
      </text>
    </comment>
    <comment ref="O751" authorId="0" shapeId="0" xr:uid="{BD54974B-2507-4327-93B3-B803662CE615}">
      <text>
        <r>
          <rPr>
            <b/>
            <sz val="9"/>
            <color indexed="81"/>
            <rFont val="Tahoma"/>
            <family val="2"/>
          </rPr>
          <t>Potter, Daniel:</t>
        </r>
        <r>
          <rPr>
            <sz val="9"/>
            <color indexed="81"/>
            <rFont val="Tahoma"/>
            <family val="2"/>
          </rPr>
          <t xml:space="preserve">
See "June+ FCM Projections - ATY - 2024-09-12.xls"</t>
        </r>
      </text>
    </comment>
    <comment ref="P751" authorId="0" shapeId="0" xr:uid="{FCA08AB2-DBF5-4AEE-ADB3-F101544F5301}">
      <text>
        <r>
          <rPr>
            <b/>
            <sz val="9"/>
            <color indexed="81"/>
            <rFont val="Tahoma"/>
            <family val="2"/>
          </rPr>
          <t>Potter, Daniel:</t>
        </r>
        <r>
          <rPr>
            <sz val="9"/>
            <color indexed="81"/>
            <rFont val="Tahoma"/>
            <family val="2"/>
          </rPr>
          <t xml:space="preserve">
See "June+ FCM Projections - ATY - 2024-09-12.xls"</t>
        </r>
      </text>
    </comment>
    <comment ref="Q751" authorId="0" shapeId="0" xr:uid="{447840BE-87F0-41AA-8CA1-E79A34E27FB7}">
      <text>
        <r>
          <rPr>
            <b/>
            <sz val="9"/>
            <color indexed="81"/>
            <rFont val="Tahoma"/>
            <family val="2"/>
          </rPr>
          <t>Potter, Daniel:</t>
        </r>
        <r>
          <rPr>
            <sz val="9"/>
            <color indexed="81"/>
            <rFont val="Tahoma"/>
            <family val="2"/>
          </rPr>
          <t xml:space="preserve">
See "June+ FCM Projections - ATY - 2024-09-12.xls"</t>
        </r>
      </text>
    </comment>
    <comment ref="R751" authorId="0" shapeId="0" xr:uid="{FFDD76E8-BAAF-4D34-B1B6-05D5C61DB509}">
      <text>
        <r>
          <rPr>
            <b/>
            <sz val="9"/>
            <color indexed="81"/>
            <rFont val="Tahoma"/>
            <family val="2"/>
          </rPr>
          <t>Potter, Daniel:</t>
        </r>
        <r>
          <rPr>
            <sz val="9"/>
            <color indexed="81"/>
            <rFont val="Tahoma"/>
            <family val="2"/>
          </rPr>
          <t xml:space="preserve">
See "June+ FCM Projections - ATY - 2024-09-12.xls"</t>
        </r>
      </text>
    </comment>
    <comment ref="S751" authorId="0" shapeId="0" xr:uid="{44E6B151-9107-401D-9B9C-C9A4BA96C8FB}">
      <text>
        <r>
          <rPr>
            <b/>
            <sz val="9"/>
            <color indexed="81"/>
            <rFont val="Tahoma"/>
            <family val="2"/>
          </rPr>
          <t>Potter, Daniel:</t>
        </r>
        <r>
          <rPr>
            <sz val="9"/>
            <color indexed="81"/>
            <rFont val="Tahoma"/>
            <family val="2"/>
          </rPr>
          <t xml:space="preserve">
See "June+ FCM Projections - ATY - 2024-09-12.xls"</t>
        </r>
      </text>
    </comment>
    <comment ref="T751" authorId="0" shapeId="0" xr:uid="{3FDCA4D5-18BB-415E-B2AB-377764055B58}">
      <text>
        <r>
          <rPr>
            <b/>
            <sz val="9"/>
            <color indexed="81"/>
            <rFont val="Tahoma"/>
            <family val="2"/>
          </rPr>
          <t>Potter, Daniel:</t>
        </r>
        <r>
          <rPr>
            <sz val="9"/>
            <color indexed="81"/>
            <rFont val="Tahoma"/>
            <family val="2"/>
          </rPr>
          <t xml:space="preserve">
See "June+ FCM Projections - ATY - 2024-09-12.xls"</t>
        </r>
      </text>
    </comment>
    <comment ref="U751" authorId="0" shapeId="0" xr:uid="{99E03D99-52DA-4068-95FE-66E797B842A9}">
      <text>
        <r>
          <rPr>
            <b/>
            <sz val="9"/>
            <color indexed="81"/>
            <rFont val="Tahoma"/>
            <family val="2"/>
          </rPr>
          <t>Potter, Daniel:</t>
        </r>
        <r>
          <rPr>
            <sz val="9"/>
            <color indexed="81"/>
            <rFont val="Tahoma"/>
            <family val="2"/>
          </rPr>
          <t xml:space="preserve">
See "June+ FCM Projections - ATY - 2024-09-12.xls"</t>
        </r>
      </text>
    </comment>
    <comment ref="V751" authorId="0" shapeId="0" xr:uid="{51AF2E84-B262-44C6-AFB3-D429F0B3DD10}">
      <text>
        <r>
          <rPr>
            <b/>
            <sz val="9"/>
            <color indexed="81"/>
            <rFont val="Tahoma"/>
            <family val="2"/>
          </rPr>
          <t>Potter, Daniel:</t>
        </r>
        <r>
          <rPr>
            <sz val="9"/>
            <color indexed="81"/>
            <rFont val="Tahoma"/>
            <family val="2"/>
          </rPr>
          <t xml:space="preserve">
See "June+ FCM Projections - ATY - 2024-09-12.xls"</t>
        </r>
      </text>
    </comment>
    <comment ref="W751" authorId="0" shapeId="0" xr:uid="{77271768-0E15-40D7-AE9F-1A9EB0DA515A}">
      <text>
        <r>
          <rPr>
            <b/>
            <sz val="9"/>
            <color indexed="81"/>
            <rFont val="Tahoma"/>
            <family val="2"/>
          </rPr>
          <t>Potter, Daniel:</t>
        </r>
        <r>
          <rPr>
            <sz val="9"/>
            <color indexed="81"/>
            <rFont val="Tahoma"/>
            <family val="2"/>
          </rPr>
          <t xml:space="preserve">
See "June+ FCM Projections - ATY - 2024-09-12.xls"</t>
        </r>
      </text>
    </comment>
    <comment ref="X751" authorId="0" shapeId="0" xr:uid="{C859C1E3-A023-45CB-AA46-F90E55AC5B35}">
      <text>
        <r>
          <rPr>
            <b/>
            <sz val="9"/>
            <color indexed="81"/>
            <rFont val="Tahoma"/>
            <family val="2"/>
          </rPr>
          <t>Potter, Daniel:</t>
        </r>
        <r>
          <rPr>
            <sz val="9"/>
            <color indexed="81"/>
            <rFont val="Tahoma"/>
            <family val="2"/>
          </rPr>
          <t xml:space="preserve">
See "June+ FCM Projections - ATY - 2024-09-12.xls"</t>
        </r>
      </text>
    </comment>
    <comment ref="Y751" authorId="0" shapeId="0" xr:uid="{286A1346-0804-457F-B3A1-FB99D1BF0930}">
      <text>
        <r>
          <rPr>
            <b/>
            <sz val="9"/>
            <color indexed="81"/>
            <rFont val="Tahoma"/>
            <family val="2"/>
          </rPr>
          <t>Potter, Daniel:</t>
        </r>
        <r>
          <rPr>
            <sz val="9"/>
            <color indexed="81"/>
            <rFont val="Tahoma"/>
            <family val="2"/>
          </rPr>
          <t xml:space="preserve">
See "June+ FCM Projections - ATY - 2024-09-12.xls"</t>
        </r>
      </text>
    </comment>
    <comment ref="Z751" authorId="0" shapeId="0" xr:uid="{CDEA49CC-247F-4544-B37A-E5A2EF82EB14}">
      <text>
        <r>
          <rPr>
            <b/>
            <sz val="9"/>
            <color indexed="81"/>
            <rFont val="Tahoma"/>
            <family val="2"/>
          </rPr>
          <t>Potter, Daniel:</t>
        </r>
        <r>
          <rPr>
            <sz val="9"/>
            <color indexed="81"/>
            <rFont val="Tahoma"/>
            <family val="2"/>
          </rPr>
          <t xml:space="preserve">
See "June+ FCM Projections - ATY - 2024-09-12.xls"</t>
        </r>
      </text>
    </comment>
    <comment ref="C752" authorId="0" shapeId="0" xr:uid="{B8D46096-4727-4B68-B567-BC32283025DC}">
      <text>
        <r>
          <rPr>
            <b/>
            <sz val="9"/>
            <color indexed="81"/>
            <rFont val="Tahoma"/>
            <family val="2"/>
          </rPr>
          <t>Potter, Daniel:</t>
        </r>
        <r>
          <rPr>
            <sz val="9"/>
            <color indexed="81"/>
            <rFont val="Tahoma"/>
            <family val="2"/>
          </rPr>
          <t xml:space="preserve">
See "June+ FCM Projections - ATY - 2023-09-27.xls"</t>
        </r>
      </text>
    </comment>
    <comment ref="D752" authorId="0" shapeId="0" xr:uid="{77F2CE66-E453-4228-9A2F-19C6F9384033}">
      <text>
        <r>
          <rPr>
            <b/>
            <sz val="9"/>
            <color indexed="81"/>
            <rFont val="Tahoma"/>
            <family val="2"/>
          </rPr>
          <t>Potter, Daniel:</t>
        </r>
        <r>
          <rPr>
            <sz val="9"/>
            <color indexed="81"/>
            <rFont val="Tahoma"/>
            <family val="2"/>
          </rPr>
          <t xml:space="preserve">
See "June+ FCM Projections - ATY - 2023-09-27.xls"</t>
        </r>
      </text>
    </comment>
    <comment ref="E752" authorId="0" shapeId="0" xr:uid="{03AA2D98-780C-4520-9B3C-041E24C020A8}">
      <text>
        <r>
          <rPr>
            <b/>
            <sz val="9"/>
            <color indexed="81"/>
            <rFont val="Tahoma"/>
            <family val="2"/>
          </rPr>
          <t>Potter, Daniel:</t>
        </r>
        <r>
          <rPr>
            <sz val="9"/>
            <color indexed="81"/>
            <rFont val="Tahoma"/>
            <family val="2"/>
          </rPr>
          <t xml:space="preserve">
See "June+ FCM Projections - ATY - 2023-09-27.xls"</t>
        </r>
      </text>
    </comment>
    <comment ref="F752" authorId="0" shapeId="0" xr:uid="{AD5A0879-909C-4B42-B9DA-EA7ADF5B8822}">
      <text>
        <r>
          <rPr>
            <b/>
            <sz val="9"/>
            <color indexed="81"/>
            <rFont val="Tahoma"/>
            <family val="2"/>
          </rPr>
          <t>Potter, Daniel:</t>
        </r>
        <r>
          <rPr>
            <sz val="9"/>
            <color indexed="81"/>
            <rFont val="Tahoma"/>
            <family val="2"/>
          </rPr>
          <t xml:space="preserve">
See "June+ FCM Projections - ATY - 2023-09-27.xls"</t>
        </r>
      </text>
    </comment>
    <comment ref="G752" authorId="0" shapeId="0" xr:uid="{74B9395F-D55F-4C49-B2DE-5C85434172E2}">
      <text>
        <r>
          <rPr>
            <b/>
            <sz val="9"/>
            <color indexed="81"/>
            <rFont val="Tahoma"/>
            <family val="2"/>
          </rPr>
          <t>Potter, Daniel:</t>
        </r>
        <r>
          <rPr>
            <sz val="9"/>
            <color indexed="81"/>
            <rFont val="Tahoma"/>
            <family val="2"/>
          </rPr>
          <t xml:space="preserve">
See "June+ FCM Projections - ATY - 2023-09-27.xls"</t>
        </r>
      </text>
    </comment>
    <comment ref="H752" authorId="0" shapeId="0" xr:uid="{F22E6BFD-2F52-4FEC-8B0A-94AFFFBA039E}">
      <text>
        <r>
          <rPr>
            <b/>
            <sz val="9"/>
            <color indexed="81"/>
            <rFont val="Tahoma"/>
            <family val="2"/>
          </rPr>
          <t>Potter, Daniel:</t>
        </r>
        <r>
          <rPr>
            <sz val="9"/>
            <color indexed="81"/>
            <rFont val="Tahoma"/>
            <family val="2"/>
          </rPr>
          <t xml:space="preserve">
See "June+ FCM Projections - ATY - 2023-09-27.xls"</t>
        </r>
      </text>
    </comment>
    <comment ref="I752" authorId="0" shapeId="0" xr:uid="{8330DCFB-31FF-4098-B06B-346698F47106}">
      <text>
        <r>
          <rPr>
            <b/>
            <sz val="9"/>
            <color indexed="81"/>
            <rFont val="Tahoma"/>
            <family val="2"/>
          </rPr>
          <t>Potter, Daniel:</t>
        </r>
        <r>
          <rPr>
            <sz val="9"/>
            <color indexed="81"/>
            <rFont val="Tahoma"/>
            <family val="2"/>
          </rPr>
          <t xml:space="preserve">
See "June+ FCM Projections - ATY - 2023-09-27.xls"</t>
        </r>
      </text>
    </comment>
    <comment ref="J752" authorId="0" shapeId="0" xr:uid="{0BD43DF3-BCBC-43B4-BC62-406C007C65DA}">
      <text>
        <r>
          <rPr>
            <b/>
            <sz val="9"/>
            <color indexed="81"/>
            <rFont val="Tahoma"/>
            <family val="2"/>
          </rPr>
          <t>Potter, Daniel:</t>
        </r>
        <r>
          <rPr>
            <sz val="9"/>
            <color indexed="81"/>
            <rFont val="Tahoma"/>
            <family val="2"/>
          </rPr>
          <t xml:space="preserve">
See "June+ FCM Projections - ATY - 2023-09-27.xls"</t>
        </r>
      </text>
    </comment>
    <comment ref="K752" authorId="0" shapeId="0" xr:uid="{48BE27C2-7553-48C7-BF29-A40040111880}">
      <text>
        <r>
          <rPr>
            <b/>
            <sz val="9"/>
            <color indexed="81"/>
            <rFont val="Tahoma"/>
            <family val="2"/>
          </rPr>
          <t>Potter, Daniel:</t>
        </r>
        <r>
          <rPr>
            <sz val="9"/>
            <color indexed="81"/>
            <rFont val="Tahoma"/>
            <family val="2"/>
          </rPr>
          <t xml:space="preserve">
See "June+ FCM Projections - ATY - 2023-09-27.xls"</t>
        </r>
      </text>
    </comment>
    <comment ref="L752" authorId="0" shapeId="0" xr:uid="{D034CB9C-B3AE-4FD9-A1FE-109CA4BDC82C}">
      <text>
        <r>
          <rPr>
            <b/>
            <sz val="9"/>
            <color indexed="81"/>
            <rFont val="Tahoma"/>
            <family val="2"/>
          </rPr>
          <t>Potter, Daniel:</t>
        </r>
        <r>
          <rPr>
            <sz val="9"/>
            <color indexed="81"/>
            <rFont val="Tahoma"/>
            <family val="2"/>
          </rPr>
          <t xml:space="preserve">
See "June+ FCM Projections - ATY - 2023-09-27.xls"</t>
        </r>
      </text>
    </comment>
    <comment ref="M752" authorId="0" shapeId="0" xr:uid="{33995D3F-6A31-4258-A4F0-4E72A186C2E2}">
      <text>
        <r>
          <rPr>
            <b/>
            <sz val="9"/>
            <color indexed="81"/>
            <rFont val="Tahoma"/>
            <family val="2"/>
          </rPr>
          <t>Potter, Daniel:</t>
        </r>
        <r>
          <rPr>
            <sz val="9"/>
            <color indexed="81"/>
            <rFont val="Tahoma"/>
            <family val="2"/>
          </rPr>
          <t xml:space="preserve">
See "June+ FCM Projections - ATY - 2023-09-27.xls"</t>
        </r>
      </text>
    </comment>
    <comment ref="N752" authorId="0" shapeId="0" xr:uid="{735D31C8-B037-4F9E-B0A5-D82848AE758B}">
      <text>
        <r>
          <rPr>
            <b/>
            <sz val="9"/>
            <color indexed="81"/>
            <rFont val="Tahoma"/>
            <family val="2"/>
          </rPr>
          <t>Potter, Daniel:</t>
        </r>
        <r>
          <rPr>
            <sz val="9"/>
            <color indexed="81"/>
            <rFont val="Tahoma"/>
            <family val="2"/>
          </rPr>
          <t xml:space="preserve">
See "June+ FCM Projections - ATY - 2023-09-27.xls"</t>
        </r>
      </text>
    </comment>
    <comment ref="O752" authorId="0" shapeId="0" xr:uid="{A8D4A43A-E55E-4642-81F4-38527B809499}">
      <text>
        <r>
          <rPr>
            <b/>
            <sz val="9"/>
            <color indexed="81"/>
            <rFont val="Tahoma"/>
            <family val="2"/>
          </rPr>
          <t>Potter, Daniel:</t>
        </r>
        <r>
          <rPr>
            <sz val="9"/>
            <color indexed="81"/>
            <rFont val="Tahoma"/>
            <family val="2"/>
          </rPr>
          <t xml:space="preserve">
See "June+ FCM Projections - ATY - 2024-09-12.xls"</t>
        </r>
      </text>
    </comment>
    <comment ref="P752" authorId="0" shapeId="0" xr:uid="{9BF32841-9D1C-409F-A3DB-E12E91D99DA0}">
      <text>
        <r>
          <rPr>
            <b/>
            <sz val="9"/>
            <color indexed="81"/>
            <rFont val="Tahoma"/>
            <family val="2"/>
          </rPr>
          <t>Potter, Daniel:</t>
        </r>
        <r>
          <rPr>
            <sz val="9"/>
            <color indexed="81"/>
            <rFont val="Tahoma"/>
            <family val="2"/>
          </rPr>
          <t xml:space="preserve">
See "June+ FCM Projections - ATY - 2024-09-12.xls"</t>
        </r>
      </text>
    </comment>
    <comment ref="Q752" authorId="0" shapeId="0" xr:uid="{758B38E3-DCBC-4341-B4AC-C1D693D1F6DB}">
      <text>
        <r>
          <rPr>
            <b/>
            <sz val="9"/>
            <color indexed="81"/>
            <rFont val="Tahoma"/>
            <family val="2"/>
          </rPr>
          <t>Potter, Daniel:</t>
        </r>
        <r>
          <rPr>
            <sz val="9"/>
            <color indexed="81"/>
            <rFont val="Tahoma"/>
            <family val="2"/>
          </rPr>
          <t xml:space="preserve">
See "June+ FCM Projections - ATY - 2024-09-12.xls"</t>
        </r>
      </text>
    </comment>
    <comment ref="R752" authorId="0" shapeId="0" xr:uid="{02C5143C-1760-46AD-8D4A-C0CB5C98916F}">
      <text>
        <r>
          <rPr>
            <b/>
            <sz val="9"/>
            <color indexed="81"/>
            <rFont val="Tahoma"/>
            <family val="2"/>
          </rPr>
          <t>Potter, Daniel:</t>
        </r>
        <r>
          <rPr>
            <sz val="9"/>
            <color indexed="81"/>
            <rFont val="Tahoma"/>
            <family val="2"/>
          </rPr>
          <t xml:space="preserve">
See "June+ FCM Projections - ATY - 2024-09-12.xls"</t>
        </r>
      </text>
    </comment>
    <comment ref="S752" authorId="0" shapeId="0" xr:uid="{5667F1D6-33C4-493B-BAB5-D76F93864535}">
      <text>
        <r>
          <rPr>
            <b/>
            <sz val="9"/>
            <color indexed="81"/>
            <rFont val="Tahoma"/>
            <family val="2"/>
          </rPr>
          <t>Potter, Daniel:</t>
        </r>
        <r>
          <rPr>
            <sz val="9"/>
            <color indexed="81"/>
            <rFont val="Tahoma"/>
            <family val="2"/>
          </rPr>
          <t xml:space="preserve">
See "June+ FCM Projections - ATY - 2024-09-12.xls"</t>
        </r>
      </text>
    </comment>
    <comment ref="T752" authorId="0" shapeId="0" xr:uid="{8D1B5F02-BB9C-43BF-A322-EED5D8A69177}">
      <text>
        <r>
          <rPr>
            <b/>
            <sz val="9"/>
            <color indexed="81"/>
            <rFont val="Tahoma"/>
            <family val="2"/>
          </rPr>
          <t>Potter, Daniel:</t>
        </r>
        <r>
          <rPr>
            <sz val="9"/>
            <color indexed="81"/>
            <rFont val="Tahoma"/>
            <family val="2"/>
          </rPr>
          <t xml:space="preserve">
See "June+ FCM Projections - ATY - 2024-09-12.xls"</t>
        </r>
      </text>
    </comment>
    <comment ref="U752" authorId="0" shapeId="0" xr:uid="{BA046493-D7A3-4D2A-A5E5-FE3421F36E55}">
      <text>
        <r>
          <rPr>
            <b/>
            <sz val="9"/>
            <color indexed="81"/>
            <rFont val="Tahoma"/>
            <family val="2"/>
          </rPr>
          <t>Potter, Daniel:</t>
        </r>
        <r>
          <rPr>
            <sz val="9"/>
            <color indexed="81"/>
            <rFont val="Tahoma"/>
            <family val="2"/>
          </rPr>
          <t xml:space="preserve">
See "June+ FCM Projections - ATY - 2024-09-12.xls"</t>
        </r>
      </text>
    </comment>
    <comment ref="V752" authorId="0" shapeId="0" xr:uid="{B524F0DA-4EC6-446A-8685-62F7098F0EE0}">
      <text>
        <r>
          <rPr>
            <b/>
            <sz val="9"/>
            <color indexed="81"/>
            <rFont val="Tahoma"/>
            <family val="2"/>
          </rPr>
          <t>Potter, Daniel:</t>
        </r>
        <r>
          <rPr>
            <sz val="9"/>
            <color indexed="81"/>
            <rFont val="Tahoma"/>
            <family val="2"/>
          </rPr>
          <t xml:space="preserve">
See "June+ FCM Projections - ATY - 2024-09-12.xls"</t>
        </r>
      </text>
    </comment>
    <comment ref="W752" authorId="0" shapeId="0" xr:uid="{17F09C76-8E9D-45B5-BA88-59098D7FEB37}">
      <text>
        <r>
          <rPr>
            <b/>
            <sz val="9"/>
            <color indexed="81"/>
            <rFont val="Tahoma"/>
            <family val="2"/>
          </rPr>
          <t>Potter, Daniel:</t>
        </r>
        <r>
          <rPr>
            <sz val="9"/>
            <color indexed="81"/>
            <rFont val="Tahoma"/>
            <family val="2"/>
          </rPr>
          <t xml:space="preserve">
See "June+ FCM Projections - ATY - 2024-09-12.xls"</t>
        </r>
      </text>
    </comment>
    <comment ref="X752" authorId="0" shapeId="0" xr:uid="{2EFFA037-2629-4FA2-9629-38DE5565C917}">
      <text>
        <r>
          <rPr>
            <b/>
            <sz val="9"/>
            <color indexed="81"/>
            <rFont val="Tahoma"/>
            <family val="2"/>
          </rPr>
          <t>Potter, Daniel:</t>
        </r>
        <r>
          <rPr>
            <sz val="9"/>
            <color indexed="81"/>
            <rFont val="Tahoma"/>
            <family val="2"/>
          </rPr>
          <t xml:space="preserve">
See "June+ FCM Projections - ATY - 2024-09-12.xls"</t>
        </r>
      </text>
    </comment>
    <comment ref="Y752" authorId="0" shapeId="0" xr:uid="{44E3D049-F38C-4C2E-9B07-FA5BCD948615}">
      <text>
        <r>
          <rPr>
            <b/>
            <sz val="9"/>
            <color indexed="81"/>
            <rFont val="Tahoma"/>
            <family val="2"/>
          </rPr>
          <t>Potter, Daniel:</t>
        </r>
        <r>
          <rPr>
            <sz val="9"/>
            <color indexed="81"/>
            <rFont val="Tahoma"/>
            <family val="2"/>
          </rPr>
          <t xml:space="preserve">
See "June+ FCM Projections - ATY - 2024-09-12.xls"</t>
        </r>
      </text>
    </comment>
    <comment ref="Z752" authorId="0" shapeId="0" xr:uid="{7927F6CC-39F5-4F7F-8DBD-4798FF57251F}">
      <text>
        <r>
          <rPr>
            <b/>
            <sz val="9"/>
            <color indexed="81"/>
            <rFont val="Tahoma"/>
            <family val="2"/>
          </rPr>
          <t>Potter, Daniel:</t>
        </r>
        <r>
          <rPr>
            <sz val="9"/>
            <color indexed="81"/>
            <rFont val="Tahoma"/>
            <family val="2"/>
          </rPr>
          <t xml:space="preserve">
See "June+ FCM Projections - ATY - 2024-09-12.xls"</t>
        </r>
      </text>
    </comment>
    <comment ref="C753" authorId="0" shapeId="0" xr:uid="{E3DDF382-3BAF-49F1-95D2-D782C4142D52}">
      <text>
        <r>
          <rPr>
            <b/>
            <sz val="9"/>
            <color indexed="81"/>
            <rFont val="Tahoma"/>
            <family val="2"/>
          </rPr>
          <t>Potter, Daniel:</t>
        </r>
        <r>
          <rPr>
            <sz val="9"/>
            <color indexed="81"/>
            <rFont val="Tahoma"/>
            <family val="2"/>
          </rPr>
          <t xml:space="preserve">
See "June+ FCM Projections - ATY - 2023-10-04.xls"</t>
        </r>
      </text>
    </comment>
    <comment ref="D753" authorId="0" shapeId="0" xr:uid="{337E2410-6FA1-408A-A5EF-25D0A5087CB3}">
      <text>
        <r>
          <rPr>
            <b/>
            <sz val="9"/>
            <color indexed="81"/>
            <rFont val="Tahoma"/>
            <family val="2"/>
          </rPr>
          <t>Potter, Daniel:</t>
        </r>
        <r>
          <rPr>
            <sz val="9"/>
            <color indexed="81"/>
            <rFont val="Tahoma"/>
            <family val="2"/>
          </rPr>
          <t xml:space="preserve">
See "June+ FCM Projections - ATY - 2023-10-04.xls"</t>
        </r>
      </text>
    </comment>
    <comment ref="E753" authorId="0" shapeId="0" xr:uid="{BDFDEC8C-C16A-40D6-8DB6-33C52A73F578}">
      <text>
        <r>
          <rPr>
            <b/>
            <sz val="9"/>
            <color indexed="81"/>
            <rFont val="Tahoma"/>
            <family val="2"/>
          </rPr>
          <t>Potter, Daniel:</t>
        </r>
        <r>
          <rPr>
            <sz val="9"/>
            <color indexed="81"/>
            <rFont val="Tahoma"/>
            <family val="2"/>
          </rPr>
          <t xml:space="preserve">
See "June+ FCM Projections - ATY - 2023-10-04.xls"</t>
        </r>
      </text>
    </comment>
    <comment ref="F753" authorId="0" shapeId="0" xr:uid="{82759962-6862-4E70-9710-909476260C8E}">
      <text>
        <r>
          <rPr>
            <b/>
            <sz val="9"/>
            <color indexed="81"/>
            <rFont val="Tahoma"/>
            <family val="2"/>
          </rPr>
          <t>Potter, Daniel:</t>
        </r>
        <r>
          <rPr>
            <sz val="9"/>
            <color indexed="81"/>
            <rFont val="Tahoma"/>
            <family val="2"/>
          </rPr>
          <t xml:space="preserve">
See "June+ FCM Projections - ATY - 2023-10-04.xls"</t>
        </r>
      </text>
    </comment>
    <comment ref="G753" authorId="0" shapeId="0" xr:uid="{DD6E88BF-B0D3-430C-AC4B-BFA03F2C0F4C}">
      <text>
        <r>
          <rPr>
            <b/>
            <sz val="9"/>
            <color indexed="81"/>
            <rFont val="Tahoma"/>
            <family val="2"/>
          </rPr>
          <t>Potter, Daniel:</t>
        </r>
        <r>
          <rPr>
            <sz val="9"/>
            <color indexed="81"/>
            <rFont val="Tahoma"/>
            <family val="2"/>
          </rPr>
          <t xml:space="preserve">
See "June+ FCM Projections - ATY - 2023-10-04.xls"</t>
        </r>
      </text>
    </comment>
    <comment ref="H753" authorId="0" shapeId="0" xr:uid="{C6B2468D-EEED-4E4C-8E9C-FD9642C65DD6}">
      <text>
        <r>
          <rPr>
            <b/>
            <sz val="9"/>
            <color indexed="81"/>
            <rFont val="Tahoma"/>
            <family val="2"/>
          </rPr>
          <t>Potter, Daniel:</t>
        </r>
        <r>
          <rPr>
            <sz val="9"/>
            <color indexed="81"/>
            <rFont val="Tahoma"/>
            <family val="2"/>
          </rPr>
          <t xml:space="preserve">
See "June+ FCM Projections - ATY - 2023-10-04.xls"</t>
        </r>
      </text>
    </comment>
    <comment ref="I753" authorId="0" shapeId="0" xr:uid="{48E521B0-8F1B-421C-BEE9-8B4DF292190D}">
      <text>
        <r>
          <rPr>
            <b/>
            <sz val="9"/>
            <color indexed="81"/>
            <rFont val="Tahoma"/>
            <family val="2"/>
          </rPr>
          <t>Potter, Daniel:</t>
        </r>
        <r>
          <rPr>
            <sz val="9"/>
            <color indexed="81"/>
            <rFont val="Tahoma"/>
            <family val="2"/>
          </rPr>
          <t xml:space="preserve">
See "June+ FCM Projections - ATY - 2023-10-04.xls"</t>
        </r>
      </text>
    </comment>
    <comment ref="J753" authorId="0" shapeId="0" xr:uid="{499B2382-F739-4B47-B7F0-EF44061988E1}">
      <text>
        <r>
          <rPr>
            <b/>
            <sz val="9"/>
            <color indexed="81"/>
            <rFont val="Tahoma"/>
            <family val="2"/>
          </rPr>
          <t>Potter, Daniel:</t>
        </r>
        <r>
          <rPr>
            <sz val="9"/>
            <color indexed="81"/>
            <rFont val="Tahoma"/>
            <family val="2"/>
          </rPr>
          <t xml:space="preserve">
See "June+ FCM Projections - ATY - 2023-10-04.xls"</t>
        </r>
      </text>
    </comment>
    <comment ref="K753" authorId="0" shapeId="0" xr:uid="{6249D9C9-E272-4332-92B0-E70570F677DA}">
      <text>
        <r>
          <rPr>
            <b/>
            <sz val="9"/>
            <color indexed="81"/>
            <rFont val="Tahoma"/>
            <family val="2"/>
          </rPr>
          <t>Potter, Daniel:</t>
        </r>
        <r>
          <rPr>
            <sz val="9"/>
            <color indexed="81"/>
            <rFont val="Tahoma"/>
            <family val="2"/>
          </rPr>
          <t xml:space="preserve">
See "June+ FCM Projections - ATY - 2023-10-04.xls"</t>
        </r>
      </text>
    </comment>
    <comment ref="L753" authorId="0" shapeId="0" xr:uid="{AEA53E6B-6EFD-4AA4-BF63-C0F0100C7DB9}">
      <text>
        <r>
          <rPr>
            <b/>
            <sz val="9"/>
            <color indexed="81"/>
            <rFont val="Tahoma"/>
            <family val="2"/>
          </rPr>
          <t>Potter, Daniel:</t>
        </r>
        <r>
          <rPr>
            <sz val="9"/>
            <color indexed="81"/>
            <rFont val="Tahoma"/>
            <family val="2"/>
          </rPr>
          <t xml:space="preserve">
See "June+ FCM Projections - ATY - 2023-10-04.xls"</t>
        </r>
      </text>
    </comment>
    <comment ref="M753" authorId="0" shapeId="0" xr:uid="{240079CF-A391-47BB-969E-CD9310242E25}">
      <text>
        <r>
          <rPr>
            <b/>
            <sz val="9"/>
            <color indexed="81"/>
            <rFont val="Tahoma"/>
            <family val="2"/>
          </rPr>
          <t>Potter, Daniel:</t>
        </r>
        <r>
          <rPr>
            <sz val="9"/>
            <color indexed="81"/>
            <rFont val="Tahoma"/>
            <family val="2"/>
          </rPr>
          <t xml:space="preserve">
See "June+ FCM Projections - ATY - 2023-10-04.xls"</t>
        </r>
      </text>
    </comment>
    <comment ref="N753" authorId="0" shapeId="0" xr:uid="{ED4B1E5D-04D2-4081-8100-5F3E76D5E65C}">
      <text>
        <r>
          <rPr>
            <b/>
            <sz val="9"/>
            <color indexed="81"/>
            <rFont val="Tahoma"/>
            <family val="2"/>
          </rPr>
          <t>Potter, Daniel:</t>
        </r>
        <r>
          <rPr>
            <sz val="9"/>
            <color indexed="81"/>
            <rFont val="Tahoma"/>
            <family val="2"/>
          </rPr>
          <t xml:space="preserve">
See "June+ FCM Projections - ATY - 2023-10-04.xls"</t>
        </r>
      </text>
    </comment>
    <comment ref="O753" authorId="0" shapeId="0" xr:uid="{8F967364-0543-4AB6-A6D6-C95A7A28A3C3}">
      <text>
        <r>
          <rPr>
            <b/>
            <sz val="9"/>
            <color indexed="81"/>
            <rFont val="Tahoma"/>
            <family val="2"/>
          </rPr>
          <t>Potter, Daniel:</t>
        </r>
        <r>
          <rPr>
            <sz val="9"/>
            <color indexed="81"/>
            <rFont val="Tahoma"/>
            <family val="2"/>
          </rPr>
          <t xml:space="preserve">
See "June+ FCM Projections - ATY - 2024-09-12.xls"</t>
        </r>
      </text>
    </comment>
    <comment ref="P753" authorId="0" shapeId="0" xr:uid="{A53EF9B3-374F-4759-BC38-E0AA28C96836}">
      <text>
        <r>
          <rPr>
            <b/>
            <sz val="9"/>
            <color indexed="81"/>
            <rFont val="Tahoma"/>
            <family val="2"/>
          </rPr>
          <t>Potter, Daniel:</t>
        </r>
        <r>
          <rPr>
            <sz val="9"/>
            <color indexed="81"/>
            <rFont val="Tahoma"/>
            <family val="2"/>
          </rPr>
          <t xml:space="preserve">
See "June+ FCM Projections - ATY - 2024-09-12.xls"</t>
        </r>
      </text>
    </comment>
    <comment ref="Q753" authorId="0" shapeId="0" xr:uid="{86A76654-6DA5-426C-8086-12270BD1D724}">
      <text>
        <r>
          <rPr>
            <b/>
            <sz val="9"/>
            <color indexed="81"/>
            <rFont val="Tahoma"/>
            <family val="2"/>
          </rPr>
          <t>Potter, Daniel:</t>
        </r>
        <r>
          <rPr>
            <sz val="9"/>
            <color indexed="81"/>
            <rFont val="Tahoma"/>
            <family val="2"/>
          </rPr>
          <t xml:space="preserve">
See "June+ FCM Projections - ATY - 2024-09-12.xls"</t>
        </r>
      </text>
    </comment>
    <comment ref="R753" authorId="0" shapeId="0" xr:uid="{C5F57061-4F30-4BDD-A82F-3D320DC00156}">
      <text>
        <r>
          <rPr>
            <b/>
            <sz val="9"/>
            <color indexed="81"/>
            <rFont val="Tahoma"/>
            <family val="2"/>
          </rPr>
          <t>Potter, Daniel:</t>
        </r>
        <r>
          <rPr>
            <sz val="9"/>
            <color indexed="81"/>
            <rFont val="Tahoma"/>
            <family val="2"/>
          </rPr>
          <t xml:space="preserve">
See "June+ FCM Projections - ATY - 2024-09-12.xls"</t>
        </r>
      </text>
    </comment>
    <comment ref="S753" authorId="0" shapeId="0" xr:uid="{0BDA629E-24D6-46AC-ADBF-627751F7D927}">
      <text>
        <r>
          <rPr>
            <b/>
            <sz val="9"/>
            <color indexed="81"/>
            <rFont val="Tahoma"/>
            <family val="2"/>
          </rPr>
          <t>Potter, Daniel:</t>
        </r>
        <r>
          <rPr>
            <sz val="9"/>
            <color indexed="81"/>
            <rFont val="Tahoma"/>
            <family val="2"/>
          </rPr>
          <t xml:space="preserve">
See "June+ FCM Projections - ATY - 2024-09-12.xls"</t>
        </r>
      </text>
    </comment>
    <comment ref="T753" authorId="0" shapeId="0" xr:uid="{45F9EECC-8480-48BA-B105-303C6B4ADE70}">
      <text>
        <r>
          <rPr>
            <b/>
            <sz val="9"/>
            <color indexed="81"/>
            <rFont val="Tahoma"/>
            <family val="2"/>
          </rPr>
          <t>Potter, Daniel:</t>
        </r>
        <r>
          <rPr>
            <sz val="9"/>
            <color indexed="81"/>
            <rFont val="Tahoma"/>
            <family val="2"/>
          </rPr>
          <t xml:space="preserve">
See "June+ FCM Projections - ATY - 2024-09-12.xls"</t>
        </r>
      </text>
    </comment>
    <comment ref="U753" authorId="0" shapeId="0" xr:uid="{BF19AD70-7C23-422F-8FF5-DEE5CDD71550}">
      <text>
        <r>
          <rPr>
            <b/>
            <sz val="9"/>
            <color indexed="81"/>
            <rFont val="Tahoma"/>
            <family val="2"/>
          </rPr>
          <t>Potter, Daniel:</t>
        </r>
        <r>
          <rPr>
            <sz val="9"/>
            <color indexed="81"/>
            <rFont val="Tahoma"/>
            <family val="2"/>
          </rPr>
          <t xml:space="preserve">
See "June+ FCM Projections - ATY - 2024-09-12.xls"</t>
        </r>
      </text>
    </comment>
    <comment ref="V753" authorId="0" shapeId="0" xr:uid="{148E20C5-7854-4793-A8A7-89F80F764DA0}">
      <text>
        <r>
          <rPr>
            <b/>
            <sz val="9"/>
            <color indexed="81"/>
            <rFont val="Tahoma"/>
            <family val="2"/>
          </rPr>
          <t>Potter, Daniel:</t>
        </r>
        <r>
          <rPr>
            <sz val="9"/>
            <color indexed="81"/>
            <rFont val="Tahoma"/>
            <family val="2"/>
          </rPr>
          <t xml:space="preserve">
See "June+ FCM Projections - ATY - 2024-09-12.xls"</t>
        </r>
      </text>
    </comment>
    <comment ref="W753" authorId="0" shapeId="0" xr:uid="{92813656-3462-4338-B133-891DB9885CEB}">
      <text>
        <r>
          <rPr>
            <b/>
            <sz val="9"/>
            <color indexed="81"/>
            <rFont val="Tahoma"/>
            <family val="2"/>
          </rPr>
          <t>Potter, Daniel:</t>
        </r>
        <r>
          <rPr>
            <sz val="9"/>
            <color indexed="81"/>
            <rFont val="Tahoma"/>
            <family val="2"/>
          </rPr>
          <t xml:space="preserve">
See "June+ FCM Projections - ATY - 2024-09-12.xls"</t>
        </r>
      </text>
    </comment>
    <comment ref="X753" authorId="0" shapeId="0" xr:uid="{0C8CA3D5-3291-472D-9BDE-5C8C36805075}">
      <text>
        <r>
          <rPr>
            <b/>
            <sz val="9"/>
            <color indexed="81"/>
            <rFont val="Tahoma"/>
            <family val="2"/>
          </rPr>
          <t>Potter, Daniel:</t>
        </r>
        <r>
          <rPr>
            <sz val="9"/>
            <color indexed="81"/>
            <rFont val="Tahoma"/>
            <family val="2"/>
          </rPr>
          <t xml:space="preserve">
See "June+ FCM Projections - ATY - 2024-09-12.xls"</t>
        </r>
      </text>
    </comment>
    <comment ref="Y753" authorId="0" shapeId="0" xr:uid="{3D209B9E-C76C-4A73-BDAC-9C502DC8CE97}">
      <text>
        <r>
          <rPr>
            <b/>
            <sz val="9"/>
            <color indexed="81"/>
            <rFont val="Tahoma"/>
            <family val="2"/>
          </rPr>
          <t>Potter, Daniel:</t>
        </r>
        <r>
          <rPr>
            <sz val="9"/>
            <color indexed="81"/>
            <rFont val="Tahoma"/>
            <family val="2"/>
          </rPr>
          <t xml:space="preserve">
See "June+ FCM Projections - ATY - 2024-09-12.xls"</t>
        </r>
      </text>
    </comment>
    <comment ref="Z753" authorId="0" shapeId="0" xr:uid="{A8B8827A-4B1D-4C5A-9436-A491AEB0F708}">
      <text>
        <r>
          <rPr>
            <b/>
            <sz val="9"/>
            <color indexed="81"/>
            <rFont val="Tahoma"/>
            <family val="2"/>
          </rPr>
          <t>Potter, Daniel:</t>
        </r>
        <r>
          <rPr>
            <sz val="9"/>
            <color indexed="81"/>
            <rFont val="Tahoma"/>
            <family val="2"/>
          </rPr>
          <t xml:space="preserve">
See "June+ FCM Projections - ATY - 2024-09-12.xls"</t>
        </r>
      </text>
    </comment>
    <comment ref="C754" authorId="0" shapeId="0" xr:uid="{B1F42DF9-2D80-428D-B85C-F62D5713B07E}">
      <text>
        <r>
          <rPr>
            <b/>
            <sz val="9"/>
            <color indexed="81"/>
            <rFont val="Tahoma"/>
            <family val="2"/>
          </rPr>
          <t>Potter, Daniel:</t>
        </r>
        <r>
          <rPr>
            <sz val="9"/>
            <color indexed="81"/>
            <rFont val="Tahoma"/>
            <family val="2"/>
          </rPr>
          <t xml:space="preserve">
See "June+ FCM Projections - ATY - 2023-09-27.xls"</t>
        </r>
      </text>
    </comment>
    <comment ref="D754" authorId="0" shapeId="0" xr:uid="{1B1DFD36-1A99-4371-883D-82B558AAB61F}">
      <text>
        <r>
          <rPr>
            <b/>
            <sz val="9"/>
            <color indexed="81"/>
            <rFont val="Tahoma"/>
            <family val="2"/>
          </rPr>
          <t>Potter, Daniel:</t>
        </r>
        <r>
          <rPr>
            <sz val="9"/>
            <color indexed="81"/>
            <rFont val="Tahoma"/>
            <family val="2"/>
          </rPr>
          <t xml:space="preserve">
See "June+ FCM Projections - ATY - 2023-09-27.xls"</t>
        </r>
      </text>
    </comment>
    <comment ref="E754" authorId="0" shapeId="0" xr:uid="{7335C176-BD25-44BB-B1F2-A39ACEEBC111}">
      <text>
        <r>
          <rPr>
            <b/>
            <sz val="9"/>
            <color indexed="81"/>
            <rFont val="Tahoma"/>
            <family val="2"/>
          </rPr>
          <t>Potter, Daniel:</t>
        </r>
        <r>
          <rPr>
            <sz val="9"/>
            <color indexed="81"/>
            <rFont val="Tahoma"/>
            <family val="2"/>
          </rPr>
          <t xml:space="preserve">
See "June+ FCM Projections - ATY - 2023-09-27.xls"</t>
        </r>
      </text>
    </comment>
    <comment ref="F754" authorId="0" shapeId="0" xr:uid="{49E14C89-F39F-482A-85A3-F77D8DC2C169}">
      <text>
        <r>
          <rPr>
            <b/>
            <sz val="9"/>
            <color indexed="81"/>
            <rFont val="Tahoma"/>
            <family val="2"/>
          </rPr>
          <t>Potter, Daniel:</t>
        </r>
        <r>
          <rPr>
            <sz val="9"/>
            <color indexed="81"/>
            <rFont val="Tahoma"/>
            <family val="2"/>
          </rPr>
          <t xml:space="preserve">
See "June+ FCM Projections - ATY - 2023-09-27.xls"</t>
        </r>
      </text>
    </comment>
    <comment ref="G754" authorId="0" shapeId="0" xr:uid="{D65AB078-C4E1-4EAF-A9EC-E5CAF3D5E489}">
      <text>
        <r>
          <rPr>
            <b/>
            <sz val="9"/>
            <color indexed="81"/>
            <rFont val="Tahoma"/>
            <family val="2"/>
          </rPr>
          <t>Potter, Daniel:</t>
        </r>
        <r>
          <rPr>
            <sz val="9"/>
            <color indexed="81"/>
            <rFont val="Tahoma"/>
            <family val="2"/>
          </rPr>
          <t xml:space="preserve">
See "June+ FCM Projections - ATY - 2023-09-27.xls"</t>
        </r>
      </text>
    </comment>
    <comment ref="H754" authorId="0" shapeId="0" xr:uid="{568AE434-55EB-4C9D-97D0-14A56CD4C868}">
      <text>
        <r>
          <rPr>
            <b/>
            <sz val="9"/>
            <color indexed="81"/>
            <rFont val="Tahoma"/>
            <family val="2"/>
          </rPr>
          <t>Potter, Daniel:</t>
        </r>
        <r>
          <rPr>
            <sz val="9"/>
            <color indexed="81"/>
            <rFont val="Tahoma"/>
            <family val="2"/>
          </rPr>
          <t xml:space="preserve">
See "June+ FCM Projections - ATY - 2023-09-27.xls"</t>
        </r>
      </text>
    </comment>
    <comment ref="I754" authorId="0" shapeId="0" xr:uid="{ECDE8585-DE74-496B-9EFB-7DEBEF158900}">
      <text>
        <r>
          <rPr>
            <b/>
            <sz val="9"/>
            <color indexed="81"/>
            <rFont val="Tahoma"/>
            <family val="2"/>
          </rPr>
          <t>Potter, Daniel:</t>
        </r>
        <r>
          <rPr>
            <sz val="9"/>
            <color indexed="81"/>
            <rFont val="Tahoma"/>
            <family val="2"/>
          </rPr>
          <t xml:space="preserve">
See "June+ FCM Projections - ATY - 2023-09-27.xls"</t>
        </r>
      </text>
    </comment>
    <comment ref="J754" authorId="0" shapeId="0" xr:uid="{79D36112-B9A4-458D-A47D-E1C72401D967}">
      <text>
        <r>
          <rPr>
            <b/>
            <sz val="9"/>
            <color indexed="81"/>
            <rFont val="Tahoma"/>
            <family val="2"/>
          </rPr>
          <t>Potter, Daniel:</t>
        </r>
        <r>
          <rPr>
            <sz val="9"/>
            <color indexed="81"/>
            <rFont val="Tahoma"/>
            <family val="2"/>
          </rPr>
          <t xml:space="preserve">
See "June+ FCM Projections - ATY - 2023-09-27.xls"</t>
        </r>
      </text>
    </comment>
    <comment ref="K754" authorId="0" shapeId="0" xr:uid="{711ACB9F-65CB-4C48-99E8-F80728421565}">
      <text>
        <r>
          <rPr>
            <b/>
            <sz val="9"/>
            <color indexed="81"/>
            <rFont val="Tahoma"/>
            <family val="2"/>
          </rPr>
          <t>Potter, Daniel:</t>
        </r>
        <r>
          <rPr>
            <sz val="9"/>
            <color indexed="81"/>
            <rFont val="Tahoma"/>
            <family val="2"/>
          </rPr>
          <t xml:space="preserve">
See "June+ FCM Projections - ATY - 2023-09-27.xls"</t>
        </r>
      </text>
    </comment>
    <comment ref="L754" authorId="0" shapeId="0" xr:uid="{CD208154-4772-49DC-9FF6-F6B41AFCC501}">
      <text>
        <r>
          <rPr>
            <b/>
            <sz val="9"/>
            <color indexed="81"/>
            <rFont val="Tahoma"/>
            <family val="2"/>
          </rPr>
          <t>Potter, Daniel:</t>
        </r>
        <r>
          <rPr>
            <sz val="9"/>
            <color indexed="81"/>
            <rFont val="Tahoma"/>
            <family val="2"/>
          </rPr>
          <t xml:space="preserve">
See "June+ FCM Projections - ATY - 2023-09-27.xls"</t>
        </r>
      </text>
    </comment>
    <comment ref="M754" authorId="0" shapeId="0" xr:uid="{3389665F-8C94-4837-A046-50E32A7685B3}">
      <text>
        <r>
          <rPr>
            <b/>
            <sz val="9"/>
            <color indexed="81"/>
            <rFont val="Tahoma"/>
            <family val="2"/>
          </rPr>
          <t>Potter, Daniel:</t>
        </r>
        <r>
          <rPr>
            <sz val="9"/>
            <color indexed="81"/>
            <rFont val="Tahoma"/>
            <family val="2"/>
          </rPr>
          <t xml:space="preserve">
See "June+ FCM Projections - ATY - 2023-09-27.xls"</t>
        </r>
      </text>
    </comment>
    <comment ref="N754" authorId="0" shapeId="0" xr:uid="{DE95CEE8-388E-4CA6-AF3B-9A10A59D6481}">
      <text>
        <r>
          <rPr>
            <b/>
            <sz val="9"/>
            <color indexed="81"/>
            <rFont val="Tahoma"/>
            <family val="2"/>
          </rPr>
          <t>Potter, Daniel:</t>
        </r>
        <r>
          <rPr>
            <sz val="9"/>
            <color indexed="81"/>
            <rFont val="Tahoma"/>
            <family val="2"/>
          </rPr>
          <t xml:space="preserve">
See "June+ FCM Projections - ATY - 2023-09-27.xls"</t>
        </r>
      </text>
    </comment>
    <comment ref="O754" authorId="0" shapeId="0" xr:uid="{683986A0-C047-4DCB-A6D7-C999101706D9}">
      <text>
        <r>
          <rPr>
            <b/>
            <sz val="9"/>
            <color indexed="81"/>
            <rFont val="Tahoma"/>
            <family val="2"/>
          </rPr>
          <t>Potter, Daniel:</t>
        </r>
        <r>
          <rPr>
            <sz val="9"/>
            <color indexed="81"/>
            <rFont val="Tahoma"/>
            <family val="2"/>
          </rPr>
          <t xml:space="preserve">
See "June+ FCM Projections - ATY - 2024-09-12.xls"</t>
        </r>
      </text>
    </comment>
    <comment ref="P754" authorId="0" shapeId="0" xr:uid="{355E4209-9D52-44BA-ACF9-BCC709B09095}">
      <text>
        <r>
          <rPr>
            <b/>
            <sz val="9"/>
            <color indexed="81"/>
            <rFont val="Tahoma"/>
            <family val="2"/>
          </rPr>
          <t>Potter, Daniel:</t>
        </r>
        <r>
          <rPr>
            <sz val="9"/>
            <color indexed="81"/>
            <rFont val="Tahoma"/>
            <family val="2"/>
          </rPr>
          <t xml:space="preserve">
See "June+ FCM Projections - ATY - 2024-09-12.xls"</t>
        </r>
      </text>
    </comment>
    <comment ref="Q754" authorId="0" shapeId="0" xr:uid="{DF196C07-E25E-4E61-BB5D-34F6117ED25B}">
      <text>
        <r>
          <rPr>
            <b/>
            <sz val="9"/>
            <color indexed="81"/>
            <rFont val="Tahoma"/>
            <family val="2"/>
          </rPr>
          <t>Potter, Daniel:</t>
        </r>
        <r>
          <rPr>
            <sz val="9"/>
            <color indexed="81"/>
            <rFont val="Tahoma"/>
            <family val="2"/>
          </rPr>
          <t xml:space="preserve">
See "June+ FCM Projections - ATY - 2024-09-12.xls"</t>
        </r>
      </text>
    </comment>
    <comment ref="R754" authorId="0" shapeId="0" xr:uid="{0016F620-B00C-4AB1-AF64-B598F97863A4}">
      <text>
        <r>
          <rPr>
            <b/>
            <sz val="9"/>
            <color indexed="81"/>
            <rFont val="Tahoma"/>
            <family val="2"/>
          </rPr>
          <t>Potter, Daniel:</t>
        </r>
        <r>
          <rPr>
            <sz val="9"/>
            <color indexed="81"/>
            <rFont val="Tahoma"/>
            <family val="2"/>
          </rPr>
          <t xml:space="preserve">
See "June+ FCM Projections - ATY - 2024-09-12.xls"</t>
        </r>
      </text>
    </comment>
    <comment ref="S754" authorId="0" shapeId="0" xr:uid="{118F3185-40E6-4BC7-AD1C-A71AEF43A1E7}">
      <text>
        <r>
          <rPr>
            <b/>
            <sz val="9"/>
            <color indexed="81"/>
            <rFont val="Tahoma"/>
            <family val="2"/>
          </rPr>
          <t>Potter, Daniel:</t>
        </r>
        <r>
          <rPr>
            <sz val="9"/>
            <color indexed="81"/>
            <rFont val="Tahoma"/>
            <family val="2"/>
          </rPr>
          <t xml:space="preserve">
See "June+ FCM Projections - ATY - 2024-09-12.xls"</t>
        </r>
      </text>
    </comment>
    <comment ref="T754" authorId="0" shapeId="0" xr:uid="{254FCD28-33D2-44CE-BF53-2407F7B5ACDC}">
      <text>
        <r>
          <rPr>
            <b/>
            <sz val="9"/>
            <color indexed="81"/>
            <rFont val="Tahoma"/>
            <family val="2"/>
          </rPr>
          <t>Potter, Daniel:</t>
        </r>
        <r>
          <rPr>
            <sz val="9"/>
            <color indexed="81"/>
            <rFont val="Tahoma"/>
            <family val="2"/>
          </rPr>
          <t xml:space="preserve">
See "June+ FCM Projections - ATY - 2024-09-12.xls"</t>
        </r>
      </text>
    </comment>
    <comment ref="U754" authorId="0" shapeId="0" xr:uid="{63BBA196-618B-46CB-8080-B431CBBC3DAD}">
      <text>
        <r>
          <rPr>
            <b/>
            <sz val="9"/>
            <color indexed="81"/>
            <rFont val="Tahoma"/>
            <family val="2"/>
          </rPr>
          <t>Potter, Daniel:</t>
        </r>
        <r>
          <rPr>
            <sz val="9"/>
            <color indexed="81"/>
            <rFont val="Tahoma"/>
            <family val="2"/>
          </rPr>
          <t xml:space="preserve">
See "June+ FCM Projections - ATY - 2024-09-12.xls"</t>
        </r>
      </text>
    </comment>
    <comment ref="V754" authorId="0" shapeId="0" xr:uid="{A9FFD377-C99B-4074-87FC-B5297239EF25}">
      <text>
        <r>
          <rPr>
            <b/>
            <sz val="9"/>
            <color indexed="81"/>
            <rFont val="Tahoma"/>
            <family val="2"/>
          </rPr>
          <t>Potter, Daniel:</t>
        </r>
        <r>
          <rPr>
            <sz val="9"/>
            <color indexed="81"/>
            <rFont val="Tahoma"/>
            <family val="2"/>
          </rPr>
          <t xml:space="preserve">
See "June+ FCM Projections - ATY - 2024-09-12.xls"</t>
        </r>
      </text>
    </comment>
    <comment ref="W754" authorId="0" shapeId="0" xr:uid="{1621DD0B-7737-4FDF-B270-5FA57C0267FB}">
      <text>
        <r>
          <rPr>
            <b/>
            <sz val="9"/>
            <color indexed="81"/>
            <rFont val="Tahoma"/>
            <family val="2"/>
          </rPr>
          <t>Potter, Daniel:</t>
        </r>
        <r>
          <rPr>
            <sz val="9"/>
            <color indexed="81"/>
            <rFont val="Tahoma"/>
            <family val="2"/>
          </rPr>
          <t xml:space="preserve">
See "June+ FCM Projections - ATY - 2024-09-12.xls"</t>
        </r>
      </text>
    </comment>
    <comment ref="X754" authorId="0" shapeId="0" xr:uid="{106A4ADA-C487-4A2B-816C-801D111F4306}">
      <text>
        <r>
          <rPr>
            <b/>
            <sz val="9"/>
            <color indexed="81"/>
            <rFont val="Tahoma"/>
            <family val="2"/>
          </rPr>
          <t>Potter, Daniel:</t>
        </r>
        <r>
          <rPr>
            <sz val="9"/>
            <color indexed="81"/>
            <rFont val="Tahoma"/>
            <family val="2"/>
          </rPr>
          <t xml:space="preserve">
See "June+ FCM Projections - ATY - 2024-09-12.xls"</t>
        </r>
      </text>
    </comment>
    <comment ref="Y754" authorId="0" shapeId="0" xr:uid="{1ECA9E86-3792-41F5-A178-A59B9CCB88A9}">
      <text>
        <r>
          <rPr>
            <b/>
            <sz val="9"/>
            <color indexed="81"/>
            <rFont val="Tahoma"/>
            <family val="2"/>
          </rPr>
          <t>Potter, Daniel:</t>
        </r>
        <r>
          <rPr>
            <sz val="9"/>
            <color indexed="81"/>
            <rFont val="Tahoma"/>
            <family val="2"/>
          </rPr>
          <t xml:space="preserve">
See "June+ FCM Projections - ATY - 2024-09-12.xls"</t>
        </r>
      </text>
    </comment>
    <comment ref="Z754" authorId="0" shapeId="0" xr:uid="{3C7E7AC3-A90F-428B-B90C-E9A38C3284D1}">
      <text>
        <r>
          <rPr>
            <b/>
            <sz val="9"/>
            <color indexed="81"/>
            <rFont val="Tahoma"/>
            <family val="2"/>
          </rPr>
          <t>Potter, Daniel:</t>
        </r>
        <r>
          <rPr>
            <sz val="9"/>
            <color indexed="81"/>
            <rFont val="Tahoma"/>
            <family val="2"/>
          </rPr>
          <t xml:space="preserve">
See "June+ FCM Projections - ATY - 2024-09-12.xls"</t>
        </r>
      </text>
    </comment>
    <comment ref="C755" authorId="0" shapeId="0" xr:uid="{60A34793-946A-49D5-9A4A-CD038335A075}">
      <text>
        <r>
          <rPr>
            <b/>
            <sz val="9"/>
            <color indexed="81"/>
            <rFont val="Tahoma"/>
            <family val="2"/>
          </rPr>
          <t>Potter, Daniel:</t>
        </r>
        <r>
          <rPr>
            <sz val="9"/>
            <color indexed="81"/>
            <rFont val="Tahoma"/>
            <family val="2"/>
          </rPr>
          <t xml:space="preserve">
See "June+ FCM Projections - ATY - 2023-09-27.xls"</t>
        </r>
      </text>
    </comment>
    <comment ref="D755" authorId="0" shapeId="0" xr:uid="{D2CCF7A7-F402-4BDC-BAB3-3350AE0891B4}">
      <text>
        <r>
          <rPr>
            <b/>
            <sz val="9"/>
            <color indexed="81"/>
            <rFont val="Tahoma"/>
            <family val="2"/>
          </rPr>
          <t>Potter, Daniel:</t>
        </r>
        <r>
          <rPr>
            <sz val="9"/>
            <color indexed="81"/>
            <rFont val="Tahoma"/>
            <family val="2"/>
          </rPr>
          <t xml:space="preserve">
See "June+ FCM Projections - ATY - 2023-09-27.xls"</t>
        </r>
      </text>
    </comment>
    <comment ref="E755" authorId="0" shapeId="0" xr:uid="{129D53CF-F3C8-47AF-A7AF-4684A0987730}">
      <text>
        <r>
          <rPr>
            <b/>
            <sz val="9"/>
            <color indexed="81"/>
            <rFont val="Tahoma"/>
            <family val="2"/>
          </rPr>
          <t>Potter, Daniel:</t>
        </r>
        <r>
          <rPr>
            <sz val="9"/>
            <color indexed="81"/>
            <rFont val="Tahoma"/>
            <family val="2"/>
          </rPr>
          <t xml:space="preserve">
See "June+ FCM Projections - ATY - 2023-09-27.xls"</t>
        </r>
      </text>
    </comment>
    <comment ref="F755" authorId="0" shapeId="0" xr:uid="{62BC6346-61F3-457B-9E9A-73B4630C26D3}">
      <text>
        <r>
          <rPr>
            <b/>
            <sz val="9"/>
            <color indexed="81"/>
            <rFont val="Tahoma"/>
            <family val="2"/>
          </rPr>
          <t>Potter, Daniel:</t>
        </r>
        <r>
          <rPr>
            <sz val="9"/>
            <color indexed="81"/>
            <rFont val="Tahoma"/>
            <family val="2"/>
          </rPr>
          <t xml:space="preserve">
See "June+ FCM Projections - ATY - 2023-09-27.xls"</t>
        </r>
      </text>
    </comment>
    <comment ref="G755" authorId="0" shapeId="0" xr:uid="{E951C548-25EE-44CF-BB78-DF8FFF7EA7D2}">
      <text>
        <r>
          <rPr>
            <b/>
            <sz val="9"/>
            <color indexed="81"/>
            <rFont val="Tahoma"/>
            <family val="2"/>
          </rPr>
          <t>Potter, Daniel:</t>
        </r>
        <r>
          <rPr>
            <sz val="9"/>
            <color indexed="81"/>
            <rFont val="Tahoma"/>
            <family val="2"/>
          </rPr>
          <t xml:space="preserve">
See "June+ FCM Projections - ATY - 2023-09-27.xls"</t>
        </r>
      </text>
    </comment>
    <comment ref="H755" authorId="0" shapeId="0" xr:uid="{BA067868-B41F-4B27-A74E-826E874B1555}">
      <text>
        <r>
          <rPr>
            <b/>
            <sz val="9"/>
            <color indexed="81"/>
            <rFont val="Tahoma"/>
            <family val="2"/>
          </rPr>
          <t>Potter, Daniel:</t>
        </r>
        <r>
          <rPr>
            <sz val="9"/>
            <color indexed="81"/>
            <rFont val="Tahoma"/>
            <family val="2"/>
          </rPr>
          <t xml:space="preserve">
See "June+ FCM Projections - ATY - 2023-09-27.xls"</t>
        </r>
      </text>
    </comment>
    <comment ref="I755" authorId="0" shapeId="0" xr:uid="{3715A56A-02DA-4F02-A1AD-18871FE3E00B}">
      <text>
        <r>
          <rPr>
            <b/>
            <sz val="9"/>
            <color indexed="81"/>
            <rFont val="Tahoma"/>
            <family val="2"/>
          </rPr>
          <t>Potter, Daniel:</t>
        </r>
        <r>
          <rPr>
            <sz val="9"/>
            <color indexed="81"/>
            <rFont val="Tahoma"/>
            <family val="2"/>
          </rPr>
          <t xml:space="preserve">
See "June+ FCM Projections - ATY - 2023-09-27.xls"</t>
        </r>
      </text>
    </comment>
    <comment ref="J755" authorId="0" shapeId="0" xr:uid="{F1F5FAAF-1441-4407-BADF-1FAE99145F67}">
      <text>
        <r>
          <rPr>
            <b/>
            <sz val="9"/>
            <color indexed="81"/>
            <rFont val="Tahoma"/>
            <family val="2"/>
          </rPr>
          <t>Potter, Daniel:</t>
        </r>
        <r>
          <rPr>
            <sz val="9"/>
            <color indexed="81"/>
            <rFont val="Tahoma"/>
            <family val="2"/>
          </rPr>
          <t xml:space="preserve">
See "June+ FCM Projections - ATY - 2023-09-27.xls"</t>
        </r>
      </text>
    </comment>
    <comment ref="K755" authorId="0" shapeId="0" xr:uid="{23C3F004-5699-4299-8D0C-1259A17CD818}">
      <text>
        <r>
          <rPr>
            <b/>
            <sz val="9"/>
            <color indexed="81"/>
            <rFont val="Tahoma"/>
            <family val="2"/>
          </rPr>
          <t>Potter, Daniel:</t>
        </r>
        <r>
          <rPr>
            <sz val="9"/>
            <color indexed="81"/>
            <rFont val="Tahoma"/>
            <family val="2"/>
          </rPr>
          <t xml:space="preserve">
See "June+ FCM Projections - ATY - 2023-09-27.xls"</t>
        </r>
      </text>
    </comment>
    <comment ref="L755" authorId="0" shapeId="0" xr:uid="{21451962-B4F0-4ED2-BDB5-DD3B4A9DDD34}">
      <text>
        <r>
          <rPr>
            <b/>
            <sz val="9"/>
            <color indexed="81"/>
            <rFont val="Tahoma"/>
            <family val="2"/>
          </rPr>
          <t>Potter, Daniel:</t>
        </r>
        <r>
          <rPr>
            <sz val="9"/>
            <color indexed="81"/>
            <rFont val="Tahoma"/>
            <family val="2"/>
          </rPr>
          <t xml:space="preserve">
See "June+ FCM Projections - ATY - 2023-09-27.xls"</t>
        </r>
      </text>
    </comment>
    <comment ref="M755" authorId="0" shapeId="0" xr:uid="{A67BF3DD-3C87-48E1-AA25-7B977DC4A056}">
      <text>
        <r>
          <rPr>
            <b/>
            <sz val="9"/>
            <color indexed="81"/>
            <rFont val="Tahoma"/>
            <family val="2"/>
          </rPr>
          <t>Potter, Daniel:</t>
        </r>
        <r>
          <rPr>
            <sz val="9"/>
            <color indexed="81"/>
            <rFont val="Tahoma"/>
            <family val="2"/>
          </rPr>
          <t xml:space="preserve">
See "June+ FCM Projections - ATY - 2023-09-27.xls"</t>
        </r>
      </text>
    </comment>
    <comment ref="N755" authorId="0" shapeId="0" xr:uid="{1F97919F-97A9-4D50-B510-0F5051DAA725}">
      <text>
        <r>
          <rPr>
            <b/>
            <sz val="9"/>
            <color indexed="81"/>
            <rFont val="Tahoma"/>
            <family val="2"/>
          </rPr>
          <t>Potter, Daniel:</t>
        </r>
        <r>
          <rPr>
            <sz val="9"/>
            <color indexed="81"/>
            <rFont val="Tahoma"/>
            <family val="2"/>
          </rPr>
          <t xml:space="preserve">
See "June+ FCM Projections - ATY - 2023-09-27.xls"</t>
        </r>
      </text>
    </comment>
    <comment ref="O755" authorId="0" shapeId="0" xr:uid="{76D44CD6-7D0E-4D4A-8CAE-63A432FD40FF}">
      <text>
        <r>
          <rPr>
            <b/>
            <sz val="9"/>
            <color indexed="81"/>
            <rFont val="Tahoma"/>
            <family val="2"/>
          </rPr>
          <t>Potter, Daniel:</t>
        </r>
        <r>
          <rPr>
            <sz val="9"/>
            <color indexed="81"/>
            <rFont val="Tahoma"/>
            <family val="2"/>
          </rPr>
          <t xml:space="preserve">
See "June+ FCM Projections - ATY - 2024-09-12.xls"</t>
        </r>
      </text>
    </comment>
    <comment ref="P755" authorId="0" shapeId="0" xr:uid="{888AF028-3436-4E56-A4E7-90E9D0B672FA}">
      <text>
        <r>
          <rPr>
            <b/>
            <sz val="9"/>
            <color indexed="81"/>
            <rFont val="Tahoma"/>
            <family val="2"/>
          </rPr>
          <t>Potter, Daniel:</t>
        </r>
        <r>
          <rPr>
            <sz val="9"/>
            <color indexed="81"/>
            <rFont val="Tahoma"/>
            <family val="2"/>
          </rPr>
          <t xml:space="preserve">
See "June+ FCM Projections - ATY - 2024-09-12.xls"</t>
        </r>
      </text>
    </comment>
    <comment ref="Q755" authorId="0" shapeId="0" xr:uid="{9E8B9F5C-E7BF-4FD4-AD79-C4958CCB88A9}">
      <text>
        <r>
          <rPr>
            <b/>
            <sz val="9"/>
            <color indexed="81"/>
            <rFont val="Tahoma"/>
            <family val="2"/>
          </rPr>
          <t>Potter, Daniel:</t>
        </r>
        <r>
          <rPr>
            <sz val="9"/>
            <color indexed="81"/>
            <rFont val="Tahoma"/>
            <family val="2"/>
          </rPr>
          <t xml:space="preserve">
See "June+ FCM Projections - ATY - 2024-09-12.xls"</t>
        </r>
      </text>
    </comment>
    <comment ref="R755" authorId="0" shapeId="0" xr:uid="{D466AB88-0DAE-4DA1-8426-F6CC9C67D903}">
      <text>
        <r>
          <rPr>
            <b/>
            <sz val="9"/>
            <color indexed="81"/>
            <rFont val="Tahoma"/>
            <family val="2"/>
          </rPr>
          <t>Potter, Daniel:</t>
        </r>
        <r>
          <rPr>
            <sz val="9"/>
            <color indexed="81"/>
            <rFont val="Tahoma"/>
            <family val="2"/>
          </rPr>
          <t xml:space="preserve">
See "June+ FCM Projections - ATY - 2024-09-12.xls"</t>
        </r>
      </text>
    </comment>
    <comment ref="S755" authorId="0" shapeId="0" xr:uid="{8DD184F7-43F8-45C0-B323-4E13213F6F5C}">
      <text>
        <r>
          <rPr>
            <b/>
            <sz val="9"/>
            <color indexed="81"/>
            <rFont val="Tahoma"/>
            <family val="2"/>
          </rPr>
          <t>Potter, Daniel:</t>
        </r>
        <r>
          <rPr>
            <sz val="9"/>
            <color indexed="81"/>
            <rFont val="Tahoma"/>
            <family val="2"/>
          </rPr>
          <t xml:space="preserve">
See "June+ FCM Projections - ATY - 2024-09-12.xls"</t>
        </r>
      </text>
    </comment>
    <comment ref="T755" authorId="0" shapeId="0" xr:uid="{08C64BF6-EE25-49BF-BFEC-99AB3D3CA579}">
      <text>
        <r>
          <rPr>
            <b/>
            <sz val="9"/>
            <color indexed="81"/>
            <rFont val="Tahoma"/>
            <family val="2"/>
          </rPr>
          <t>Potter, Daniel:</t>
        </r>
        <r>
          <rPr>
            <sz val="9"/>
            <color indexed="81"/>
            <rFont val="Tahoma"/>
            <family val="2"/>
          </rPr>
          <t xml:space="preserve">
See "June+ FCM Projections - ATY - 2024-09-12.xls"</t>
        </r>
      </text>
    </comment>
    <comment ref="U755" authorId="0" shapeId="0" xr:uid="{731E1FA9-CB27-4076-A3D6-5F425A3542A5}">
      <text>
        <r>
          <rPr>
            <b/>
            <sz val="9"/>
            <color indexed="81"/>
            <rFont val="Tahoma"/>
            <family val="2"/>
          </rPr>
          <t>Potter, Daniel:</t>
        </r>
        <r>
          <rPr>
            <sz val="9"/>
            <color indexed="81"/>
            <rFont val="Tahoma"/>
            <family val="2"/>
          </rPr>
          <t xml:space="preserve">
See "June+ FCM Projections - ATY - 2024-09-12.xls"</t>
        </r>
      </text>
    </comment>
    <comment ref="V755" authorId="0" shapeId="0" xr:uid="{64D0EBAB-7E74-44DC-BA0C-35EA3B24F515}">
      <text>
        <r>
          <rPr>
            <b/>
            <sz val="9"/>
            <color indexed="81"/>
            <rFont val="Tahoma"/>
            <family val="2"/>
          </rPr>
          <t>Potter, Daniel:</t>
        </r>
        <r>
          <rPr>
            <sz val="9"/>
            <color indexed="81"/>
            <rFont val="Tahoma"/>
            <family val="2"/>
          </rPr>
          <t xml:space="preserve">
See "June+ FCM Projections - ATY - 2024-09-12.xls"</t>
        </r>
      </text>
    </comment>
    <comment ref="W755" authorId="0" shapeId="0" xr:uid="{E058FC4B-5CBC-4E50-9A53-1B99CB04D745}">
      <text>
        <r>
          <rPr>
            <b/>
            <sz val="9"/>
            <color indexed="81"/>
            <rFont val="Tahoma"/>
            <family val="2"/>
          </rPr>
          <t>Potter, Daniel:</t>
        </r>
        <r>
          <rPr>
            <sz val="9"/>
            <color indexed="81"/>
            <rFont val="Tahoma"/>
            <family val="2"/>
          </rPr>
          <t xml:space="preserve">
See "June+ FCM Projections - ATY - 2024-09-12.xls"</t>
        </r>
      </text>
    </comment>
    <comment ref="X755" authorId="0" shapeId="0" xr:uid="{FD3D410C-C4AA-44B0-9167-CF11A0BAEF95}">
      <text>
        <r>
          <rPr>
            <b/>
            <sz val="9"/>
            <color indexed="81"/>
            <rFont val="Tahoma"/>
            <family val="2"/>
          </rPr>
          <t>Potter, Daniel:</t>
        </r>
        <r>
          <rPr>
            <sz val="9"/>
            <color indexed="81"/>
            <rFont val="Tahoma"/>
            <family val="2"/>
          </rPr>
          <t xml:space="preserve">
See "June+ FCM Projections - ATY - 2024-09-12.xls"</t>
        </r>
      </text>
    </comment>
    <comment ref="Y755" authorId="0" shapeId="0" xr:uid="{309A6F72-D0EF-4BB9-8417-AB4F6A6F5B16}">
      <text>
        <r>
          <rPr>
            <b/>
            <sz val="9"/>
            <color indexed="81"/>
            <rFont val="Tahoma"/>
            <family val="2"/>
          </rPr>
          <t>Potter, Daniel:</t>
        </r>
        <r>
          <rPr>
            <sz val="9"/>
            <color indexed="81"/>
            <rFont val="Tahoma"/>
            <family val="2"/>
          </rPr>
          <t xml:space="preserve">
See "June+ FCM Projections - ATY - 2024-09-12.xls"</t>
        </r>
      </text>
    </comment>
    <comment ref="Z755" authorId="0" shapeId="0" xr:uid="{14886FC4-64DB-46FC-A4BC-7329FD8F3A0E}">
      <text>
        <r>
          <rPr>
            <b/>
            <sz val="9"/>
            <color indexed="81"/>
            <rFont val="Tahoma"/>
            <family val="2"/>
          </rPr>
          <t>Potter, Daniel:</t>
        </r>
        <r>
          <rPr>
            <sz val="9"/>
            <color indexed="81"/>
            <rFont val="Tahoma"/>
            <family val="2"/>
          </rPr>
          <t xml:space="preserve">
See "June+ FCM Projections - ATY - 2024-09-12.xls"</t>
        </r>
      </text>
    </comment>
    <comment ref="C756" authorId="0" shapeId="0" xr:uid="{F0331A9B-C082-4033-AFE6-069AB33530A4}">
      <text>
        <r>
          <rPr>
            <b/>
            <sz val="9"/>
            <color indexed="81"/>
            <rFont val="Tahoma"/>
            <family val="2"/>
          </rPr>
          <t>Potter, Daniel:</t>
        </r>
        <r>
          <rPr>
            <sz val="9"/>
            <color indexed="81"/>
            <rFont val="Tahoma"/>
            <family val="2"/>
          </rPr>
          <t xml:space="preserve">
See "June+ FCM Projections - ATY - 2023-09-27.xls"</t>
        </r>
      </text>
    </comment>
    <comment ref="D756" authorId="0" shapeId="0" xr:uid="{FB4B9E9B-294A-44C2-BC3A-97195E5C619E}">
      <text>
        <r>
          <rPr>
            <b/>
            <sz val="9"/>
            <color indexed="81"/>
            <rFont val="Tahoma"/>
            <family val="2"/>
          </rPr>
          <t>Potter, Daniel:</t>
        </r>
        <r>
          <rPr>
            <sz val="9"/>
            <color indexed="81"/>
            <rFont val="Tahoma"/>
            <family val="2"/>
          </rPr>
          <t xml:space="preserve">
See "June+ FCM Projections - ATY - 2023-09-27.xls"</t>
        </r>
      </text>
    </comment>
    <comment ref="E756" authorId="0" shapeId="0" xr:uid="{2A925219-A1CC-4F80-9184-595873F9FC8A}">
      <text>
        <r>
          <rPr>
            <b/>
            <sz val="9"/>
            <color indexed="81"/>
            <rFont val="Tahoma"/>
            <family val="2"/>
          </rPr>
          <t>Potter, Daniel:</t>
        </r>
        <r>
          <rPr>
            <sz val="9"/>
            <color indexed="81"/>
            <rFont val="Tahoma"/>
            <family val="2"/>
          </rPr>
          <t xml:space="preserve">
See "June+ FCM Projections - ATY - 2023-09-27.xls"</t>
        </r>
      </text>
    </comment>
    <comment ref="F756" authorId="0" shapeId="0" xr:uid="{6E9B25C9-2FF2-4188-9669-477D1DBF998E}">
      <text>
        <r>
          <rPr>
            <b/>
            <sz val="9"/>
            <color indexed="81"/>
            <rFont val="Tahoma"/>
            <family val="2"/>
          </rPr>
          <t>Potter, Daniel:</t>
        </r>
        <r>
          <rPr>
            <sz val="9"/>
            <color indexed="81"/>
            <rFont val="Tahoma"/>
            <family val="2"/>
          </rPr>
          <t xml:space="preserve">
See "June+ FCM Projections - ATY - 2023-09-27.xls"</t>
        </r>
      </text>
    </comment>
    <comment ref="G756" authorId="0" shapeId="0" xr:uid="{03538654-9900-4243-A0E9-EBA8B423A49F}">
      <text>
        <r>
          <rPr>
            <b/>
            <sz val="9"/>
            <color indexed="81"/>
            <rFont val="Tahoma"/>
            <family val="2"/>
          </rPr>
          <t>Potter, Daniel:</t>
        </r>
        <r>
          <rPr>
            <sz val="9"/>
            <color indexed="81"/>
            <rFont val="Tahoma"/>
            <family val="2"/>
          </rPr>
          <t xml:space="preserve">
See "June+ FCM Projections - ATY - 2023-09-27.xls"</t>
        </r>
      </text>
    </comment>
    <comment ref="H756" authorId="0" shapeId="0" xr:uid="{61320448-8AFB-47CD-B387-5DCD5A5D0B09}">
      <text>
        <r>
          <rPr>
            <b/>
            <sz val="9"/>
            <color indexed="81"/>
            <rFont val="Tahoma"/>
            <family val="2"/>
          </rPr>
          <t>Potter, Daniel:</t>
        </r>
        <r>
          <rPr>
            <sz val="9"/>
            <color indexed="81"/>
            <rFont val="Tahoma"/>
            <family val="2"/>
          </rPr>
          <t xml:space="preserve">
See "June+ FCM Projections - ATY - 2023-09-27.xls"</t>
        </r>
      </text>
    </comment>
    <comment ref="I756" authorId="0" shapeId="0" xr:uid="{028B444A-E41A-45AE-954E-CFA6242C768A}">
      <text>
        <r>
          <rPr>
            <b/>
            <sz val="9"/>
            <color indexed="81"/>
            <rFont val="Tahoma"/>
            <family val="2"/>
          </rPr>
          <t>Potter, Daniel:</t>
        </r>
        <r>
          <rPr>
            <sz val="9"/>
            <color indexed="81"/>
            <rFont val="Tahoma"/>
            <family val="2"/>
          </rPr>
          <t xml:space="preserve">
See "June+ FCM Projections - ATY - 2023-09-27.xls"</t>
        </r>
      </text>
    </comment>
    <comment ref="J756" authorId="0" shapeId="0" xr:uid="{88405C68-A5D3-42D3-9FA1-6E953D39442C}">
      <text>
        <r>
          <rPr>
            <b/>
            <sz val="9"/>
            <color indexed="81"/>
            <rFont val="Tahoma"/>
            <family val="2"/>
          </rPr>
          <t>Potter, Daniel:</t>
        </r>
        <r>
          <rPr>
            <sz val="9"/>
            <color indexed="81"/>
            <rFont val="Tahoma"/>
            <family val="2"/>
          </rPr>
          <t xml:space="preserve">
See "June+ FCM Projections - ATY - 2023-09-27.xls"</t>
        </r>
      </text>
    </comment>
    <comment ref="K756" authorId="0" shapeId="0" xr:uid="{6B0D144D-1F66-4A01-BC2E-A5742F0842F5}">
      <text>
        <r>
          <rPr>
            <b/>
            <sz val="9"/>
            <color indexed="81"/>
            <rFont val="Tahoma"/>
            <family val="2"/>
          </rPr>
          <t>Potter, Daniel:</t>
        </r>
        <r>
          <rPr>
            <sz val="9"/>
            <color indexed="81"/>
            <rFont val="Tahoma"/>
            <family val="2"/>
          </rPr>
          <t xml:space="preserve">
See "June+ FCM Projections - ATY - 2023-09-27.xls"</t>
        </r>
      </text>
    </comment>
    <comment ref="L756" authorId="0" shapeId="0" xr:uid="{32702ABE-6CAA-4870-B69E-D4D4AE95F221}">
      <text>
        <r>
          <rPr>
            <b/>
            <sz val="9"/>
            <color indexed="81"/>
            <rFont val="Tahoma"/>
            <family val="2"/>
          </rPr>
          <t>Potter, Daniel:</t>
        </r>
        <r>
          <rPr>
            <sz val="9"/>
            <color indexed="81"/>
            <rFont val="Tahoma"/>
            <family val="2"/>
          </rPr>
          <t xml:space="preserve">
See "June+ FCM Projections - ATY - 2023-09-27.xls"</t>
        </r>
      </text>
    </comment>
    <comment ref="M756" authorId="0" shapeId="0" xr:uid="{8A79392D-3BC1-4429-B999-517D9E4EB6E1}">
      <text>
        <r>
          <rPr>
            <b/>
            <sz val="9"/>
            <color indexed="81"/>
            <rFont val="Tahoma"/>
            <family val="2"/>
          </rPr>
          <t>Potter, Daniel:</t>
        </r>
        <r>
          <rPr>
            <sz val="9"/>
            <color indexed="81"/>
            <rFont val="Tahoma"/>
            <family val="2"/>
          </rPr>
          <t xml:space="preserve">
See "June+ FCM Projections - ATY - 2023-09-27.xls"</t>
        </r>
      </text>
    </comment>
    <comment ref="N756" authorId="0" shapeId="0" xr:uid="{F791177A-4E4B-407D-995C-F54E747378E6}">
      <text>
        <r>
          <rPr>
            <b/>
            <sz val="9"/>
            <color indexed="81"/>
            <rFont val="Tahoma"/>
            <family val="2"/>
          </rPr>
          <t>Potter, Daniel:</t>
        </r>
        <r>
          <rPr>
            <sz val="9"/>
            <color indexed="81"/>
            <rFont val="Tahoma"/>
            <family val="2"/>
          </rPr>
          <t xml:space="preserve">
See "June+ FCM Projections - ATY - 2023-09-27.xls"</t>
        </r>
      </text>
    </comment>
    <comment ref="O756" authorId="0" shapeId="0" xr:uid="{AA998318-AE87-49DB-A4CC-D89989251D50}">
      <text>
        <r>
          <rPr>
            <b/>
            <sz val="9"/>
            <color indexed="81"/>
            <rFont val="Tahoma"/>
            <family val="2"/>
          </rPr>
          <t>Potter, Daniel:</t>
        </r>
        <r>
          <rPr>
            <sz val="9"/>
            <color indexed="81"/>
            <rFont val="Tahoma"/>
            <family val="2"/>
          </rPr>
          <t xml:space="preserve">
See "June+ FCM Projections - ATY - 2024-09-12.xls"</t>
        </r>
      </text>
    </comment>
    <comment ref="P756" authorId="0" shapeId="0" xr:uid="{BDBE8B44-3A04-442C-9E40-6210FA77DDF3}">
      <text>
        <r>
          <rPr>
            <b/>
            <sz val="9"/>
            <color indexed="81"/>
            <rFont val="Tahoma"/>
            <family val="2"/>
          </rPr>
          <t>Potter, Daniel:</t>
        </r>
        <r>
          <rPr>
            <sz val="9"/>
            <color indexed="81"/>
            <rFont val="Tahoma"/>
            <family val="2"/>
          </rPr>
          <t xml:space="preserve">
See "June+ FCM Projections - ATY - 2024-09-12.xls"</t>
        </r>
      </text>
    </comment>
    <comment ref="Q756" authorId="0" shapeId="0" xr:uid="{DCDE725A-F41C-4158-9397-523E0EFCAD2C}">
      <text>
        <r>
          <rPr>
            <b/>
            <sz val="9"/>
            <color indexed="81"/>
            <rFont val="Tahoma"/>
            <family val="2"/>
          </rPr>
          <t>Potter, Daniel:</t>
        </r>
        <r>
          <rPr>
            <sz val="9"/>
            <color indexed="81"/>
            <rFont val="Tahoma"/>
            <family val="2"/>
          </rPr>
          <t xml:space="preserve">
See "June+ FCM Projections - ATY - 2024-09-12.xls"</t>
        </r>
      </text>
    </comment>
    <comment ref="R756" authorId="0" shapeId="0" xr:uid="{B07FF275-C876-4F37-AEB6-BBF808CDD0F7}">
      <text>
        <r>
          <rPr>
            <b/>
            <sz val="9"/>
            <color indexed="81"/>
            <rFont val="Tahoma"/>
            <family val="2"/>
          </rPr>
          <t>Potter, Daniel:</t>
        </r>
        <r>
          <rPr>
            <sz val="9"/>
            <color indexed="81"/>
            <rFont val="Tahoma"/>
            <family val="2"/>
          </rPr>
          <t xml:space="preserve">
See "June+ FCM Projections - ATY - 2024-09-12.xls"</t>
        </r>
      </text>
    </comment>
    <comment ref="S756" authorId="0" shapeId="0" xr:uid="{3CEF762A-68C9-40CD-B8AF-0FDBB0D8742E}">
      <text>
        <r>
          <rPr>
            <b/>
            <sz val="9"/>
            <color indexed="81"/>
            <rFont val="Tahoma"/>
            <family val="2"/>
          </rPr>
          <t>Potter, Daniel:</t>
        </r>
        <r>
          <rPr>
            <sz val="9"/>
            <color indexed="81"/>
            <rFont val="Tahoma"/>
            <family val="2"/>
          </rPr>
          <t xml:space="preserve">
See "June+ FCM Projections - ATY - 2024-09-12.xls"</t>
        </r>
      </text>
    </comment>
    <comment ref="T756" authorId="0" shapeId="0" xr:uid="{D4130B85-4EB6-44AE-84F4-69928C5F2EF2}">
      <text>
        <r>
          <rPr>
            <b/>
            <sz val="9"/>
            <color indexed="81"/>
            <rFont val="Tahoma"/>
            <family val="2"/>
          </rPr>
          <t>Potter, Daniel:</t>
        </r>
        <r>
          <rPr>
            <sz val="9"/>
            <color indexed="81"/>
            <rFont val="Tahoma"/>
            <family val="2"/>
          </rPr>
          <t xml:space="preserve">
See "June+ FCM Projections - ATY - 2024-09-12.xls"</t>
        </r>
      </text>
    </comment>
    <comment ref="U756" authorId="0" shapeId="0" xr:uid="{F5AF3B88-F00D-41B5-834E-909806B5A0DC}">
      <text>
        <r>
          <rPr>
            <b/>
            <sz val="9"/>
            <color indexed="81"/>
            <rFont val="Tahoma"/>
            <family val="2"/>
          </rPr>
          <t>Potter, Daniel:</t>
        </r>
        <r>
          <rPr>
            <sz val="9"/>
            <color indexed="81"/>
            <rFont val="Tahoma"/>
            <family val="2"/>
          </rPr>
          <t xml:space="preserve">
See "June+ FCM Projections - ATY - 2024-09-12.xls"</t>
        </r>
      </text>
    </comment>
    <comment ref="V756" authorId="0" shapeId="0" xr:uid="{FA89BEFE-33B2-4FA0-B35E-16478612982A}">
      <text>
        <r>
          <rPr>
            <b/>
            <sz val="9"/>
            <color indexed="81"/>
            <rFont val="Tahoma"/>
            <family val="2"/>
          </rPr>
          <t>Potter, Daniel:</t>
        </r>
        <r>
          <rPr>
            <sz val="9"/>
            <color indexed="81"/>
            <rFont val="Tahoma"/>
            <family val="2"/>
          </rPr>
          <t xml:space="preserve">
See "June+ FCM Projections - ATY - 2024-09-12.xls"</t>
        </r>
      </text>
    </comment>
    <comment ref="W756" authorId="0" shapeId="0" xr:uid="{275A1D4E-3A3A-4509-8544-76E6198A3EFD}">
      <text>
        <r>
          <rPr>
            <b/>
            <sz val="9"/>
            <color indexed="81"/>
            <rFont val="Tahoma"/>
            <family val="2"/>
          </rPr>
          <t>Potter, Daniel:</t>
        </r>
        <r>
          <rPr>
            <sz val="9"/>
            <color indexed="81"/>
            <rFont val="Tahoma"/>
            <family val="2"/>
          </rPr>
          <t xml:space="preserve">
See "June+ FCM Projections - ATY - 2024-09-12.xls"</t>
        </r>
      </text>
    </comment>
    <comment ref="X756" authorId="0" shapeId="0" xr:uid="{49191881-D0A8-49C3-8AD6-73482952066A}">
      <text>
        <r>
          <rPr>
            <b/>
            <sz val="9"/>
            <color indexed="81"/>
            <rFont val="Tahoma"/>
            <family val="2"/>
          </rPr>
          <t>Potter, Daniel:</t>
        </r>
        <r>
          <rPr>
            <sz val="9"/>
            <color indexed="81"/>
            <rFont val="Tahoma"/>
            <family val="2"/>
          </rPr>
          <t xml:space="preserve">
See "June+ FCM Projections - ATY - 2024-09-12.xls"</t>
        </r>
      </text>
    </comment>
    <comment ref="Y756" authorId="0" shapeId="0" xr:uid="{F47A1205-45CC-4B87-8B74-B7EE3864E9A8}">
      <text>
        <r>
          <rPr>
            <b/>
            <sz val="9"/>
            <color indexed="81"/>
            <rFont val="Tahoma"/>
            <family val="2"/>
          </rPr>
          <t>Potter, Daniel:</t>
        </r>
        <r>
          <rPr>
            <sz val="9"/>
            <color indexed="81"/>
            <rFont val="Tahoma"/>
            <family val="2"/>
          </rPr>
          <t xml:space="preserve">
See "June+ FCM Projections - ATY - 2024-09-12.xls"</t>
        </r>
      </text>
    </comment>
    <comment ref="Z756" authorId="0" shapeId="0" xr:uid="{1AA8B8E2-9741-4CDD-B1CB-C0BCB3B3E538}">
      <text>
        <r>
          <rPr>
            <b/>
            <sz val="9"/>
            <color indexed="81"/>
            <rFont val="Tahoma"/>
            <family val="2"/>
          </rPr>
          <t>Potter, Daniel:</t>
        </r>
        <r>
          <rPr>
            <sz val="9"/>
            <color indexed="81"/>
            <rFont val="Tahoma"/>
            <family val="2"/>
          </rPr>
          <t xml:space="preserve">
See "June+ FCM Projections - ATY - 2024-09-12.xls"</t>
        </r>
      </text>
    </comment>
    <comment ref="C764" authorId="0" shapeId="0" xr:uid="{CABBA59C-D2DE-454A-8DD6-8D39ECC6B0F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64" authorId="0" shapeId="0" xr:uid="{34160610-322A-433E-B93F-5E569F9DC89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64" authorId="0" shapeId="0" xr:uid="{1E711A8E-4405-4D26-955A-E7E8277DBB9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64" authorId="0" shapeId="0" xr:uid="{5CB5D767-4B7B-43D0-8AC3-8EB45121550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64" authorId="0" shapeId="0" xr:uid="{B4CEBD1E-91D6-412C-8B69-1EB5EFE0887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64" authorId="0" shapeId="0" xr:uid="{FB5AA9E0-CFE1-4E7B-B42E-321DF5CB363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64" authorId="0" shapeId="0" xr:uid="{2B861AD7-90E3-4276-A2D8-5A5F7BDA58F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64" authorId="0" shapeId="0" xr:uid="{CBF8D4C2-B5AA-42BE-AC32-21548DFF81C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64" authorId="0" shapeId="0" xr:uid="{4B4381BA-E0B2-4685-9D17-D5DB8245A83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64" authorId="0" shapeId="0" xr:uid="{63DEE82F-9939-4F15-87F9-B12F98F4B19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64" authorId="0" shapeId="0" xr:uid="{E18FC217-1B15-4180-978C-70A2DCC278A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64" authorId="0" shapeId="0" xr:uid="{4E459EFE-7C97-45A2-A00D-5567EF14C22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65" authorId="0" shapeId="0" xr:uid="{8559FADF-DE88-4E21-817E-AE74D9033AC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65" authorId="0" shapeId="0" xr:uid="{BD03003F-AFEC-4578-8CDF-304783095ED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65" authorId="0" shapeId="0" xr:uid="{130D09B5-706D-4CB2-A2A1-6E232D7C6A6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65" authorId="0" shapeId="0" xr:uid="{5836616B-F92A-4066-895C-470DE642450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65" authorId="0" shapeId="0" xr:uid="{DB0E676B-3939-4D29-B1D2-C0FFB0F6C02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65" authorId="0" shapeId="0" xr:uid="{B9EF801E-FE02-44B4-85E0-62B2638F512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65" authorId="0" shapeId="0" xr:uid="{17EFE83F-C696-47CF-BF81-A0539E56259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65" authorId="0" shapeId="0" xr:uid="{E9F9F19B-92B1-46B2-9BBA-E8CA5A0718A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65" authorId="0" shapeId="0" xr:uid="{BC577DE5-9D1F-42C2-8E4B-CDFE07A635C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65" authorId="0" shapeId="0" xr:uid="{A6BC6236-FD9D-49EC-B28E-58FDACA6F81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65" authorId="0" shapeId="0" xr:uid="{EFEBE857-ACF5-4B06-9220-EBFE7B7BF55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65" authorId="0" shapeId="0" xr:uid="{F87D5F08-DCAB-4D11-8352-EC7B3E81E52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66" authorId="0" shapeId="0" xr:uid="{C0FDCE38-0672-4162-9071-2BFE3F8E406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66" authorId="0" shapeId="0" xr:uid="{E1490540-99DC-452D-A786-75370606345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66" authorId="0" shapeId="0" xr:uid="{3B3BDAF4-433A-4E64-B6A0-C36F1C910B0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66" authorId="0" shapeId="0" xr:uid="{EDD17773-DB50-4D90-A80F-3C7ECBABA17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66" authorId="0" shapeId="0" xr:uid="{FFC9C448-6354-46DF-A52C-6005297876D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66" authorId="0" shapeId="0" xr:uid="{514A0D28-BFA6-4347-8D65-48DBAA1F0F4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66" authorId="0" shapeId="0" xr:uid="{51F60C5B-9D19-43D7-8FD5-F3A3F78D557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66" authorId="0" shapeId="0" xr:uid="{D42317CC-122E-44D6-BEB1-11FDA232CD0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66" authorId="0" shapeId="0" xr:uid="{DF7FC6E9-FADC-4105-BD14-3F168703FF2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66" authorId="0" shapeId="0" xr:uid="{9429B301-F31B-4EB8-94DD-E902632B647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66" authorId="0" shapeId="0" xr:uid="{98760634-9ED3-43B3-94AE-BB0C3CDB33D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66" authorId="0" shapeId="0" xr:uid="{CAE282B8-ABF9-43CF-829B-536F696C263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67" authorId="0" shapeId="0" xr:uid="{5426D365-71CA-4FEF-A903-F3F91E4A199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67" authorId="0" shapeId="0" xr:uid="{C8289584-968E-4CC3-9DAB-3543DED400F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67" authorId="0" shapeId="0" xr:uid="{ABBEC038-1727-49CB-88AB-594970FD43E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67" authorId="0" shapeId="0" xr:uid="{0B3DF805-7C29-4D8E-817D-4F2A7B00862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67" authorId="0" shapeId="0" xr:uid="{DCB7917B-5584-4655-966D-6DBDFC31DC6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67" authorId="0" shapeId="0" xr:uid="{511BDFDA-5494-4E98-9BB7-62C17DD1143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67" authorId="0" shapeId="0" xr:uid="{326FF2EA-F147-4BA7-B475-26A2C342B4C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67" authorId="0" shapeId="0" xr:uid="{E7ACCB12-E5D5-4835-9B12-E8283034007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67" authorId="0" shapeId="0" xr:uid="{862067A5-85C0-41B0-BF75-93D6F05FA1F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67" authorId="0" shapeId="0" xr:uid="{13461433-A833-40ED-91EA-91F450D34C3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67" authorId="0" shapeId="0" xr:uid="{0109A31A-3C22-4770-A28F-A1B882082C2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67" authorId="0" shapeId="0" xr:uid="{C6135ADC-5E9B-44A9-BC9A-D2F205F8AFA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68" authorId="0" shapeId="0" xr:uid="{A7E508B5-127F-4334-B9AA-D8D50794A0E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68" authorId="0" shapeId="0" xr:uid="{336D890A-F75A-4A75-ACDE-913E74096D0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68" authorId="0" shapeId="0" xr:uid="{F12999A6-F463-490F-849E-C646B9D8241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68" authorId="0" shapeId="0" xr:uid="{80933E27-119E-41D8-ACA6-57875A4A61D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68" authorId="0" shapeId="0" xr:uid="{2674D907-E55C-4019-BF17-89280DCBDC6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68" authorId="0" shapeId="0" xr:uid="{F4A9FFA4-18DD-4E43-90F7-B10A017633F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68" authorId="0" shapeId="0" xr:uid="{8D9CA98C-881E-4A34-B6C7-922F6A96CAC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68" authorId="0" shapeId="0" xr:uid="{9DAD6D8C-9B25-4274-B490-902FA20FC00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68" authorId="0" shapeId="0" xr:uid="{C3184D51-D320-4570-8212-74753B71BD2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68" authorId="0" shapeId="0" xr:uid="{410C20ED-D5AD-4D93-93E3-6F15950BA29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68" authorId="0" shapeId="0" xr:uid="{C93398C1-AD29-4736-ACBD-82314273A1D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68" authorId="0" shapeId="0" xr:uid="{CC5A58C1-EE56-42CE-9965-C60A55065BA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69" authorId="0" shapeId="0" xr:uid="{8FC79151-A305-4B8C-B009-2E1A68CA28D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69" authorId="0" shapeId="0" xr:uid="{41784DB7-5320-45AD-80EB-91250B6EB79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69" authorId="0" shapeId="0" xr:uid="{406EADD2-CBF6-4EAA-8758-30957C45DB5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69" authorId="0" shapeId="0" xr:uid="{47FA60E9-2FE9-4892-A339-A1AE67F1E93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69" authorId="0" shapeId="0" xr:uid="{A9239CD7-5F8B-472D-8088-F679AC83FEB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69" authorId="0" shapeId="0" xr:uid="{ECB9AE50-5BC5-47BB-8C7B-1693C9BBA6A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69" authorId="0" shapeId="0" xr:uid="{65E48F4F-EA45-4926-87D7-D5C8719E781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69" authorId="0" shapeId="0" xr:uid="{46760E33-F8FC-4FD0-94DF-1FC57B915EF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69" authorId="0" shapeId="0" xr:uid="{9418AE3C-F2F2-485A-8429-F621A78ED5C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69" authorId="0" shapeId="0" xr:uid="{F618D73B-8C5C-4054-9F98-5F21BA3EEF0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69" authorId="0" shapeId="0" xr:uid="{C4599AE9-30F5-4C91-B7E2-45221BD4774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69" authorId="0" shapeId="0" xr:uid="{078BD64A-0332-432C-821C-387D8B593F9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0" authorId="0" shapeId="0" xr:uid="{E901B9B0-094E-4606-B03D-CFE05710EBA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0" authorId="0" shapeId="0" xr:uid="{336ABA19-163A-4A2B-9783-E303F5FEC49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0" authorId="0" shapeId="0" xr:uid="{74F8B7B9-BDC0-4C8F-83A1-C0CC75455D5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0" authorId="0" shapeId="0" xr:uid="{2EAB969C-76FB-4E7E-BAD1-A7518FC38C3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0" authorId="0" shapeId="0" xr:uid="{238F410D-AB23-470A-9BB1-9C55B597948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0" authorId="0" shapeId="0" xr:uid="{6E7CD0C5-FBBC-4EC5-A209-468B6835219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0" authorId="0" shapeId="0" xr:uid="{C0B1ADC6-55D1-4F6C-B4D2-9E780895715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0" authorId="0" shapeId="0" xr:uid="{9A222610-FBFE-4704-B2CA-BC7C4653658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0" authorId="0" shapeId="0" xr:uid="{1229A39B-7045-439B-9EE5-AB9EAFF91F1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0" authorId="0" shapeId="0" xr:uid="{B4E5F46D-D941-4273-8FA2-03E98837A3A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0" authorId="0" shapeId="0" xr:uid="{1201440C-3F34-4550-BC49-B9F21F61214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0" authorId="0" shapeId="0" xr:uid="{19DCD588-957F-42EA-9770-FAE156AFB5C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1" authorId="0" shapeId="0" xr:uid="{BC37CD89-9B8B-4F69-AAC8-BE10A15C99C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1" authorId="0" shapeId="0" xr:uid="{43A8139B-B74E-4928-86D5-85D038A0080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1" authorId="0" shapeId="0" xr:uid="{6B83350C-ACBC-4AEF-918E-52A8D684C8B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1" authorId="0" shapeId="0" xr:uid="{0E936FE3-484E-47FC-B301-B50ED76DC0E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1" authorId="0" shapeId="0" xr:uid="{EEC2140D-B50B-4ACB-963F-1791D843BD5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1" authorId="0" shapeId="0" xr:uid="{61905D8B-075E-4172-B15F-249E8B189AF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1" authorId="0" shapeId="0" xr:uid="{05FE9FDD-7617-454B-9646-9D48FF1BE2E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1" authorId="0" shapeId="0" xr:uid="{EF542C08-C46F-4CBE-9A1B-4F503889822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1" authorId="0" shapeId="0" xr:uid="{AAA67FB0-9EFD-4A6C-9C08-5DB7C75CA80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1" authorId="0" shapeId="0" xr:uid="{2615881F-9D82-409D-B98F-A0B928BB7BB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1" authorId="0" shapeId="0" xr:uid="{ED7E5241-C49F-41AF-B4FD-789578A8139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1" authorId="0" shapeId="0" xr:uid="{0715DAD9-F93A-48E0-A853-F98AFD1F191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2" authorId="0" shapeId="0" xr:uid="{60021BF0-A52F-4420-AA61-D9112F25BBA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2" authorId="0" shapeId="0" xr:uid="{8A5C2599-3E9D-466F-A0F6-08079F8E308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2" authorId="0" shapeId="0" xr:uid="{14ADB2D3-B350-4D17-9200-E7DFD6EB730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2" authorId="0" shapeId="0" xr:uid="{B2A191A0-4CAE-4C76-8AF4-C3CD659ECB1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2" authorId="0" shapeId="0" xr:uid="{7A74656F-E42D-4EA8-BCB3-AD0B41A38A9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2" authorId="0" shapeId="0" xr:uid="{135B5873-AB5C-468D-9886-9C52E69F5DE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2" authorId="0" shapeId="0" xr:uid="{065A000A-9AEF-4647-BC34-691A5A2AED3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2" authorId="0" shapeId="0" xr:uid="{F60F8AEB-77C9-498E-AF99-26D40C740A2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2" authorId="0" shapeId="0" xr:uid="{F9C888E1-5532-4C30-9690-E2C58C149BB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2" authorId="0" shapeId="0" xr:uid="{6508A500-1850-4790-8F6B-694F803560C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2" authorId="0" shapeId="0" xr:uid="{51A9CDA7-EF68-45BE-A824-5D2C6BB7FEC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2" authorId="0" shapeId="0" xr:uid="{6C30F4CD-6986-4488-BC15-6826A3F8A1A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3" authorId="0" shapeId="0" xr:uid="{04E9A3B2-1F4B-430A-B7EC-75C89B6FC7C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3" authorId="0" shapeId="0" xr:uid="{DA1ADFA1-D74F-43E8-A4D8-2B06937D1AC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3" authorId="0" shapeId="0" xr:uid="{D0E16476-D538-44B7-B54E-532519B1DFC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3" authorId="0" shapeId="0" xr:uid="{DD8F9C60-F8BD-48AF-85D8-F64CA11016E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3" authorId="0" shapeId="0" xr:uid="{61B32278-2104-4FD6-B604-0B8662DD600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3" authorId="0" shapeId="0" xr:uid="{6BDA9DD3-EEFF-4B18-82C7-FE421AD3703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3" authorId="0" shapeId="0" xr:uid="{58C27688-3F63-4399-A57A-5C4C69FAB7A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3" authorId="0" shapeId="0" xr:uid="{86AD246E-2FF3-4068-B7CA-24102B3BD4E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3" authorId="0" shapeId="0" xr:uid="{B72AB1A5-FD77-4EC2-86A3-EE7DEDCDEDF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3" authorId="0" shapeId="0" xr:uid="{D74F0AF8-EB81-4956-922D-C7F3033A09A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3" authorId="0" shapeId="0" xr:uid="{0FE80F26-D066-4081-B05E-A044D86C64B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3" authorId="0" shapeId="0" xr:uid="{3FB1B795-FCD5-4C55-A4A4-D1FAF6ABAD3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4" authorId="0" shapeId="0" xr:uid="{CAA3000A-86AB-428B-936B-78DAF803E64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4" authorId="0" shapeId="0" xr:uid="{EA305F56-88FD-4E35-A68B-AE6D2DA1280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4" authorId="0" shapeId="0" xr:uid="{3D5B0497-174A-4993-AD2B-C5F1C481468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4" authorId="0" shapeId="0" xr:uid="{A6D3BBCD-0929-4FDA-9654-48F5484D8FF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4" authorId="0" shapeId="0" xr:uid="{B035D567-2AFD-4C9A-94A3-22FB2F3E9E8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4" authorId="0" shapeId="0" xr:uid="{80019072-7DA1-47A2-87E9-DC332096934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4" authorId="0" shapeId="0" xr:uid="{3DCA3CB0-E860-40BD-9988-D4AF164AED3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4" authorId="0" shapeId="0" xr:uid="{30FC0FD2-20CE-425B-A3E8-10F2A5C9F83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4" authorId="0" shapeId="0" xr:uid="{7FC6E53B-3C03-4F65-8EB0-740A1E4AD9C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4" authorId="0" shapeId="0" xr:uid="{082BD40D-D951-4154-B40D-F68D1AFDD91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4" authorId="0" shapeId="0" xr:uid="{EF470470-12B1-4F4C-81BF-A09C8BB0B8A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4" authorId="0" shapeId="0" xr:uid="{C6D44663-BBE9-4083-82AA-054F12DBE4B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5" authorId="0" shapeId="0" xr:uid="{37463D42-FFA1-40FE-8737-81E40DE041C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5" authorId="0" shapeId="0" xr:uid="{B33C7118-D98F-48DA-BDF0-856EE10929F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5" authorId="0" shapeId="0" xr:uid="{BBAA1229-69C5-435A-86B3-12F5B84ED19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5" authorId="0" shapeId="0" xr:uid="{CEFD2EBC-4F4A-478E-8243-4CF30A0FD75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5" authorId="0" shapeId="0" xr:uid="{2BCA55F4-CA7E-463A-9BDA-BCFA1926060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5" authorId="0" shapeId="0" xr:uid="{A28A2F38-F08B-493E-AEAC-5249DDF1B84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5" authorId="0" shapeId="0" xr:uid="{BE826AC8-FC1D-41D6-A23F-EE79D87AAA2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5" authorId="0" shapeId="0" xr:uid="{F9E36882-21F3-4099-AC2D-D7914CE1A58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5" authorId="0" shapeId="0" xr:uid="{D10DC55C-B2B9-49D8-B5AC-7F5903729A1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5" authorId="0" shapeId="0" xr:uid="{47080801-2F18-4DE3-BA56-085F304B0B8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5" authorId="0" shapeId="0" xr:uid="{B583E9DF-8578-475B-AEC2-3A5CC30144A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5" authorId="0" shapeId="0" xr:uid="{AF656BCC-1E58-47F7-9683-491B0E8EB27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6" authorId="0" shapeId="0" xr:uid="{BCE32091-44C8-4138-AA1D-D41830E1821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6" authorId="0" shapeId="0" xr:uid="{459E5E4F-5D15-4D42-A03A-4B3FF48869F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6" authorId="0" shapeId="0" xr:uid="{2146ED26-A0C4-434C-94CF-097ADA9DCDA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6" authorId="0" shapeId="0" xr:uid="{1B31F7A4-8543-4F69-B236-87FF944227A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6" authorId="0" shapeId="0" xr:uid="{8BF7FEA2-694F-41B1-B392-D7F174F9ABC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6" authorId="0" shapeId="0" xr:uid="{65AA8788-D956-4526-8817-DD01DDC1CE1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6" authorId="0" shapeId="0" xr:uid="{1542E802-2DDB-4DD0-B305-1AF536697B8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6" authorId="0" shapeId="0" xr:uid="{5F3CC8CE-F04D-4AFB-8A1B-951FECBB920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6" authorId="0" shapeId="0" xr:uid="{F81AF01A-B66C-485B-9F84-E68F3068FBC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6" authorId="0" shapeId="0" xr:uid="{810278E0-5448-494A-AA31-C916DB25B06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6" authorId="0" shapeId="0" xr:uid="{EB017251-4957-4819-B319-47DEA1D774E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6" authorId="0" shapeId="0" xr:uid="{FEEC5711-C940-4CA9-BC7F-0A1DFCB3B7D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7" authorId="0" shapeId="0" xr:uid="{5EAAF983-9BD6-4398-B5DD-C7ADBD90895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7" authorId="0" shapeId="0" xr:uid="{CB7EC9A7-A24A-49E8-93EF-6AA33B98425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7" authorId="0" shapeId="0" xr:uid="{E0F88FAB-9998-40DB-93F9-3B1E528C1E5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7" authorId="0" shapeId="0" xr:uid="{84491DC1-6899-48C2-B3B6-3015BE3684D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7" authorId="0" shapeId="0" xr:uid="{4E19B4F2-7ED5-4EE5-B6F9-C6C7C21009E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7" authorId="0" shapeId="0" xr:uid="{29290610-5EB3-4AA1-8679-0CDDA3C2842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7" authorId="0" shapeId="0" xr:uid="{C07734C2-0C75-4F58-B969-C2F9B793F8C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7" authorId="0" shapeId="0" xr:uid="{5326D5C7-BFB1-485C-AFAC-5F40B43260B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7" authorId="0" shapeId="0" xr:uid="{1938ED9F-A365-4402-8731-C0ED9F42DE7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7" authorId="0" shapeId="0" xr:uid="{0382FF7D-7D36-45EB-8595-5CBA690C408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7" authorId="0" shapeId="0" xr:uid="{3204A5E5-ECCA-46A3-8A09-E86DC70CE3F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7" authorId="0" shapeId="0" xr:uid="{D13A7AC6-8DA4-48B1-BF76-2BDB955C5C9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8" authorId="0" shapeId="0" xr:uid="{26D826E8-E041-4032-B357-6E2D0DF2C61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8" authorId="0" shapeId="0" xr:uid="{4C60565C-3AEB-4686-9D7F-7170431C6DE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8" authorId="0" shapeId="0" xr:uid="{04BB332C-6245-422C-A09B-0A183C09A2C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8" authorId="0" shapeId="0" xr:uid="{ABDF038F-5EA8-4BE5-BF39-9ABB0AA7E82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8" authorId="0" shapeId="0" xr:uid="{3BB0AA80-EE43-439D-B657-7B8FFF3DC96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8" authorId="0" shapeId="0" xr:uid="{2E6ADBFA-E368-4952-9787-1676A8C3ADF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8" authorId="0" shapeId="0" xr:uid="{69022F55-AA6A-4762-9633-CF062AC1ECA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8" authorId="0" shapeId="0" xr:uid="{57CD0D2B-DC54-45DA-8277-68D106CDE0F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8" authorId="0" shapeId="0" xr:uid="{E3F92F27-773A-4197-9171-AAFC60E6A68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8" authorId="0" shapeId="0" xr:uid="{2C76F9D6-FE85-42C2-B9DB-B1285BA61FE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8" authorId="0" shapeId="0" xr:uid="{6D9FD4B3-13DA-49FB-A138-7DED250CFC1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8" authorId="0" shapeId="0" xr:uid="{725E4356-D36A-4677-A4D1-2BCAF8E334F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79" authorId="0" shapeId="0" xr:uid="{B687214A-CAAD-4721-A969-EE445C3E8D6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79" authorId="0" shapeId="0" xr:uid="{F26421F6-6F9C-457A-BB79-5F42870A8C8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79" authorId="0" shapeId="0" xr:uid="{70BBC7BD-456E-402A-9C9B-B2C8CC85055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79" authorId="0" shapeId="0" xr:uid="{D8FC09D9-2EDE-4F04-A7F4-94EFAC59EB2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79" authorId="0" shapeId="0" xr:uid="{9006BB4D-9764-4B4C-837E-3DB24B69665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79" authorId="0" shapeId="0" xr:uid="{C484F1E2-9C6B-48EC-BE6B-68453F59748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79" authorId="0" shapeId="0" xr:uid="{25683E3E-4489-4793-BD06-605B016D138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79" authorId="0" shapeId="0" xr:uid="{AF9F7A79-200F-4498-A1DE-7C39F214C3F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79" authorId="0" shapeId="0" xr:uid="{B949C397-89D9-42FA-B213-AF95FE898AB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79" authorId="0" shapeId="0" xr:uid="{02CCD4AA-86DB-4B6F-8DA3-1470556619A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79" authorId="0" shapeId="0" xr:uid="{8EE9FC40-475B-4F9A-99E2-441D0AFD373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79" authorId="0" shapeId="0" xr:uid="{6ECFC489-3A8E-44F6-9B04-289F0B7FB13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80" authorId="0" shapeId="0" xr:uid="{E28906CB-994A-4F35-9CCE-96719C18012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80" authorId="0" shapeId="0" xr:uid="{8D48C9E4-56FC-48E9-B7A1-54DE8A76DC3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80" authorId="0" shapeId="0" xr:uid="{94F6859B-2A0C-4084-9B1B-A7C7C04C9FF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80" authorId="0" shapeId="0" xr:uid="{7153276C-A57A-4FDD-9A22-589D3EC0C01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80" authorId="0" shapeId="0" xr:uid="{E71BAB88-39C1-4B93-9C38-5937BAAE53A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80" authorId="0" shapeId="0" xr:uid="{F940FCD7-499E-484C-903E-411A94B4462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80" authorId="0" shapeId="0" xr:uid="{1B418232-3660-46A9-BA5A-524174F8F28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80" authorId="0" shapeId="0" xr:uid="{440FA0FC-AE67-44A3-9740-E19BF4F286F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80" authorId="0" shapeId="0" xr:uid="{6073D48B-52BF-44F3-9223-4FDD0B19B99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80" authorId="0" shapeId="0" xr:uid="{96FD6707-6B0C-49BC-9C01-2D25BDB5211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80" authorId="0" shapeId="0" xr:uid="{B6CBA5F1-613B-44A8-BC9C-4A9CD8786C2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80" authorId="0" shapeId="0" xr:uid="{F819C606-B7B1-4CC7-B408-068A9C772B6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81" authorId="0" shapeId="0" xr:uid="{B303C195-5D6E-40BB-BD76-8E8043A06C7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81" authorId="0" shapeId="0" xr:uid="{A4E99905-6335-4C92-ADB4-1B1FF1AD6D3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81" authorId="0" shapeId="0" xr:uid="{3656A925-BA07-4188-8CB5-DB89045C72F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81" authorId="0" shapeId="0" xr:uid="{EE001062-CEE4-4CDE-9989-0977AD9FF02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81" authorId="0" shapeId="0" xr:uid="{21539BDA-04A5-4EA0-BD8C-6302305374F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81" authorId="0" shapeId="0" xr:uid="{2F908472-F89A-449C-90C9-1B4036982ED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81" authorId="0" shapeId="0" xr:uid="{EFD7E4D3-29F9-4EBC-8A98-A2F077307CF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81" authorId="0" shapeId="0" xr:uid="{41D9B7A6-94DA-443D-89B9-601F293F463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81" authorId="0" shapeId="0" xr:uid="{207D93C3-A805-4A94-B634-B29F977DBD4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81" authorId="0" shapeId="0" xr:uid="{E5526056-7B3B-420B-AD4A-A3D848094F4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81" authorId="0" shapeId="0" xr:uid="{D82630C2-8D2F-421E-BBE6-95C55E219C5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81" authorId="0" shapeId="0" xr:uid="{287EB98F-D6BB-48EB-A0FF-89B52F4EA7E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82" authorId="0" shapeId="0" xr:uid="{F0237DF2-CA60-4D4B-A290-50B49F35B5D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82" authorId="0" shapeId="0" xr:uid="{369E489A-B123-4545-BB5E-E5D50753F89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82" authorId="0" shapeId="0" xr:uid="{8F402CD2-2281-4AD8-99EA-8DFF8129756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82" authorId="0" shapeId="0" xr:uid="{4A06F15A-AB68-4421-A01A-D7C07ABBF6A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82" authorId="0" shapeId="0" xr:uid="{9FEF8F40-DF65-4FA3-B42A-2BA4CA26332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82" authorId="0" shapeId="0" xr:uid="{A8F64255-36B0-4D74-94D9-1881D543FED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82" authorId="0" shapeId="0" xr:uid="{EC438F4E-B4B5-41E0-8351-509448D8E6D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82" authorId="0" shapeId="0" xr:uid="{62CCABD3-5068-4FA4-9F54-E4DB42C55D9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82" authorId="0" shapeId="0" xr:uid="{1E7B42F2-E2D8-439C-ACBB-DB6C6538D23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82" authorId="0" shapeId="0" xr:uid="{974428B1-ED61-4DC0-BBF4-15312228A25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82" authorId="0" shapeId="0" xr:uid="{744D7E4A-019B-434B-AB8B-BCC12DA6949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82" authorId="0" shapeId="0" xr:uid="{99E6BB30-FF70-42A0-93E9-640C4B7248E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783" authorId="0" shapeId="0" xr:uid="{D8129829-6F8F-461F-9A77-022075FA536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783" authorId="0" shapeId="0" xr:uid="{ABC572A3-A5BB-4B38-9A55-83AB65F1989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783" authorId="0" shapeId="0" xr:uid="{C22AF1C0-10C0-4829-9345-9AE28C2F531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783" authorId="0" shapeId="0" xr:uid="{8ACC3D74-2409-4B8B-87BB-299E8A88D8F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783" authorId="0" shapeId="0" xr:uid="{6BA6CEF0-1C41-4E7C-988B-3E7ADAEF7E0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783" authorId="0" shapeId="0" xr:uid="{179B9B3F-41E2-472D-B020-1F97822074C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783" authorId="0" shapeId="0" xr:uid="{DCB31857-A784-403A-923D-1B0461123BB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783" authorId="0" shapeId="0" xr:uid="{3EDDE7AA-3E1C-41AC-B80F-0119257A146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783" authorId="0" shapeId="0" xr:uid="{E814B2AB-2669-4AEC-9751-77EC7E00577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783" authorId="0" shapeId="0" xr:uid="{4722C044-368D-4A04-9760-C5037255F7B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783" authorId="0" shapeId="0" xr:uid="{0DAA7159-E366-416F-A778-E38BEC48D42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783" authorId="0" shapeId="0" xr:uid="{21237316-EF6D-4B03-A9B1-6CAFDFE26D7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22" authorId="0" shapeId="0" xr:uid="{D435EA12-FE4B-4210-A1B4-438607BE1C4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22" authorId="0" shapeId="0" xr:uid="{F0F1A4E6-8245-4BB5-8558-3066178E3AB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22" authorId="0" shapeId="0" xr:uid="{F9E47DDD-03E2-4952-880A-7A3777354EB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22" authorId="0" shapeId="0" xr:uid="{970C3027-183A-40DE-A67E-E01571DE959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22" authorId="0" shapeId="0" xr:uid="{A80F0CBE-0362-4057-A4EB-5A7DC1C2F27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22" authorId="0" shapeId="0" xr:uid="{FA026084-077F-48CA-A096-3BFBE6F3004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22" authorId="0" shapeId="0" xr:uid="{C5E55A57-11BE-4BF4-BCE3-61D6E8126F4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22" authorId="0" shapeId="0" xr:uid="{E133182C-E138-401C-90AE-AC0DCDF0233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22" authorId="0" shapeId="0" xr:uid="{D32524C3-D446-40FF-8A66-69A1E5C601D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22" authorId="0" shapeId="0" xr:uid="{E42D2035-BC25-42DF-AE39-1B0EAE2778D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22" authorId="0" shapeId="0" xr:uid="{755A8C22-DFC3-4D08-B3AF-4115F1D34FE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22" authorId="0" shapeId="0" xr:uid="{2B7FCAE5-1F9D-46D3-8BC2-82DB377C137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23" authorId="0" shapeId="0" xr:uid="{A86C3613-BDDE-4872-B86A-D844F4FFFB0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23" authorId="0" shapeId="0" xr:uid="{095AF512-7FB5-4F5F-A7A8-6280FABA41D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23" authorId="0" shapeId="0" xr:uid="{6766025A-C0D3-4522-84E2-FFD589C3817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23" authorId="0" shapeId="0" xr:uid="{14B41835-834C-4285-8CCD-E0F2F29587A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23" authorId="0" shapeId="0" xr:uid="{8424E20D-B5AB-46D2-AE1C-DDBAEE4A1A4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23" authorId="0" shapeId="0" xr:uid="{CAFA54D7-FE31-49F4-A53A-524B5010B2F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23" authorId="0" shapeId="0" xr:uid="{386487B0-E064-4559-8020-37BBA867FDF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23" authorId="0" shapeId="0" xr:uid="{863966D7-7368-47D0-B449-B1E47DA1E72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23" authorId="0" shapeId="0" xr:uid="{35B78D32-67BA-41C6-85C4-D4E5A1A7E2B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23" authorId="0" shapeId="0" xr:uid="{8962DEC7-1782-46AE-8A4D-E2DE5F0A95E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23" authorId="0" shapeId="0" xr:uid="{2B9BBA48-413A-4CA1-BE65-9B55B81868B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23" authorId="0" shapeId="0" xr:uid="{CEA31E75-1C01-4D7F-8866-4A28D1E4282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24" authorId="0" shapeId="0" xr:uid="{7C34F9F5-D741-4B3F-BE29-54325F4F626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24" authorId="0" shapeId="0" xr:uid="{9A077269-04D1-4CE0-8EDD-D2C1A5FD55D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24" authorId="0" shapeId="0" xr:uid="{7AF5893E-1D3E-4929-9D70-E67BC9FBFC5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24" authorId="0" shapeId="0" xr:uid="{4DA52C1C-6ABC-4EF0-87F7-371272A642C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24" authorId="0" shapeId="0" xr:uid="{6B558000-1975-49CA-95DE-8C344839712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24" authorId="0" shapeId="0" xr:uid="{BB872E77-F5F6-42D2-A54A-6063D40FF2D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24" authorId="0" shapeId="0" xr:uid="{9644A5F2-1C8F-4D07-B0F3-E3AF3AAF315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24" authorId="0" shapeId="0" xr:uid="{EC961B85-0846-467B-A21F-62C95332860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24" authorId="0" shapeId="0" xr:uid="{B0FC1660-D58C-4576-8B24-1DD70D67AC3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24" authorId="0" shapeId="0" xr:uid="{EA649137-639D-4E8E-82FB-84EF6B23CD4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24" authorId="0" shapeId="0" xr:uid="{A184E399-8C67-49E7-BFA2-A4F85E54DBF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24" authorId="0" shapeId="0" xr:uid="{74D5501A-4F08-4370-AAAE-B7812840CD2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25" authorId="0" shapeId="0" xr:uid="{D11C4A88-7151-4199-8C4E-B75C92D0A82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25" authorId="0" shapeId="0" xr:uid="{78D03136-2252-4C04-93F9-8C6F5E60B56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25" authorId="0" shapeId="0" xr:uid="{BEADED4C-FC08-4FC3-B7A7-8BAC06910E9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25" authorId="0" shapeId="0" xr:uid="{080F79F7-7186-4486-B873-5D90817A02F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25" authorId="0" shapeId="0" xr:uid="{0B0AE123-3F02-49D0-8138-A8D643E16C8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25" authorId="0" shapeId="0" xr:uid="{EE5EB668-8E2C-4C16-8029-60678CDE4AC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25" authorId="0" shapeId="0" xr:uid="{E07E840B-0A50-450B-BBE2-7E3E6D28341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25" authorId="0" shapeId="0" xr:uid="{C2EF0B20-29F4-4C04-AF3D-B6EF7B4280F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25" authorId="0" shapeId="0" xr:uid="{88A4BD00-604C-42ED-A9B1-B2D0DC5548A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25" authorId="0" shapeId="0" xr:uid="{09D9C03A-CBE7-444D-85C6-4E863D0DF10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25" authorId="0" shapeId="0" xr:uid="{6B689899-BF10-4C5C-B36F-3EDFCBF9D23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25" authorId="0" shapeId="0" xr:uid="{0B77A555-DD9C-4FC0-82E7-A7F62B1F9E3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26" authorId="0" shapeId="0" xr:uid="{A85A2D9A-CC2F-4518-81C1-E6C3EC29A21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26" authorId="0" shapeId="0" xr:uid="{283BB662-083B-4E1E-BB43-D2235BF1D10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26" authorId="0" shapeId="0" xr:uid="{950CC94C-3F9B-415D-A12A-E7A50FF6A46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26" authorId="0" shapeId="0" xr:uid="{D08E5F90-2D49-4D07-9483-6CB16E7B4C2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26" authorId="0" shapeId="0" xr:uid="{3BA1E892-4742-42BC-BA81-FEA4B8776E3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26" authorId="0" shapeId="0" xr:uid="{D6B88ABA-CEEB-4CC8-80E7-4FA066A54AA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26" authorId="0" shapeId="0" xr:uid="{28DF0312-01DF-47F4-BC91-C1B151875C4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26" authorId="0" shapeId="0" xr:uid="{AF48C158-C82F-4703-B51C-66B4820FCB3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26" authorId="0" shapeId="0" xr:uid="{EA082710-BFCF-4397-9027-0F3235CDABC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26" authorId="0" shapeId="0" xr:uid="{C1EADF66-2D05-4E14-91D8-653C49A4A87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26" authorId="0" shapeId="0" xr:uid="{61DC9692-2827-41FE-8A78-21F6E928FF5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26" authorId="0" shapeId="0" xr:uid="{9A50DC1F-A6CF-4D50-8AD0-F2803FD34D4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27" authorId="0" shapeId="0" xr:uid="{D897F765-52CD-461D-8BA8-43E885BBB36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27" authorId="0" shapeId="0" xr:uid="{54D9511E-3833-4439-8BB9-0E064943B81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27" authorId="0" shapeId="0" xr:uid="{4CB533C8-8AD3-41F8-94BA-6A15113C2DD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27" authorId="0" shapeId="0" xr:uid="{52C38CEC-0605-4E9A-97E5-EB810746F07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27" authorId="0" shapeId="0" xr:uid="{4DF32155-ED38-47BA-8542-A6C0DB58E3C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27" authorId="0" shapeId="0" xr:uid="{C4D38983-3EF0-4D29-B250-F1493D3AC4C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27" authorId="0" shapeId="0" xr:uid="{6B71B8CB-0EBA-4041-940A-F43F810A164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27" authorId="0" shapeId="0" xr:uid="{43B6F24B-16B3-4A2F-8073-AFED8DA5F92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27" authorId="0" shapeId="0" xr:uid="{4CB47745-24DF-478B-A118-7796786E7F1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27" authorId="0" shapeId="0" xr:uid="{4347161A-E139-4F4E-B726-A2378A054BB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27" authorId="0" shapeId="0" xr:uid="{FE69B965-43C4-4011-B67A-4997A141DEE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27" authorId="0" shapeId="0" xr:uid="{B34CD222-6252-4A7C-BEAD-C69CD08595C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28" authorId="0" shapeId="0" xr:uid="{1A695C2F-4301-4042-BB49-69A5C196F01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28" authorId="0" shapeId="0" xr:uid="{45D48CE4-C8AA-4BAA-BD2F-EED97D73A05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28" authorId="0" shapeId="0" xr:uid="{55E2EA92-D3CD-4F7B-8336-397903C6C46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28" authorId="0" shapeId="0" xr:uid="{27734E44-27F1-4957-916A-5334E05194B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28" authorId="0" shapeId="0" xr:uid="{BA4B026B-8C62-4E22-83C8-871FD45788D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28" authorId="0" shapeId="0" xr:uid="{1CC28149-1389-4F32-A839-C7B43781C26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28" authorId="0" shapeId="0" xr:uid="{A3B3A78E-25FE-413F-95C5-19775FDB4E5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28" authorId="0" shapeId="0" xr:uid="{6B6659D9-3B5C-4B49-82C9-640EAFBC5E5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28" authorId="0" shapeId="0" xr:uid="{C89842C9-45EA-4306-B8D2-5BD45280463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28" authorId="0" shapeId="0" xr:uid="{27DB9D40-1C07-4565-9B0A-86339B8A18F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28" authorId="0" shapeId="0" xr:uid="{CF78CF87-FEE9-44FF-ADBB-75B97334C95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28" authorId="0" shapeId="0" xr:uid="{C9827F78-CB19-48BF-9580-54638EF1A9E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29" authorId="0" shapeId="0" xr:uid="{E687C5EE-3EE8-4C6A-AA1D-A69D1D91AB6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29" authorId="0" shapeId="0" xr:uid="{2E66A667-A6B6-4AF9-B19F-78AC0768C9D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29" authorId="0" shapeId="0" xr:uid="{C1E0A51A-80A7-4B29-A292-7FC4B2D148E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29" authorId="0" shapeId="0" xr:uid="{E4A3E294-841D-4EAF-8E7E-2AC60191B6D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29" authorId="0" shapeId="0" xr:uid="{02D69B27-1D44-470E-9346-09B8FD209CB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29" authorId="0" shapeId="0" xr:uid="{C6BE6DC2-1E1F-4E9D-848C-ABAC9F1D20D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29" authorId="0" shapeId="0" xr:uid="{C12E1A20-F69E-4AEB-95F0-56C6E6B36BE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29" authorId="0" shapeId="0" xr:uid="{7F3730C6-184B-422F-A23E-E8545F90849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29" authorId="0" shapeId="0" xr:uid="{21B838A9-2EED-48A7-B531-78FC74D02BC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29" authorId="0" shapeId="0" xr:uid="{0A171040-0EC2-478A-9978-3FCA4BFF062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29" authorId="0" shapeId="0" xr:uid="{EC63DEEF-F3FF-46B9-AEC1-6CA72BA4A7C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29" authorId="0" shapeId="0" xr:uid="{0B5F074D-3407-48D1-8ECC-09FC2FD505C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0" authorId="0" shapeId="0" xr:uid="{7C25EA06-0870-4750-84B2-4C8F9B8A68A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0" authorId="0" shapeId="0" xr:uid="{F10A1DE5-94E9-4B9D-8627-E5DF52319B0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0" authorId="0" shapeId="0" xr:uid="{FD61E603-1A4A-4A5F-BF5E-5E60B71DBE6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0" authorId="0" shapeId="0" xr:uid="{17C2F784-77F2-4F59-A28D-401107C5E13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0" authorId="0" shapeId="0" xr:uid="{92DE6AA0-0783-402C-B123-4B63685F890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0" authorId="0" shapeId="0" xr:uid="{6C7324CA-0BFA-4CE1-9CEF-9467DEC58FA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0" authorId="0" shapeId="0" xr:uid="{642FECEA-98B9-498B-B623-FBDDAB59450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0" authorId="0" shapeId="0" xr:uid="{13B2F7F9-E340-4781-A350-DCCA4AA8FCB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0" authorId="0" shapeId="0" xr:uid="{92357E2F-BB31-421D-8F44-53052525EF4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0" authorId="0" shapeId="0" xr:uid="{C68E8B9E-C779-4167-9DC3-10C4B7CF32C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0" authorId="0" shapeId="0" xr:uid="{D6576141-7FF2-4C3A-8F5B-F1CB6780B5F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0" authorId="0" shapeId="0" xr:uid="{00D9DDE1-8FCB-4C5D-AB4D-643910C3C18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1" authorId="0" shapeId="0" xr:uid="{D424837C-C89C-4120-AE41-DEBAB864DCB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1" authorId="0" shapeId="0" xr:uid="{189EDBF3-3BF7-490C-95E9-F68D222E934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1" authorId="0" shapeId="0" xr:uid="{45618FC1-7FB1-47C8-BC07-79452090DAC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1" authorId="0" shapeId="0" xr:uid="{A0B37F20-286B-40C0-9CCC-27A74E9C4EC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1" authorId="0" shapeId="0" xr:uid="{C5A4351B-9DE7-41D5-9CCF-EE10455D2B2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1" authorId="0" shapeId="0" xr:uid="{11DD2808-CE1D-4212-A79F-82CF97DB689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1" authorId="0" shapeId="0" xr:uid="{F67602F0-558F-45D8-B9C0-961BE3EA349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1" authorId="0" shapeId="0" xr:uid="{0F9385CC-3E7C-438A-940F-92F282D1DE2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1" authorId="0" shapeId="0" xr:uid="{CA3BBBA6-62F3-4410-976F-87BCE8B1812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1" authorId="0" shapeId="0" xr:uid="{53DDA74C-CF6A-4179-9226-4F28E46E74E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1" authorId="0" shapeId="0" xr:uid="{F9480C50-DA05-451F-B958-3F0C44B0D6D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1" authorId="0" shapeId="0" xr:uid="{F2C6D4E8-4DEF-4E76-BF05-538C4460BF7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2" authorId="0" shapeId="0" xr:uid="{2AE8A3E5-098B-45CF-9417-E6463ADA9F0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2" authorId="0" shapeId="0" xr:uid="{DBB258AF-DECC-4454-9D92-EDA12E67347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2" authorId="0" shapeId="0" xr:uid="{CD5D6CC8-2620-4C41-85AD-80CBBB6FB0C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2" authorId="0" shapeId="0" xr:uid="{D0DDCF68-0C03-499D-9ED5-CA4D53C53D3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2" authorId="0" shapeId="0" xr:uid="{2E61B6D6-A8E4-4A9B-957B-2EB097DD7A4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2" authorId="0" shapeId="0" xr:uid="{04B15210-3255-4FF2-B773-F80A759BC63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2" authorId="0" shapeId="0" xr:uid="{41B33B2C-6D42-4680-BC1A-0B302698945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2" authorId="0" shapeId="0" xr:uid="{22A18180-4034-45D0-A740-32DE88B0B36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2" authorId="0" shapeId="0" xr:uid="{B33B6B86-AFBC-4CBF-9BA7-03AC9C3AAD3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2" authorId="0" shapeId="0" xr:uid="{13657FCF-A6A3-44EC-A466-6444F123B04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2" authorId="0" shapeId="0" xr:uid="{D7114FEC-5628-47F8-AC01-5BB751EA0D0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2" authorId="0" shapeId="0" xr:uid="{8559011D-7ECA-4FCE-BE7D-D5C914C25B1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3" authorId="0" shapeId="0" xr:uid="{9143243A-8089-44D1-B9CD-D11642C62BB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3" authorId="0" shapeId="0" xr:uid="{CB87D190-F73C-4B3F-A1BD-75C9F87290B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3" authorId="0" shapeId="0" xr:uid="{2BC0DB6E-8CC2-4367-9476-19873D4EB31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3" authorId="0" shapeId="0" xr:uid="{FAC13AA3-07E5-4FA4-B808-9A191A228C1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3" authorId="0" shapeId="0" xr:uid="{6CB4A01F-297D-4472-8414-99A670BA981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3" authorId="0" shapeId="0" xr:uid="{098FB075-7128-47E3-9160-8671A7D3C2A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3" authorId="0" shapeId="0" xr:uid="{15FB8CC7-73C3-442C-82E8-4AB9D433B63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3" authorId="0" shapeId="0" xr:uid="{EB2D2597-E131-4486-93D5-3E6B8A664E24}">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3" authorId="0" shapeId="0" xr:uid="{69AA5755-387D-4D73-8B9F-BD6147F93A0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3" authorId="0" shapeId="0" xr:uid="{B7D18615-D63F-4C1E-A322-9FC9847EC01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3" authorId="0" shapeId="0" xr:uid="{04D263F1-FAD1-4DAA-BB5F-35177B35950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3" authorId="0" shapeId="0" xr:uid="{2185403A-D64B-484D-AE65-9B11CE54464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4" authorId="0" shapeId="0" xr:uid="{D0D09B5B-9359-49EB-9FAC-3E0EFD41A47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4" authorId="0" shapeId="0" xr:uid="{FFDA4122-CCE1-472B-ABCC-221BFDD84E0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4" authorId="0" shapeId="0" xr:uid="{C0922694-5D05-4FED-9517-FC18121A65D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4" authorId="0" shapeId="0" xr:uid="{E864C25C-773E-4E8F-BE81-100216AC34D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4" authorId="0" shapeId="0" xr:uid="{81A173AA-DAFB-48D6-8A13-3A7F318D9E0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4" authorId="0" shapeId="0" xr:uid="{049A71EC-B4F8-441C-ACBD-0A890CE85DE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4" authorId="0" shapeId="0" xr:uid="{23FE74A4-EDCE-4A83-9AFB-DF3F88273D3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4" authorId="0" shapeId="0" xr:uid="{D69CFD59-DA76-430D-9467-1D2CB5B5F63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4" authorId="0" shapeId="0" xr:uid="{EA3BBB60-26B7-4E3B-9138-86ABB62BEDB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4" authorId="0" shapeId="0" xr:uid="{C4C36467-D95B-485F-8E2A-02957465351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4" authorId="0" shapeId="0" xr:uid="{4262DFA9-AFB9-4A6A-8B5D-CE7E8B87BBE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4" authorId="0" shapeId="0" xr:uid="{9ABF9385-64A8-4B08-978B-78E8A5438F9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5" authorId="0" shapeId="0" xr:uid="{F8411E51-34E1-4C91-8364-7DCD67C560F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5" authorId="0" shapeId="0" xr:uid="{544085D6-112C-487D-B996-0623B51F4EE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5" authorId="0" shapeId="0" xr:uid="{1BB3FF72-462D-4D63-B83E-6F5DB2C5BC9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5" authorId="0" shapeId="0" xr:uid="{E558EDF2-75D3-4471-BDEE-A940F876BF4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5" authorId="0" shapeId="0" xr:uid="{983449EC-CFF9-4DE6-B4FD-CF208CD769A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5" authorId="0" shapeId="0" xr:uid="{47B4C3F4-B8AD-48D1-AD86-6BC28A40061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5" authorId="0" shapeId="0" xr:uid="{F22F8B5D-C88C-47DE-AB17-864F2D4AA3B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5" authorId="0" shapeId="0" xr:uid="{53D17B92-B891-4DBB-A7C7-BAC2A01D43C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5" authorId="0" shapeId="0" xr:uid="{3A96BBEB-3556-494C-B5F4-BE86AAAA654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5" authorId="0" shapeId="0" xr:uid="{B2350BCD-5125-4E4C-8F23-83E0C9B0914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5" authorId="0" shapeId="0" xr:uid="{4747E67C-806B-4E15-8E10-AE667BFD576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5" authorId="0" shapeId="0" xr:uid="{2A164C5B-69FE-4D5E-B12B-A9C87FFCC3C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6" authorId="0" shapeId="0" xr:uid="{879001D6-9B01-4906-90A2-A053B351EDB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6" authorId="0" shapeId="0" xr:uid="{AF3C6E29-317F-4763-BC1D-D6D59C9E325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6" authorId="0" shapeId="0" xr:uid="{F8A08F08-AD46-4F22-8CAC-705CB9D9552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6" authorId="0" shapeId="0" xr:uid="{2A9F589E-9E59-49FD-BEBA-DDC076E17B4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6" authorId="0" shapeId="0" xr:uid="{17DC9C30-5ABA-447A-8E42-7F1FCE93706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6" authorId="0" shapeId="0" xr:uid="{1F15B8E3-5068-43E3-B019-E5F74C22790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6" authorId="0" shapeId="0" xr:uid="{70FFFFCF-3072-4467-936C-68D14DB6553D}">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6" authorId="0" shapeId="0" xr:uid="{04BF943F-4510-4DFC-8F64-08A337FFDBF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6" authorId="0" shapeId="0" xr:uid="{71AF1C0A-05C3-486C-B233-B20FE280852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6" authorId="0" shapeId="0" xr:uid="{1C527B25-DD2D-4956-963A-0311FC33F9C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6" authorId="0" shapeId="0" xr:uid="{0FFDE2F6-6C7B-4B95-82D9-DD990A819F9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6" authorId="0" shapeId="0" xr:uid="{4B484CB9-CEAE-49CE-AE77-E7FE8CA5D45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7" authorId="0" shapeId="0" xr:uid="{3C235505-BC48-4B7B-9A1A-543A198D9BE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7" authorId="0" shapeId="0" xr:uid="{BB1B5A34-779E-4570-8EA7-99A08F93DE7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7" authorId="0" shapeId="0" xr:uid="{7BA74744-F68D-42CF-B2EC-DBB517840EF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7" authorId="0" shapeId="0" xr:uid="{BA2B59C2-05E8-47F7-A4DA-9B5E56C4137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7" authorId="0" shapeId="0" xr:uid="{1A3A5A81-0698-4AFA-A92F-4042B43F9CD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7" authorId="0" shapeId="0" xr:uid="{7858334F-47B5-4F83-829C-F698558BA0A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7" authorId="0" shapeId="0" xr:uid="{50A0DE2D-0597-4892-91BC-AD4504C2444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7" authorId="0" shapeId="0" xr:uid="{0832EBF7-6EE7-4173-86DC-CC0233398BF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7" authorId="0" shapeId="0" xr:uid="{335447E4-1AAA-46E8-A6E2-24BA030378A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7" authorId="0" shapeId="0" xr:uid="{45DE2CD6-7B77-451C-9CDA-49A23ED158D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7" authorId="0" shapeId="0" xr:uid="{2C91094C-8BB7-4E66-A79B-C3C9FA79DEB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7" authorId="0" shapeId="0" xr:uid="{F0C0F61C-A27F-4AF3-A659-04972B6E486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8" authorId="0" shapeId="0" xr:uid="{249F4467-BE37-43E3-9A8B-619FF2BD644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8" authorId="0" shapeId="0" xr:uid="{CFC99163-5914-4C10-A78D-39A4C26A38D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8" authorId="0" shapeId="0" xr:uid="{77450147-84D6-4926-97EE-DBAF693F5C1C}">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8" authorId="0" shapeId="0" xr:uid="{85458FA3-5F21-4E07-87FA-04DC09B4574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8" authorId="0" shapeId="0" xr:uid="{367E147F-1B5E-4654-BC59-DB743574AA3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8" authorId="0" shapeId="0" xr:uid="{515F3117-2BF0-41D1-A4F4-A4F3BF52B9C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8" authorId="0" shapeId="0" xr:uid="{6AA42919-8FEE-4325-904C-3B7F43484F0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8" authorId="0" shapeId="0" xr:uid="{8378C546-74A6-46B4-891D-0A9C888369F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8" authorId="0" shapeId="0" xr:uid="{4D07B8F1-3AF7-487E-9F5D-095C71D15D9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8" authorId="0" shapeId="0" xr:uid="{AEF5E6BC-287C-4F65-AA3B-7F7D68536B9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8" authorId="0" shapeId="0" xr:uid="{68AECBF1-7C54-43DB-9039-848CE7E42FF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8" authorId="0" shapeId="0" xr:uid="{AC122844-BF2C-484D-8BE2-A5306E52621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39" authorId="0" shapeId="0" xr:uid="{50264D3B-4EAF-4BB6-93BE-99A6091ADEA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39" authorId="0" shapeId="0" xr:uid="{4B679DE0-C972-48F3-82CC-0E66F8AB8C0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39" authorId="0" shapeId="0" xr:uid="{5EDB242B-3EEC-4DBD-B28F-1B98B3782FD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39" authorId="0" shapeId="0" xr:uid="{C582A25D-0E39-46B0-812B-10BDEBD3B8FE}">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39" authorId="0" shapeId="0" xr:uid="{860DA639-BFE5-4835-B47F-EDD63FFBF1E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39" authorId="0" shapeId="0" xr:uid="{7623A06E-AECC-4831-8D1F-EE445615A75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39" authorId="0" shapeId="0" xr:uid="{5E0283E6-318C-4F27-A6AE-6BE6D2E8C0F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39" authorId="0" shapeId="0" xr:uid="{6E53E3F0-BCFB-40A8-9C6C-10EEA8B801F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39" authorId="0" shapeId="0" xr:uid="{D8426BDE-76E4-4860-A5D7-6407BA3C72BA}">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39" authorId="0" shapeId="0" xr:uid="{935D75AE-2E7B-4CB5-B41B-DC07E363835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39" authorId="0" shapeId="0" xr:uid="{2C377BEB-6F3E-4477-BDD3-C3E1FE4962F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39" authorId="0" shapeId="0" xr:uid="{0E7C982A-284E-42EA-B303-2C1855566A4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40" authorId="0" shapeId="0" xr:uid="{27DDBC81-EF1C-4E69-ADD8-666D9B1175B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40" authorId="0" shapeId="0" xr:uid="{2EC25A95-B086-4682-82DC-3CDE521B9B9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40" authorId="0" shapeId="0" xr:uid="{448E8055-AD4D-40D7-9B30-AED62CC9B0B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40" authorId="0" shapeId="0" xr:uid="{C409E401-655B-482D-9BEA-E00FE8F75A4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40" authorId="0" shapeId="0" xr:uid="{6C1BC7ED-DA68-4BA3-A5CF-5091D0781B8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40" authorId="0" shapeId="0" xr:uid="{112BEF93-8DBF-4D03-BEFB-70157543FEA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40" authorId="0" shapeId="0" xr:uid="{0179D4F1-C416-4A43-B095-82A94A22D026}">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40" authorId="0" shapeId="0" xr:uid="{6D934EBD-3D89-42C3-864E-B710C15CDF0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40" authorId="0" shapeId="0" xr:uid="{F92E3C40-25C3-4602-807E-7E2F0A11D13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40" authorId="0" shapeId="0" xr:uid="{84A6EBB1-FD18-43CC-A486-A43D7A77421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40" authorId="0" shapeId="0" xr:uid="{4A296181-E006-443D-B6F9-D7B1C94EB055}">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40" authorId="0" shapeId="0" xr:uid="{60507CB9-993E-4EE5-8BC0-D1D41747302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C841" authorId="0" shapeId="0" xr:uid="{07E77585-5D89-48EA-A095-81F373C429F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D841" authorId="0" shapeId="0" xr:uid="{7C0BD724-4594-4BB9-B230-59A43B41257F}">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E841" authorId="0" shapeId="0" xr:uid="{5B99B396-4836-46E0-BEB9-83949E53F203}">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F841" authorId="0" shapeId="0" xr:uid="{3243C6CF-5DB8-4888-AB65-C5A8813DACE9}">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G841" authorId="0" shapeId="0" xr:uid="{075E91B1-8BC3-419B-8792-A2D32AC31F1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H841" authorId="0" shapeId="0" xr:uid="{550CBFD8-2004-4EFF-B579-087D858053C7}">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I841" authorId="0" shapeId="0" xr:uid="{670B12E8-F15F-47C9-95EC-6DE12535D0F1}">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J841" authorId="0" shapeId="0" xr:uid="{E4BD71F8-1F8B-49F1-B4E4-592ECC24890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K841" authorId="0" shapeId="0" xr:uid="{EA5E3DDC-DE55-401B-9FD7-CB8BF7C51892}">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L841" authorId="0" shapeId="0" xr:uid="{D7E94E06-ADA1-4CC7-9434-43B033E0402B}">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M841" authorId="0" shapeId="0" xr:uid="{0310F2BD-D09B-43B1-8B77-A17FE4AF5E98}">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N841" authorId="0" shapeId="0" xr:uid="{AD583AC0-0867-4A73-A52A-0D810ED85A70}">
      <text>
        <r>
          <rPr>
            <b/>
            <sz val="9"/>
            <color indexed="81"/>
            <rFont val="Tahoma"/>
            <family val="2"/>
          </rPr>
          <t>Potter, Daniel:</t>
        </r>
        <r>
          <rPr>
            <sz val="9"/>
            <color indexed="81"/>
            <rFont val="Tahoma"/>
            <family val="2"/>
          </rPr>
          <t xml:space="preserve">
TY 2022-2023 Data. See </t>
        </r>
        <r>
          <rPr>
            <i/>
            <sz val="9"/>
            <color indexed="81"/>
            <rFont val="Tahoma"/>
            <family val="2"/>
          </rPr>
          <t>Losses and Congestion Calculations - TY 2022-2023</t>
        </r>
        <r>
          <rPr>
            <sz val="9"/>
            <color indexed="81"/>
            <rFont val="Tahoma"/>
            <family val="2"/>
          </rPr>
          <t xml:space="preserve"> </t>
        </r>
      </text>
    </comment>
    <comment ref="A873" authorId="5" shapeId="0" xr:uid="{00000000-0006-0000-0500-00003D320000}">
      <text>
        <r>
          <rPr>
            <b/>
            <sz val="8"/>
            <color indexed="81"/>
            <rFont val="Tahoma"/>
            <family val="2"/>
          </rPr>
          <t>ckieny:</t>
        </r>
        <r>
          <rPr>
            <sz val="8"/>
            <color indexed="81"/>
            <rFont val="Tahoma"/>
            <family val="2"/>
          </rPr>
          <t xml:space="preserve">
Test Year $/MWH of Load obligation times ratio of Nymex gas futures for appropriate month in ATY to Nyfutures settlement price in TY.</t>
        </r>
      </text>
    </comment>
    <comment ref="C874" authorId="0" shapeId="0" xr:uid="{00527D69-EE71-48CD-8AD2-9F5652A1F128}">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D874" authorId="0" shapeId="0" xr:uid="{DB86E6F0-D4C4-4F6D-9D19-CDF9408AD0EF}">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E874" authorId="0" shapeId="0" xr:uid="{2E2B98B6-3183-4782-AA66-B4E7D8A62FA4}">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F874" authorId="0" shapeId="0" xr:uid="{710F6FF5-D9DC-44CB-97B0-0DE35123BD29}">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G874" authorId="0" shapeId="0" xr:uid="{C00FEF2B-54A4-4985-A688-54CABCB1B793}">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H874" authorId="0" shapeId="0" xr:uid="{E59702CD-5371-4E42-AD4D-26B164B77489}">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I874" authorId="0" shapeId="0" xr:uid="{EB3559DD-B031-476C-9BC2-7F1E6ACAC2C9}">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J874" authorId="0" shapeId="0" xr:uid="{762892CE-EDF5-497E-85AB-65A9D4EA9AFE}">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K874" authorId="0" shapeId="0" xr:uid="{78F74CF8-0A44-46FB-BC65-A5FB011FFE62}">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L874" authorId="0" shapeId="0" xr:uid="{6026E700-6132-4DAB-A98A-ECC73B156ED3}">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M874" authorId="0" shapeId="0" xr:uid="{B78E3558-DF8D-4863-9EDE-19AA5D9750EB}">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N874" authorId="0" shapeId="0" xr:uid="{FBD8E7B9-8B2F-4DE4-812A-94D3A74E7764}">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O874" authorId="0" shapeId="0" xr:uid="{90FB1C2B-B0EA-4665-B878-A8B8C45091FD}">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P874" authorId="0" shapeId="0" xr:uid="{EF439736-01FC-43EF-930D-3C606DDF9375}">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Q874" authorId="0" shapeId="0" xr:uid="{23148212-8712-4FD9-9664-2D5267452199}">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R874" authorId="0" shapeId="0" xr:uid="{28544411-4BC2-4E43-B50F-B42BBF576316}">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S874" authorId="0" shapeId="0" xr:uid="{60ADD5D5-DCCF-4798-BEA0-4BC2EFAB5614}">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T874" authorId="0" shapeId="0" xr:uid="{12F506EF-9431-4509-BB52-E39DF7F2AD3C}">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U874" authorId="0" shapeId="0" xr:uid="{B3819B10-45F3-4526-A0B0-7A0E9FD18750}">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V874" authorId="0" shapeId="0" xr:uid="{8FC35FEE-5A6A-4D02-A996-D1566B699255}">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W874" authorId="0" shapeId="0" xr:uid="{8EDF432D-C946-4FF6-89ED-D62A8E7C4BCF}">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X874" authorId="0" shapeId="0" xr:uid="{B45570E9-1344-493D-9F48-39454F351434}">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Y874" authorId="0" shapeId="0" xr:uid="{14998D10-9AC9-4334-94B8-BC2D95FBEC60}">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Z874" authorId="0" shapeId="0" xr:uid="{BA6471B8-0717-440F-A1FD-9BD7C94DDC46}">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C884" authorId="0" shapeId="0" xr:uid="{1FA2D148-EADC-4189-9FBD-6916E567B0CE}">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D884" authorId="0" shapeId="0" xr:uid="{80240EA1-B960-48FD-A8EC-1BE25807686D}">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E884" authorId="0" shapeId="0" xr:uid="{2901836C-DBAF-415D-A8CF-00B91D5A2D0C}">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F884" authorId="0" shapeId="0" xr:uid="{84EFA3CA-E159-48B9-B4E5-B4AFDE1A9185}">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G884" authorId="0" shapeId="0" xr:uid="{34FEC275-194F-4375-A499-C7872707DDAE}">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H884" authorId="0" shapeId="0" xr:uid="{0036EA07-760C-4637-9D3D-2E2AE729593A}">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I884" authorId="0" shapeId="0" xr:uid="{BF01B073-A10F-4013-805F-9674153B77DB}">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J884" authorId="0" shapeId="0" xr:uid="{7430ECC0-C840-477A-9A32-CAFF99C29A7D}">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K884" authorId="0" shapeId="0" xr:uid="{79607167-2FD4-442D-B049-667B7526BA86}">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L884" authorId="0" shapeId="0" xr:uid="{BEBBFE62-8087-4C8A-BC6F-899927854E3A}">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M884" authorId="0" shapeId="0" xr:uid="{45AAEF83-6D03-449F-BD9F-340F0F3B8201}">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N884" authorId="0" shapeId="0" xr:uid="{F4289E22-FD49-493A-ABE4-56052D8E3E98}">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O884" authorId="0" shapeId="0" xr:uid="{4BC85341-DB19-497E-8520-64C09A580D41}">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P884" authorId="0" shapeId="0" xr:uid="{751AB95B-135E-41D5-B92B-4F61F194BE6F}">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Q884" authorId="0" shapeId="0" xr:uid="{49888C54-049E-46AC-A9B4-078BE51E5F31}">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R884" authorId="0" shapeId="0" xr:uid="{BD0D0CE9-96D5-48B7-81AE-9C00B1AC1193}">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S884" authorId="0" shapeId="0" xr:uid="{94C399B3-DEC7-4B80-8404-F5F2607DD514}">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T884" authorId="0" shapeId="0" xr:uid="{33DD2327-302D-4BFA-99ED-83139E945D49}">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U884" authorId="0" shapeId="0" xr:uid="{6C7D3B31-E47E-4DE8-9ED7-1148A7C06CF4}">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V884" authorId="0" shapeId="0" xr:uid="{B0159EB3-BE7F-4F90-80F4-BFDC1F2F9A5D}">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W884" authorId="0" shapeId="0" xr:uid="{B482E24A-C6D9-4C11-9F71-F4FD6344C9FC}">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X884" authorId="0" shapeId="0" xr:uid="{84C09A2B-11DE-4849-9F27-60A52913764A}">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Y884" authorId="0" shapeId="0" xr:uid="{77A67403-B467-41D7-A9FE-5E623B3A3CF2}">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Z884" authorId="0" shapeId="0" xr:uid="{2751172D-F3D9-474C-B6DB-7C1E50E5A1F5}">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C885" authorId="0" shapeId="0" xr:uid="{D63312AA-AEFA-43F0-AFC8-E86B934F087F}">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D885" authorId="0" shapeId="0" xr:uid="{21F1BC15-3EC3-4F2D-B432-C4C9DAF8CEE0}">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E885" authorId="0" shapeId="0" xr:uid="{9CEF5E0E-79EA-4477-97F9-50A7DF3716BD}">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F885" authorId="0" shapeId="0" xr:uid="{E51E686B-CDDC-425A-B363-FF8D113773F9}">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G885" authorId="0" shapeId="0" xr:uid="{C08EDF97-B1DA-4F01-8611-0C705A7E209B}">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H885" authorId="0" shapeId="0" xr:uid="{66E019EC-2032-4790-B3CF-DC1C8A8896CC}">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I885" authorId="0" shapeId="0" xr:uid="{EB64AC63-2D8E-495A-AA17-DED619523E79}">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J885" authorId="0" shapeId="0" xr:uid="{8E407FE7-886A-4F66-8CD0-D640943DA07F}">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K885" authorId="0" shapeId="0" xr:uid="{3FC9422B-E759-4AF5-A4F2-52A6A38F317F}">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L885" authorId="0" shapeId="0" xr:uid="{E66183DF-D4D3-4046-9156-4D9C230F7D2B}">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M885" authorId="0" shapeId="0" xr:uid="{0BD73F26-FEA6-4483-84B5-CB419391B1DF}">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N885" authorId="0" shapeId="0" xr:uid="{53705941-ADBC-46A5-8463-51586381E0CB}">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O885" authorId="0" shapeId="0" xr:uid="{CD7FDF20-EDB9-4E14-9F3A-EDC39089C58F}">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P885" authorId="0" shapeId="0" xr:uid="{5183B09B-4D31-4BAC-B956-EEB1F6252F66}">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Q885" authorId="0" shapeId="0" xr:uid="{9AF47F24-EC92-4481-A8EC-399758F9A438}">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R885" authorId="0" shapeId="0" xr:uid="{7C32CE7F-67B3-40B9-8AA0-3B10DA5B4124}">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S885" authorId="0" shapeId="0" xr:uid="{9B36AC38-21B9-4D0D-80DB-811CCB1EFBF8}">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T885" authorId="0" shapeId="0" xr:uid="{2D11C9E5-A85B-443E-BF24-2DFA8FB80567}">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U885" authorId="0" shapeId="0" xr:uid="{4A3C1F52-2CA5-4D74-8D96-79682B71BDF9}">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V885" authorId="0" shapeId="0" xr:uid="{5AC578D0-7B54-4B2C-A40C-00E6F5891BA1}">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W885" authorId="0" shapeId="0" xr:uid="{BF3E8B90-C679-4DD4-B121-DCC65243A987}">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X885" authorId="0" shapeId="0" xr:uid="{E63F2A60-7818-4739-BF2C-422D4128A92B}">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Y885" authorId="0" shapeId="0" xr:uid="{A55C3B4C-7F1C-4C29-AF07-8301BC2F26FD}">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Z885" authorId="0" shapeId="0" xr:uid="{EA229AFC-FF1A-4C32-BDE0-93C8EBB67C75}">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C895" authorId="0" shapeId="0" xr:uid="{AA1BC2F0-07AC-41FD-9DCF-47E5D4F8C09F}">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D895" authorId="0" shapeId="0" xr:uid="{7C9E1F45-C420-4811-B527-50428A54FB3A}">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E895" authorId="0" shapeId="0" xr:uid="{60420E06-55C6-49E6-9482-31A191747495}">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F895" authorId="0" shapeId="0" xr:uid="{3AF902FB-ACDB-48ED-AE3C-3F6149B8B302}">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G895" authorId="0" shapeId="0" xr:uid="{5D4A1152-DB01-4A2A-AB27-1E1F026CC834}">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H895" authorId="0" shapeId="0" xr:uid="{EDA4711A-DB6F-40D5-BB88-56488011526D}">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I895" authorId="0" shapeId="0" xr:uid="{F87A3925-21B1-4A9D-AB71-91B91FFDB3C5}">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J895" authorId="0" shapeId="0" xr:uid="{8774FD2A-2C1A-47A5-8BBE-B4B6BDAE9DE1}">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K895" authorId="0" shapeId="0" xr:uid="{36E21CDF-668E-4855-8A8E-02C1CD99DAD1}">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L895" authorId="0" shapeId="0" xr:uid="{26CD8356-62BE-49EC-96C6-04388FB83EC1}">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M895" authorId="0" shapeId="0" xr:uid="{787D4DC7-8A10-42F3-AE87-C49E14D56F39}">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N895" authorId="0" shapeId="0" xr:uid="{38E10AFC-B502-466D-97D1-5C30C1CD16EE}">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O895" authorId="0" shapeId="0" xr:uid="{DE79FA95-5187-43FF-B30A-50BFCA824A1F}">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P895" authorId="0" shapeId="0" xr:uid="{9D2557AA-8F9F-45A8-8BC1-58F6B70F2B55}">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Q895" authorId="0" shapeId="0" xr:uid="{DACC5DE7-51FA-4D27-99C3-B723DB05E3E7}">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R895" authorId="0" shapeId="0" xr:uid="{AEA9DE03-E214-4F37-AE33-6CCFF0B7593B}">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S895" authorId="0" shapeId="0" xr:uid="{95A5060C-2382-469C-A99C-1DB4F1FAE0DF}">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T895" authorId="0" shapeId="0" xr:uid="{0B88199F-3817-443A-9727-CCCC6BC11B22}">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U895" authorId="0" shapeId="0" xr:uid="{CB0E5F9E-CBAC-464A-A5E1-5E400AF8A2E1}">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V895" authorId="0" shapeId="0" xr:uid="{C11BF5A1-C432-4B02-A747-77C012BB8B7B}">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W895" authorId="0" shapeId="0" xr:uid="{FAB27402-12B2-47AC-A4A5-2EBDE85CCBBC}">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X895" authorId="0" shapeId="0" xr:uid="{8E17E952-0B59-4FAF-BBE2-3702873025FD}">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Y895" authorId="0" shapeId="0" xr:uid="{B072B54E-BFF8-40ED-AAEE-6785C08398A3}">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Z895" authorId="0" shapeId="0" xr:uid="{87750285-B02F-40B1-BADC-29DCC457A74C}">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A903" authorId="1" shapeId="0" xr:uid="{00000000-0006-0000-0500-000092330000}">
      <text>
        <r>
          <rPr>
            <b/>
            <sz val="9"/>
            <color indexed="81"/>
            <rFont val="Tahoma"/>
            <family val="2"/>
          </rPr>
          <t>Craig Kieny:</t>
        </r>
        <r>
          <rPr>
            <sz val="9"/>
            <color indexed="81"/>
            <rFont val="Tahoma"/>
            <family val="2"/>
          </rPr>
          <t xml:space="preserve">
Cost are allocated on an LSE's share of the regions total monthly real-time load obligation.  </t>
        </r>
      </text>
    </comment>
    <comment ref="C907" authorId="0" shapeId="0" xr:uid="{C0BC0B9B-5DEC-4F8F-A34D-97560EE86AD1}">
      <text>
        <r>
          <rPr>
            <b/>
            <sz val="9"/>
            <color indexed="81"/>
            <rFont val="Tahoma"/>
            <family val="2"/>
          </rPr>
          <t>Potter, Daniel:</t>
        </r>
        <r>
          <rPr>
            <sz val="9"/>
            <color indexed="81"/>
            <rFont val="Tahoma"/>
            <family val="2"/>
          </rPr>
          <t xml:space="preserve">
TY Actuals.  01/23-06/23.  Contract ends in May, but VEC will get May's bill in June. 
</t>
        </r>
      </text>
    </comment>
    <comment ref="D907" authorId="0" shapeId="0" xr:uid="{EA700789-1ADB-485F-AC80-A76BB75BE242}">
      <text>
        <r>
          <rPr>
            <b/>
            <sz val="9"/>
            <color indexed="81"/>
            <rFont val="Tahoma"/>
            <family val="2"/>
          </rPr>
          <t>Potter, Daniel:</t>
        </r>
        <r>
          <rPr>
            <sz val="9"/>
            <color indexed="81"/>
            <rFont val="Tahoma"/>
            <family val="2"/>
          </rPr>
          <t xml:space="preserve">
TY Actuals.  01/23-06/23.  Contract ends in May, but VEC will get May's bill in June. 
</t>
        </r>
      </text>
    </comment>
    <comment ref="E907" authorId="0" shapeId="0" xr:uid="{22E49F24-653C-4B62-9EEF-2C9E33641428}">
      <text>
        <r>
          <rPr>
            <b/>
            <sz val="9"/>
            <color indexed="81"/>
            <rFont val="Tahoma"/>
            <family val="2"/>
          </rPr>
          <t>Potter, Daniel:</t>
        </r>
        <r>
          <rPr>
            <sz val="9"/>
            <color indexed="81"/>
            <rFont val="Tahoma"/>
            <family val="2"/>
          </rPr>
          <t xml:space="preserve">
TY Actuals.  01/23-06/23.  Contract ends in May, but VEC will get May's bill in June. 
</t>
        </r>
      </text>
    </comment>
    <comment ref="F907" authorId="0" shapeId="0" xr:uid="{6E03D153-E51F-4740-BE42-FA41C21B73E5}">
      <text>
        <r>
          <rPr>
            <b/>
            <sz val="9"/>
            <color indexed="81"/>
            <rFont val="Tahoma"/>
            <family val="2"/>
          </rPr>
          <t>Potter, Daniel:</t>
        </r>
        <r>
          <rPr>
            <sz val="9"/>
            <color indexed="81"/>
            <rFont val="Tahoma"/>
            <family val="2"/>
          </rPr>
          <t xml:space="preserve">
TY Actuals.  01/23-06/23.  Contract ends in May, but VEC will get May's bill in June. 
</t>
        </r>
      </text>
    </comment>
    <comment ref="G907" authorId="0" shapeId="0" xr:uid="{DF8C6348-AD87-49D0-8FCD-45FCA55E108E}">
      <text>
        <r>
          <rPr>
            <b/>
            <sz val="9"/>
            <color indexed="81"/>
            <rFont val="Tahoma"/>
            <family val="2"/>
          </rPr>
          <t>Potter, Daniel:</t>
        </r>
        <r>
          <rPr>
            <sz val="9"/>
            <color indexed="81"/>
            <rFont val="Tahoma"/>
            <family val="2"/>
          </rPr>
          <t xml:space="preserve">
TY Actuals.  01/23-06/23.  Contract ends in May, but VEC will get May's bill in June. 
</t>
        </r>
      </text>
    </comment>
    <comment ref="H907" authorId="0" shapeId="0" xr:uid="{2BCD1806-E929-498C-B799-75D9002D4977}">
      <text>
        <r>
          <rPr>
            <b/>
            <sz val="9"/>
            <color indexed="81"/>
            <rFont val="Tahoma"/>
            <family val="2"/>
          </rPr>
          <t>Potter, Daniel:</t>
        </r>
        <r>
          <rPr>
            <sz val="9"/>
            <color indexed="81"/>
            <rFont val="Tahoma"/>
            <family val="2"/>
          </rPr>
          <t xml:space="preserve">
TY Actuals.  01/23-06/23.  Contract ends in May, but VEC will get May's bill in June. 
</t>
        </r>
      </text>
    </comment>
    <comment ref="C908" authorId="0" shapeId="0" xr:uid="{EC72A635-ADBF-404F-AF11-03A78185B72A}">
      <text>
        <r>
          <rPr>
            <b/>
            <sz val="9"/>
            <color indexed="81"/>
            <rFont val="Tahoma"/>
            <family val="2"/>
          </rPr>
          <t>Potter, Daniel:</t>
        </r>
        <r>
          <rPr>
            <sz val="9"/>
            <color indexed="81"/>
            <rFont val="Tahoma"/>
            <family val="2"/>
          </rPr>
          <t xml:space="preserve">
ISO NE IEP Program Estimate.  Assumes annual cost of $170,000,000.  In January and February of 2023 VEC's share of ISO NE load was .4%, which I applied to the total dollar figure to arrive at this estimate. </t>
        </r>
      </text>
    </comment>
    <comment ref="D908" authorId="0" shapeId="0" xr:uid="{31703AC7-970F-42FB-99DC-3052B15A8AC5}">
      <text>
        <r>
          <rPr>
            <b/>
            <sz val="9"/>
            <color indexed="81"/>
            <rFont val="Tahoma"/>
            <family val="2"/>
          </rPr>
          <t>Potter, Daniel:</t>
        </r>
        <r>
          <rPr>
            <sz val="9"/>
            <color indexed="81"/>
            <rFont val="Tahoma"/>
            <family val="2"/>
          </rPr>
          <t xml:space="preserve">
ISO NE IEP Program Estimate.  Assumes annual cost of $170,000,000.  In January and February of 2023 VEC's share of ISO NE load was .4%, which I applied to the total dollar figure to arrive at this estimate. </t>
        </r>
      </text>
    </comment>
    <comment ref="N908" authorId="0" shapeId="0" xr:uid="{AF816862-1BD7-4C31-855F-22E05B138AE2}">
      <text>
        <r>
          <rPr>
            <b/>
            <sz val="9"/>
            <color indexed="81"/>
            <rFont val="Tahoma"/>
            <family val="2"/>
          </rPr>
          <t>Potter, Daniel:</t>
        </r>
        <r>
          <rPr>
            <sz val="9"/>
            <color indexed="81"/>
            <rFont val="Tahoma"/>
            <family val="2"/>
          </rPr>
          <t xml:space="preserve">
Dec 23-Feb 24 Actuals</t>
        </r>
      </text>
    </comment>
    <comment ref="O908" authorId="0" shapeId="0" xr:uid="{630FC1FB-4229-4519-83D7-7F79C5EF8A3D}">
      <text>
        <r>
          <rPr>
            <b/>
            <sz val="9"/>
            <color indexed="81"/>
            <rFont val="Tahoma"/>
            <family val="2"/>
          </rPr>
          <t>Potter, Daniel:</t>
        </r>
        <r>
          <rPr>
            <sz val="9"/>
            <color indexed="81"/>
            <rFont val="Tahoma"/>
            <family val="2"/>
          </rPr>
          <t xml:space="preserve">
Dec 23-Feb 24 Actuals</t>
        </r>
      </text>
    </comment>
    <comment ref="P908" authorId="0" shapeId="0" xr:uid="{5114E5DE-493A-4E5B-B2F9-D7902C20ED16}">
      <text>
        <r>
          <rPr>
            <b/>
            <sz val="9"/>
            <color indexed="81"/>
            <rFont val="Tahoma"/>
            <family val="2"/>
          </rPr>
          <t>Potter, Daniel:</t>
        </r>
        <r>
          <rPr>
            <sz val="9"/>
            <color indexed="81"/>
            <rFont val="Tahoma"/>
            <family val="2"/>
          </rPr>
          <t xml:space="preserve">
Dec 23-Feb 24 Actuals</t>
        </r>
      </text>
    </comment>
    <comment ref="C928" authorId="0" shapeId="0" xr:uid="{291F9BA3-DD25-4701-B9CC-CB2E18D7B5BE}">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D928" authorId="0" shapeId="0" xr:uid="{656D47D8-3C2D-4F9F-B5F6-16DB8ECD73F0}">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E928" authorId="0" shapeId="0" xr:uid="{082D0290-B8DC-4C51-AF8D-9ADA9E26A042}">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F928" authorId="0" shapeId="0" xr:uid="{0F625927-E640-4929-A290-CA66BFCCF1D5}">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G928" authorId="0" shapeId="0" xr:uid="{DD11032A-669E-46B2-808B-F41FED0CA0A4}">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H928" authorId="0" shapeId="0" xr:uid="{86ACC1E2-BE2A-47DA-A398-718AB3B068FC}">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I928" authorId="0" shapeId="0" xr:uid="{D832043C-95B8-4A24-BFAE-ACAE52DA5A62}">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J928" authorId="0" shapeId="0" xr:uid="{9211ACDB-5294-4E40-AEE1-621AE3423B7A}">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K928" authorId="0" shapeId="0" xr:uid="{E67D1BCF-31D4-46CC-BEC6-E3BD5A7F6F1D}">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L928" authorId="0" shapeId="0" xr:uid="{CD2C9601-C995-4D9F-B14B-81867FE39D06}">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M928" authorId="0" shapeId="0" xr:uid="{C3ECF275-30E4-46A6-AA13-2046CCE23382}">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N928" authorId="0" shapeId="0" xr:uid="{BAA972C2-147D-48F7-BDD0-1CD0568F5C57}">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O928" authorId="0" shapeId="0" xr:uid="{0C539AA0-EC44-4B31-AFC9-1D2891240E8C}">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P928" authorId="0" shapeId="0" xr:uid="{1D8B2443-4241-4CC1-B584-5D90B2F59E09}">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Q928" authorId="0" shapeId="0" xr:uid="{1FBD24F1-868B-439B-B39C-B8DCC9FFE248}">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R928" authorId="0" shapeId="0" xr:uid="{A9BFF2AC-34FE-4422-9EFA-3F6E05FE9199}">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S928" authorId="0" shapeId="0" xr:uid="{C226BD58-DE93-42C6-AE46-83B54AF9313C}">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T928" authorId="0" shapeId="0" xr:uid="{E363A53C-A525-455B-B3F7-94493B344A71}">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U928" authorId="0" shapeId="0" xr:uid="{C3FDB312-0842-4366-8A61-261DE496D8AF}">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V928" authorId="0" shapeId="0" xr:uid="{FB9AFA32-79D1-45A1-82D4-DC546B5EDBB0}">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W928" authorId="0" shapeId="0" xr:uid="{F31771AD-C887-415A-B861-060421930211}">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X928" authorId="0" shapeId="0" xr:uid="{44DABD5E-07C8-4062-BC8F-08CE722B8AF5}">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Y928" authorId="0" shapeId="0" xr:uid="{B3EE1F0B-DCE7-4347-8473-4C839FDAAF1F}">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Z928" authorId="0" shapeId="0" xr:uid="{444F6C95-87D8-4311-B5BF-56C4E4A88392}">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C930" authorId="1" shapeId="0" xr:uid="{00000000-0006-0000-0500-000058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D930" authorId="1" shapeId="0" xr:uid="{00000000-0006-0000-0500-000059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E930" authorId="1" shapeId="0" xr:uid="{00000000-0006-0000-0500-00005A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F930" authorId="1" shapeId="0" xr:uid="{00000000-0006-0000-0500-00005B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G930" authorId="1" shapeId="0" xr:uid="{00000000-0006-0000-0500-00005C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H930" authorId="1" shapeId="0" xr:uid="{00000000-0006-0000-0500-00005D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I930" authorId="1" shapeId="0" xr:uid="{00000000-0006-0000-0500-00005E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J930" authorId="1" shapeId="0" xr:uid="{00000000-0006-0000-0500-00005F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K930" authorId="1" shapeId="0" xr:uid="{00000000-0006-0000-0500-000060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L930" authorId="1" shapeId="0" xr:uid="{00000000-0006-0000-0500-000061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M930" authorId="1" shapeId="0" xr:uid="{00000000-0006-0000-0500-000062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N930" authorId="1" shapeId="0" xr:uid="{00000000-0006-0000-0500-000063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O930" authorId="1" shapeId="0" xr:uid="{00000000-0006-0000-0500-000064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P930" authorId="1" shapeId="0" xr:uid="{00000000-0006-0000-0500-000065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Q930" authorId="1" shapeId="0" xr:uid="{00000000-0006-0000-0500-000066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R930" authorId="1" shapeId="0" xr:uid="{00000000-0006-0000-0500-000067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S930" authorId="1" shapeId="0" xr:uid="{00000000-0006-0000-0500-000068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T930" authorId="1" shapeId="0" xr:uid="{00000000-0006-0000-0500-000069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U930" authorId="1" shapeId="0" xr:uid="{00000000-0006-0000-0500-00006A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V930" authorId="1" shapeId="0" xr:uid="{00000000-0006-0000-0500-00006B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W930" authorId="1" shapeId="0" xr:uid="{00000000-0006-0000-0500-00006C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X930" authorId="1" shapeId="0" xr:uid="{00000000-0006-0000-0500-00006D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Y930" authorId="1" shapeId="0" xr:uid="{00000000-0006-0000-0500-00006E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Z930" authorId="1" shapeId="0" xr:uid="{00000000-0006-0000-0500-00006F340000}">
      <text>
        <r>
          <rPr>
            <b/>
            <sz val="9"/>
            <color indexed="81"/>
            <rFont val="Tahoma"/>
            <family val="2"/>
          </rPr>
          <t>Craig Kieny:</t>
        </r>
        <r>
          <rPr>
            <sz val="9"/>
            <color indexed="81"/>
            <rFont val="Tahoma"/>
            <family val="2"/>
          </rPr>
          <t xml:space="preserve">
Actual data from corresponding month of 7/15 - 6/16 Test Year.  See :Ancillary Services - 2016-09-23.xls"</t>
        </r>
      </text>
    </comment>
    <comment ref="C941" authorId="0" shapeId="0" xr:uid="{38EDC43E-21D9-4441-A898-34125EB3DCA4}">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D941" authorId="0" shapeId="0" xr:uid="{3D5A4C48-317E-4894-B067-FAB96F954DE3}">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E941" authorId="0" shapeId="0" xr:uid="{E412055B-1FBB-4919-97EB-992F096F33BA}">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F941" authorId="0" shapeId="0" xr:uid="{89660D1B-274A-4A98-87D4-38816B3668E3}">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G941" authorId="0" shapeId="0" xr:uid="{D7D6DE3B-E96D-4399-846B-88312D4FC835}">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H941" authorId="0" shapeId="0" xr:uid="{B43EE97B-CD28-4177-A976-F2D79C6F28CF}">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I941" authorId="0" shapeId="0" xr:uid="{20B29F00-E272-4686-8483-133C0ED62F47}">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J941" authorId="0" shapeId="0" xr:uid="{44A2E053-5D88-43C5-B54C-8976C05B9650}">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K941" authorId="0" shapeId="0" xr:uid="{905EB6F1-2F50-4144-B18A-7D4E7C57A530}">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L941" authorId="0" shapeId="0" xr:uid="{72A06AD7-A998-4E91-9FF2-4B3501C81F8D}">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M941" authorId="0" shapeId="0" xr:uid="{24D3274F-35A3-459F-A4E6-D0769FA980BA}">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N941" authorId="0" shapeId="0" xr:uid="{F7977827-283A-4924-A5D5-F82806DEACF0}">
      <text>
        <r>
          <rPr>
            <b/>
            <sz val="9"/>
            <color indexed="81"/>
            <rFont val="Tahoma"/>
            <family val="2"/>
          </rPr>
          <t>Potter, Daniel:</t>
        </r>
        <r>
          <rPr>
            <sz val="9"/>
            <color indexed="81"/>
            <rFont val="Tahoma"/>
            <family val="2"/>
          </rPr>
          <t xml:space="preserve">
Test Year Actuals 07/2022 - 06/2023.  See </t>
        </r>
        <r>
          <rPr>
            <i/>
            <sz val="9"/>
            <color indexed="81"/>
            <rFont val="Tahoma"/>
            <family val="2"/>
          </rPr>
          <t xml:space="preserve">Ancillary Services - 072022 - 062023 TY 2023 09 27 </t>
        </r>
        <r>
          <rPr>
            <sz val="9"/>
            <color indexed="81"/>
            <rFont val="Tahoma"/>
            <family val="2"/>
          </rPr>
          <t xml:space="preserve"> for details. </t>
        </r>
      </text>
    </comment>
    <comment ref="O941" authorId="0" shapeId="0" xr:uid="{C890235E-71B1-429C-A5D9-64E96A799B75}">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P941" authorId="0" shapeId="0" xr:uid="{D7C02D80-BA65-4938-88CD-2F4A5CDE1D2B}">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Q941" authorId="0" shapeId="0" xr:uid="{4DBACD6D-9AD7-445A-9797-94D16DC2BE5A}">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R941" authorId="0" shapeId="0" xr:uid="{A6579075-C2B7-4B8B-99BE-D21CB7B39FC3}">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S941" authorId="0" shapeId="0" xr:uid="{44B4081F-4810-44E7-8DF4-F12A87E04D90}">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T941" authorId="0" shapeId="0" xr:uid="{C4B098DE-A312-4773-B3F8-0A2973A0AD38}">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U941" authorId="0" shapeId="0" xr:uid="{E439ED1C-FD63-45B9-B850-756A9B3E4873}">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V941" authorId="0" shapeId="0" xr:uid="{0AB92313-CAE8-4D55-AF13-962C7C45CF05}">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W941" authorId="0" shapeId="0" xr:uid="{8EB6E28C-07ED-493A-9707-E65FE94B862A}">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X941" authorId="0" shapeId="0" xr:uid="{5C71B50A-5D3B-49F7-941A-EA019AEC3BA6}">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Y941" authorId="0" shapeId="0" xr:uid="{7E722DEA-9DEE-47A1-84BE-C220E245F2C3}">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Z941" authorId="0" shapeId="0" xr:uid="{9A4FFF60-B462-407F-85C7-6986C28C49FF}">
      <text>
        <r>
          <rPr>
            <b/>
            <sz val="9"/>
            <color indexed="81"/>
            <rFont val="Tahoma"/>
            <family val="2"/>
          </rPr>
          <t>Potter, Daniel:</t>
        </r>
        <r>
          <rPr>
            <sz val="9"/>
            <color indexed="81"/>
            <rFont val="Tahoma"/>
            <family val="2"/>
          </rPr>
          <t xml:space="preserve">
Test Year Actuals 07/2023 - 06/2024.  See </t>
        </r>
        <r>
          <rPr>
            <i/>
            <sz val="9"/>
            <color indexed="81"/>
            <rFont val="Tahoma"/>
            <family val="2"/>
          </rPr>
          <t xml:space="preserve">Ancillary Services - 072023 - 062024 TY 2024 10 02 </t>
        </r>
        <r>
          <rPr>
            <sz val="9"/>
            <color indexed="81"/>
            <rFont val="Tahoma"/>
            <family val="2"/>
          </rPr>
          <t xml:space="preserve"> for details. </t>
        </r>
      </text>
    </comment>
    <comment ref="C948" authorId="1" shapeId="0" xr:uid="{00000000-0006-0000-0500-0000F0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D948" authorId="1" shapeId="0" xr:uid="{00000000-0006-0000-0500-0000F1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E948" authorId="1" shapeId="0" xr:uid="{00000000-0006-0000-0500-0000F2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F948" authorId="1" shapeId="0" xr:uid="{00000000-0006-0000-0500-0000F3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G948" authorId="1" shapeId="0" xr:uid="{00000000-0006-0000-0500-0000F4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H948" authorId="1" shapeId="0" xr:uid="{00000000-0006-0000-0500-0000F5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I948" authorId="1" shapeId="0" xr:uid="{00000000-0006-0000-0500-0000F6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J948" authorId="1" shapeId="0" xr:uid="{00000000-0006-0000-0500-0000F7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K948" authorId="1" shapeId="0" xr:uid="{00000000-0006-0000-0500-0000F8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L948" authorId="1" shapeId="0" xr:uid="{00000000-0006-0000-0500-0000F9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M948" authorId="1" shapeId="0" xr:uid="{00000000-0006-0000-0500-0000FA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N948" authorId="1" shapeId="0" xr:uid="{00000000-0006-0000-0500-0000FB350000}">
      <text>
        <r>
          <rPr>
            <b/>
            <sz val="9"/>
            <color indexed="81"/>
            <rFont val="Tahoma"/>
            <family val="2"/>
          </rPr>
          <t>Craig Kieny:</t>
        </r>
        <r>
          <rPr>
            <sz val="9"/>
            <color indexed="81"/>
            <rFont val="Tahoma"/>
            <family val="2"/>
          </rPr>
          <t xml:space="preserve">
Assumes 7.5% losses between meter and PTF where load in ISO settlement is measured.</t>
        </r>
      </text>
    </comment>
    <comment ref="O948" authorId="0" shapeId="0" xr:uid="{76CDA6F5-12AC-4047-B43D-633FE5CC80BD}">
      <text>
        <r>
          <rPr>
            <b/>
            <sz val="9"/>
            <color indexed="81"/>
            <rFont val="Tahoma"/>
            <family val="2"/>
          </rPr>
          <t>Potter, Daniel:</t>
        </r>
        <r>
          <rPr>
            <sz val="9"/>
            <color indexed="81"/>
            <rFont val="Tahoma"/>
            <family val="2"/>
          </rPr>
          <t xml:space="preserve">
Starting in 2025, NEW RES Bill would base off load rather than sales. </t>
        </r>
      </text>
    </comment>
    <comment ref="P948" authorId="0" shapeId="0" xr:uid="{B6AB3BE5-B166-4559-A038-0EB2816F9AF8}">
      <text>
        <r>
          <rPr>
            <b/>
            <sz val="9"/>
            <color indexed="81"/>
            <rFont val="Tahoma"/>
            <family val="2"/>
          </rPr>
          <t>Potter, Daniel:</t>
        </r>
        <r>
          <rPr>
            <sz val="9"/>
            <color indexed="81"/>
            <rFont val="Tahoma"/>
            <family val="2"/>
          </rPr>
          <t xml:space="preserve">
Starting in 2025, NEW RES Bill would base off load rather than sales. </t>
        </r>
      </text>
    </comment>
    <comment ref="Q948" authorId="0" shapeId="0" xr:uid="{7260FA85-B669-4B9E-B8F0-245845204820}">
      <text>
        <r>
          <rPr>
            <b/>
            <sz val="9"/>
            <color indexed="81"/>
            <rFont val="Tahoma"/>
            <family val="2"/>
          </rPr>
          <t>Potter, Daniel:</t>
        </r>
        <r>
          <rPr>
            <sz val="9"/>
            <color indexed="81"/>
            <rFont val="Tahoma"/>
            <family val="2"/>
          </rPr>
          <t xml:space="preserve">
Starting in 2025, NEW RES Bill would base off load rather than sales. </t>
        </r>
      </text>
    </comment>
    <comment ref="R948" authorId="0" shapeId="0" xr:uid="{2957859C-3E24-45BC-8B75-2C3E0B4D4A85}">
      <text>
        <r>
          <rPr>
            <b/>
            <sz val="9"/>
            <color indexed="81"/>
            <rFont val="Tahoma"/>
            <family val="2"/>
          </rPr>
          <t>Potter, Daniel:</t>
        </r>
        <r>
          <rPr>
            <sz val="9"/>
            <color indexed="81"/>
            <rFont val="Tahoma"/>
            <family val="2"/>
          </rPr>
          <t xml:space="preserve">
Starting in 2025, NEW RES Bill would base off load rather than sales. </t>
        </r>
      </text>
    </comment>
    <comment ref="S948" authorId="0" shapeId="0" xr:uid="{1B241E77-E0CE-48C2-845F-B4FBB5FB8AAF}">
      <text>
        <r>
          <rPr>
            <b/>
            <sz val="9"/>
            <color indexed="81"/>
            <rFont val="Tahoma"/>
            <family val="2"/>
          </rPr>
          <t>Potter, Daniel:</t>
        </r>
        <r>
          <rPr>
            <sz val="9"/>
            <color indexed="81"/>
            <rFont val="Tahoma"/>
            <family val="2"/>
          </rPr>
          <t xml:space="preserve">
Starting in 2025, NEW RES Bill would base off load rather than sales. </t>
        </r>
      </text>
    </comment>
    <comment ref="T948" authorId="0" shapeId="0" xr:uid="{C447DABA-518C-48ED-B452-C33CD45BD0A3}">
      <text>
        <r>
          <rPr>
            <b/>
            <sz val="9"/>
            <color indexed="81"/>
            <rFont val="Tahoma"/>
            <family val="2"/>
          </rPr>
          <t>Potter, Daniel:</t>
        </r>
        <r>
          <rPr>
            <sz val="9"/>
            <color indexed="81"/>
            <rFont val="Tahoma"/>
            <family val="2"/>
          </rPr>
          <t xml:space="preserve">
Starting in 2025, NEW RES Bill would base off load rather than sales. </t>
        </r>
      </text>
    </comment>
    <comment ref="U948" authorId="0" shapeId="0" xr:uid="{BBEDCF65-DDBA-4F92-A86B-581AE72FB424}">
      <text>
        <r>
          <rPr>
            <b/>
            <sz val="9"/>
            <color indexed="81"/>
            <rFont val="Tahoma"/>
            <family val="2"/>
          </rPr>
          <t>Potter, Daniel:</t>
        </r>
        <r>
          <rPr>
            <sz val="9"/>
            <color indexed="81"/>
            <rFont val="Tahoma"/>
            <family val="2"/>
          </rPr>
          <t xml:space="preserve">
Starting in 2025, NEW RES Bill would base off load rather than sales. </t>
        </r>
      </text>
    </comment>
    <comment ref="V948" authorId="0" shapeId="0" xr:uid="{ED3A0B24-BDC5-42C2-8075-8727370F5370}">
      <text>
        <r>
          <rPr>
            <b/>
            <sz val="9"/>
            <color indexed="81"/>
            <rFont val="Tahoma"/>
            <family val="2"/>
          </rPr>
          <t>Potter, Daniel:</t>
        </r>
        <r>
          <rPr>
            <sz val="9"/>
            <color indexed="81"/>
            <rFont val="Tahoma"/>
            <family val="2"/>
          </rPr>
          <t xml:space="preserve">
Starting in 2025, NEW RES Bill would base off load rather than sales. </t>
        </r>
      </text>
    </comment>
    <comment ref="W948" authorId="0" shapeId="0" xr:uid="{319C1167-2009-4F67-B1B2-0BEFCD920430}">
      <text>
        <r>
          <rPr>
            <b/>
            <sz val="9"/>
            <color indexed="81"/>
            <rFont val="Tahoma"/>
            <family val="2"/>
          </rPr>
          <t>Potter, Daniel:</t>
        </r>
        <r>
          <rPr>
            <sz val="9"/>
            <color indexed="81"/>
            <rFont val="Tahoma"/>
            <family val="2"/>
          </rPr>
          <t xml:space="preserve">
Starting in 2025, NEW RES Bill would base off load rather than sales. </t>
        </r>
      </text>
    </comment>
    <comment ref="X948" authorId="0" shapeId="0" xr:uid="{65DDF6A5-722B-447D-8E0C-FAE07DAA41DB}">
      <text>
        <r>
          <rPr>
            <b/>
            <sz val="9"/>
            <color indexed="81"/>
            <rFont val="Tahoma"/>
            <family val="2"/>
          </rPr>
          <t>Potter, Daniel:</t>
        </r>
        <r>
          <rPr>
            <sz val="9"/>
            <color indexed="81"/>
            <rFont val="Tahoma"/>
            <family val="2"/>
          </rPr>
          <t xml:space="preserve">
Starting in 2025, NEW RES Bill would base off load rather than sales. </t>
        </r>
      </text>
    </comment>
    <comment ref="Y948" authorId="0" shapeId="0" xr:uid="{EAB796FB-E681-41DD-9CF0-AE9D037F1C64}">
      <text>
        <r>
          <rPr>
            <b/>
            <sz val="9"/>
            <color indexed="81"/>
            <rFont val="Tahoma"/>
            <family val="2"/>
          </rPr>
          <t>Potter, Daniel:</t>
        </r>
        <r>
          <rPr>
            <sz val="9"/>
            <color indexed="81"/>
            <rFont val="Tahoma"/>
            <family val="2"/>
          </rPr>
          <t xml:space="preserve">
Starting in 2025, NEW RES Bill would base off load rather than sales. </t>
        </r>
      </text>
    </comment>
    <comment ref="Z948" authorId="0" shapeId="0" xr:uid="{394A5992-9FBA-4123-89E3-0F8B94F296C9}">
      <text>
        <r>
          <rPr>
            <b/>
            <sz val="9"/>
            <color indexed="81"/>
            <rFont val="Tahoma"/>
            <family val="2"/>
          </rPr>
          <t>Potter, Daniel:</t>
        </r>
        <r>
          <rPr>
            <sz val="9"/>
            <color indexed="81"/>
            <rFont val="Tahoma"/>
            <family val="2"/>
          </rPr>
          <t xml:space="preserve">
Starting in 2025, NEW RES Bill would base off load rather than sales. </t>
        </r>
      </text>
    </comment>
    <comment ref="C951" authorId="1" shapeId="0" xr:uid="{00000000-0006-0000-0500-000034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D951" authorId="1" shapeId="0" xr:uid="{00000000-0006-0000-0500-000035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E951" authorId="1" shapeId="0" xr:uid="{00000000-0006-0000-0500-000036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F951" authorId="1" shapeId="0" xr:uid="{00000000-0006-0000-0500-000037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G951" authorId="1" shapeId="0" xr:uid="{00000000-0006-0000-0500-000038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H951" authorId="1" shapeId="0" xr:uid="{00000000-0006-0000-0500-000039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I951" authorId="1" shapeId="0" xr:uid="{00000000-0006-0000-0500-00003A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J951" authorId="1" shapeId="0" xr:uid="{00000000-0006-0000-0500-00003B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K951" authorId="1" shapeId="0" xr:uid="{00000000-0006-0000-0500-00003C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L951" authorId="1" shapeId="0" xr:uid="{00000000-0006-0000-0500-00003D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M951" authorId="1" shapeId="0" xr:uid="{00000000-0006-0000-0500-00003E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N951" authorId="1" shapeId="0" xr:uid="{00000000-0006-0000-0500-00003F370000}">
      <text>
        <r>
          <rPr>
            <b/>
            <sz val="9"/>
            <color indexed="81"/>
            <rFont val="Tahoma"/>
            <family val="2"/>
          </rPr>
          <t>Craig Kieny:</t>
        </r>
        <r>
          <rPr>
            <sz val="9"/>
            <color indexed="81"/>
            <rFont val="Tahoma"/>
            <family val="2"/>
          </rPr>
          <t xml:space="preserve">
Assumes 7.5% losses between meter and PTF where load in ISO settlement is measured.</t>
        </r>
      </text>
    </comment>
    <comment ref="O951" authorId="0" shapeId="0" xr:uid="{56F0C3A6-374A-40DE-9C81-C849F880557D}">
      <text>
        <r>
          <rPr>
            <b/>
            <sz val="9"/>
            <color indexed="81"/>
            <rFont val="Tahoma"/>
            <family val="2"/>
          </rPr>
          <t>Potter, Daniel:</t>
        </r>
        <r>
          <rPr>
            <sz val="9"/>
            <color indexed="81"/>
            <rFont val="Tahoma"/>
            <family val="2"/>
          </rPr>
          <t xml:space="preserve">
Starting in 2025, NEW RES Bill would base off load rather than sales. </t>
        </r>
      </text>
    </comment>
    <comment ref="P951" authorId="0" shapeId="0" xr:uid="{085F3DB5-B816-4964-B450-E3DC4590338C}">
      <text>
        <r>
          <rPr>
            <b/>
            <sz val="9"/>
            <color indexed="81"/>
            <rFont val="Tahoma"/>
            <family val="2"/>
          </rPr>
          <t>Potter, Daniel:</t>
        </r>
        <r>
          <rPr>
            <sz val="9"/>
            <color indexed="81"/>
            <rFont val="Tahoma"/>
            <family val="2"/>
          </rPr>
          <t xml:space="preserve">
Starting in 2025, NEW RES Bill would base off load rather than sales. </t>
        </r>
      </text>
    </comment>
    <comment ref="Q951" authorId="0" shapeId="0" xr:uid="{E50DE77D-B2DF-4EA4-98B7-A075E241D223}">
      <text>
        <r>
          <rPr>
            <b/>
            <sz val="9"/>
            <color indexed="81"/>
            <rFont val="Tahoma"/>
            <family val="2"/>
          </rPr>
          <t>Potter, Daniel:</t>
        </r>
        <r>
          <rPr>
            <sz val="9"/>
            <color indexed="81"/>
            <rFont val="Tahoma"/>
            <family val="2"/>
          </rPr>
          <t xml:space="preserve">
Starting in 2025, NEW RES Bill would base off load rather than sales. </t>
        </r>
      </text>
    </comment>
    <comment ref="R951" authorId="0" shapeId="0" xr:uid="{C24F29B8-299A-4193-A7BA-7E8405B3EF91}">
      <text>
        <r>
          <rPr>
            <b/>
            <sz val="9"/>
            <color indexed="81"/>
            <rFont val="Tahoma"/>
            <family val="2"/>
          </rPr>
          <t>Potter, Daniel:</t>
        </r>
        <r>
          <rPr>
            <sz val="9"/>
            <color indexed="81"/>
            <rFont val="Tahoma"/>
            <family val="2"/>
          </rPr>
          <t xml:space="preserve">
Starting in 2025, NEW RES Bill would base off load rather than sales. </t>
        </r>
      </text>
    </comment>
    <comment ref="S951" authorId="0" shapeId="0" xr:uid="{99B28AB1-CD05-4084-B7CC-FB23741C525C}">
      <text>
        <r>
          <rPr>
            <b/>
            <sz val="9"/>
            <color indexed="81"/>
            <rFont val="Tahoma"/>
            <family val="2"/>
          </rPr>
          <t>Potter, Daniel:</t>
        </r>
        <r>
          <rPr>
            <sz val="9"/>
            <color indexed="81"/>
            <rFont val="Tahoma"/>
            <family val="2"/>
          </rPr>
          <t xml:space="preserve">
Starting in 2025, NEW RES Bill would base off load rather than sales. </t>
        </r>
      </text>
    </comment>
    <comment ref="T951" authorId="0" shapeId="0" xr:uid="{EDD3E189-DBD8-4439-9DEA-DBE182E9317E}">
      <text>
        <r>
          <rPr>
            <b/>
            <sz val="9"/>
            <color indexed="81"/>
            <rFont val="Tahoma"/>
            <family val="2"/>
          </rPr>
          <t>Potter, Daniel:</t>
        </r>
        <r>
          <rPr>
            <sz val="9"/>
            <color indexed="81"/>
            <rFont val="Tahoma"/>
            <family val="2"/>
          </rPr>
          <t xml:space="preserve">
Starting in 2025, NEW RES Bill would base off load rather than sales. </t>
        </r>
      </text>
    </comment>
    <comment ref="U951" authorId="0" shapeId="0" xr:uid="{A88D3A57-D1F8-4F93-B28D-BA9B8156A891}">
      <text>
        <r>
          <rPr>
            <b/>
            <sz val="9"/>
            <color indexed="81"/>
            <rFont val="Tahoma"/>
            <family val="2"/>
          </rPr>
          <t>Potter, Daniel:</t>
        </r>
        <r>
          <rPr>
            <sz val="9"/>
            <color indexed="81"/>
            <rFont val="Tahoma"/>
            <family val="2"/>
          </rPr>
          <t xml:space="preserve">
Starting in 2025, NEW RES Bill would base off load rather than sales. </t>
        </r>
      </text>
    </comment>
    <comment ref="V951" authorId="0" shapeId="0" xr:uid="{22DB64E1-BE3E-46E3-89D6-D99A8F2F92F1}">
      <text>
        <r>
          <rPr>
            <b/>
            <sz val="9"/>
            <color indexed="81"/>
            <rFont val="Tahoma"/>
            <family val="2"/>
          </rPr>
          <t>Potter, Daniel:</t>
        </r>
        <r>
          <rPr>
            <sz val="9"/>
            <color indexed="81"/>
            <rFont val="Tahoma"/>
            <family val="2"/>
          </rPr>
          <t xml:space="preserve">
Starting in 2025, NEW RES Bill would base off load rather than sales. </t>
        </r>
      </text>
    </comment>
    <comment ref="W951" authorId="0" shapeId="0" xr:uid="{A3824EF1-2699-4394-B5AE-5ED8555DA5B7}">
      <text>
        <r>
          <rPr>
            <b/>
            <sz val="9"/>
            <color indexed="81"/>
            <rFont val="Tahoma"/>
            <family val="2"/>
          </rPr>
          <t>Potter, Daniel:</t>
        </r>
        <r>
          <rPr>
            <sz val="9"/>
            <color indexed="81"/>
            <rFont val="Tahoma"/>
            <family val="2"/>
          </rPr>
          <t xml:space="preserve">
Starting in 2025, NEW RES Bill would base off load rather than sales. </t>
        </r>
      </text>
    </comment>
    <comment ref="X951" authorId="0" shapeId="0" xr:uid="{C4B19BD5-49D0-4DBE-A573-2EA444461772}">
      <text>
        <r>
          <rPr>
            <b/>
            <sz val="9"/>
            <color indexed="81"/>
            <rFont val="Tahoma"/>
            <family val="2"/>
          </rPr>
          <t>Potter, Daniel:</t>
        </r>
        <r>
          <rPr>
            <sz val="9"/>
            <color indexed="81"/>
            <rFont val="Tahoma"/>
            <family val="2"/>
          </rPr>
          <t xml:space="preserve">
Starting in 2025, NEW RES Bill would base off load rather than sales. </t>
        </r>
      </text>
    </comment>
    <comment ref="Y951" authorId="0" shapeId="0" xr:uid="{4F1A8B6F-44D2-4DF6-9857-B2F98FF9B7F5}">
      <text>
        <r>
          <rPr>
            <b/>
            <sz val="9"/>
            <color indexed="81"/>
            <rFont val="Tahoma"/>
            <family val="2"/>
          </rPr>
          <t>Potter, Daniel:</t>
        </r>
        <r>
          <rPr>
            <sz val="9"/>
            <color indexed="81"/>
            <rFont val="Tahoma"/>
            <family val="2"/>
          </rPr>
          <t xml:space="preserve">
Starting in 2025, NEW RES Bill would base off load rather than sales. </t>
        </r>
      </text>
    </comment>
    <comment ref="Z951" authorId="0" shapeId="0" xr:uid="{2F2FEA4A-E7AA-4768-8782-743FC9062CA5}">
      <text>
        <r>
          <rPr>
            <b/>
            <sz val="9"/>
            <color indexed="81"/>
            <rFont val="Tahoma"/>
            <family val="2"/>
          </rPr>
          <t>Potter, Daniel:</t>
        </r>
        <r>
          <rPr>
            <sz val="9"/>
            <color indexed="81"/>
            <rFont val="Tahoma"/>
            <family val="2"/>
          </rPr>
          <t xml:space="preserve">
Starting in 2025, NEW RES Bill would base off load rather than sales. </t>
        </r>
      </text>
    </comment>
    <comment ref="A954" authorId="0" shapeId="0" xr:uid="{B102A929-C887-40B6-BB3E-086CA5E125DD}">
      <text>
        <r>
          <rPr>
            <b/>
            <sz val="9"/>
            <color indexed="81"/>
            <rFont val="Tahoma"/>
            <family val="2"/>
          </rPr>
          <t>Potter, Daniel:</t>
        </r>
        <r>
          <rPr>
            <sz val="9"/>
            <color indexed="81"/>
            <rFont val="Tahoma"/>
            <family val="2"/>
          </rPr>
          <t xml:space="preserve">
Only included in forumlas until Dec of 2030.  As VEC has committed to go 100% RE in 2030.</t>
        </r>
      </text>
    </comment>
    <comment ref="C967" authorId="0" shapeId="0" xr:uid="{02E8876F-6A91-438F-8DC9-B6728062DFA2}">
      <text>
        <r>
          <rPr>
            <b/>
            <sz val="9"/>
            <color indexed="81"/>
            <rFont val="Tahoma"/>
            <family val="2"/>
          </rPr>
          <t>Potter, Daniel:</t>
        </r>
        <r>
          <rPr>
            <sz val="9"/>
            <color indexed="81"/>
            <rFont val="Tahoma"/>
            <family val="2"/>
          </rPr>
          <t xml:space="preserve">
See Standard Offer Assumptions 2023-10-23</t>
        </r>
      </text>
    </comment>
    <comment ref="D967" authorId="0" shapeId="0" xr:uid="{C8E58FAE-351D-4F46-8480-69BF29E33C40}">
      <text>
        <r>
          <rPr>
            <b/>
            <sz val="9"/>
            <color indexed="81"/>
            <rFont val="Tahoma"/>
            <family val="2"/>
          </rPr>
          <t>Potter, Daniel:</t>
        </r>
        <r>
          <rPr>
            <sz val="9"/>
            <color indexed="81"/>
            <rFont val="Tahoma"/>
            <family val="2"/>
          </rPr>
          <t xml:space="preserve">
See Standard Offer Assumptions 2023-10-23</t>
        </r>
      </text>
    </comment>
    <comment ref="E967" authorId="0" shapeId="0" xr:uid="{CECE01B0-051A-448F-8E68-2408918AE8D8}">
      <text>
        <r>
          <rPr>
            <b/>
            <sz val="9"/>
            <color indexed="81"/>
            <rFont val="Tahoma"/>
            <family val="2"/>
          </rPr>
          <t>Potter, Daniel:</t>
        </r>
        <r>
          <rPr>
            <sz val="9"/>
            <color indexed="81"/>
            <rFont val="Tahoma"/>
            <family val="2"/>
          </rPr>
          <t xml:space="preserve">
See Standard Offer Assumptions 2023-10-23</t>
        </r>
      </text>
    </comment>
    <comment ref="F967" authorId="0" shapeId="0" xr:uid="{0284F98C-06B9-4C71-882A-19ED1D495E9E}">
      <text>
        <r>
          <rPr>
            <b/>
            <sz val="9"/>
            <color indexed="81"/>
            <rFont val="Tahoma"/>
            <family val="2"/>
          </rPr>
          <t>Potter, Daniel:</t>
        </r>
        <r>
          <rPr>
            <sz val="9"/>
            <color indexed="81"/>
            <rFont val="Tahoma"/>
            <family val="2"/>
          </rPr>
          <t xml:space="preserve">
See Standard Offer Assumptions 2023-10-23</t>
        </r>
      </text>
    </comment>
    <comment ref="G967" authorId="0" shapeId="0" xr:uid="{AB00DAE2-6E4A-42E8-8CA3-277FCA1A1BC0}">
      <text>
        <r>
          <rPr>
            <b/>
            <sz val="9"/>
            <color indexed="81"/>
            <rFont val="Tahoma"/>
            <family val="2"/>
          </rPr>
          <t>Potter, Daniel:</t>
        </r>
        <r>
          <rPr>
            <sz val="9"/>
            <color indexed="81"/>
            <rFont val="Tahoma"/>
            <family val="2"/>
          </rPr>
          <t xml:space="preserve">
See Standard Offer Assumptions 2023-10-23</t>
        </r>
      </text>
    </comment>
    <comment ref="H967" authorId="0" shapeId="0" xr:uid="{A0DB7BE2-642E-4A94-B364-E6E5D870E115}">
      <text>
        <r>
          <rPr>
            <b/>
            <sz val="9"/>
            <color indexed="81"/>
            <rFont val="Tahoma"/>
            <family val="2"/>
          </rPr>
          <t>Potter, Daniel:</t>
        </r>
        <r>
          <rPr>
            <sz val="9"/>
            <color indexed="81"/>
            <rFont val="Tahoma"/>
            <family val="2"/>
          </rPr>
          <t xml:space="preserve">
See Standard Offer Assumptions 2023-10-23</t>
        </r>
      </text>
    </comment>
    <comment ref="I967" authorId="0" shapeId="0" xr:uid="{EF8CDC5C-BCDD-447B-9F69-E3118C52948C}">
      <text>
        <r>
          <rPr>
            <b/>
            <sz val="9"/>
            <color indexed="81"/>
            <rFont val="Tahoma"/>
            <family val="2"/>
          </rPr>
          <t>Potter, Daniel:</t>
        </r>
        <r>
          <rPr>
            <sz val="9"/>
            <color indexed="81"/>
            <rFont val="Tahoma"/>
            <family val="2"/>
          </rPr>
          <t xml:space="preserve">
See Standard Offer Assumptions 2023-10-23</t>
        </r>
      </text>
    </comment>
    <comment ref="J967" authorId="0" shapeId="0" xr:uid="{2542B0BB-CCA3-4A08-BDF3-F909A02DC6CF}">
      <text>
        <r>
          <rPr>
            <b/>
            <sz val="9"/>
            <color indexed="81"/>
            <rFont val="Tahoma"/>
            <family val="2"/>
          </rPr>
          <t>Potter, Daniel:</t>
        </r>
        <r>
          <rPr>
            <sz val="9"/>
            <color indexed="81"/>
            <rFont val="Tahoma"/>
            <family val="2"/>
          </rPr>
          <t xml:space="preserve">
See Standard Offer Assumptions 2023-10-23</t>
        </r>
      </text>
    </comment>
    <comment ref="K967" authorId="0" shapeId="0" xr:uid="{7D2E171C-F0C7-4D7C-B648-37B146B4FA7C}">
      <text>
        <r>
          <rPr>
            <b/>
            <sz val="9"/>
            <color indexed="81"/>
            <rFont val="Tahoma"/>
            <family val="2"/>
          </rPr>
          <t>Potter, Daniel:</t>
        </r>
        <r>
          <rPr>
            <sz val="9"/>
            <color indexed="81"/>
            <rFont val="Tahoma"/>
            <family val="2"/>
          </rPr>
          <t xml:space="preserve">
See Standard Offer Assumptions 2023-10-23</t>
        </r>
      </text>
    </comment>
    <comment ref="L967" authorId="0" shapeId="0" xr:uid="{F7DA11EA-3071-4DFE-8938-183B08C3ED16}">
      <text>
        <r>
          <rPr>
            <b/>
            <sz val="9"/>
            <color indexed="81"/>
            <rFont val="Tahoma"/>
            <family val="2"/>
          </rPr>
          <t>Potter, Daniel:</t>
        </r>
        <r>
          <rPr>
            <sz val="9"/>
            <color indexed="81"/>
            <rFont val="Tahoma"/>
            <family val="2"/>
          </rPr>
          <t xml:space="preserve">
See Standard Offer Assumptions 2023-10-23</t>
        </r>
      </text>
    </comment>
    <comment ref="M967" authorId="0" shapeId="0" xr:uid="{A40A9563-A296-4E78-885C-F1787A5C38F3}">
      <text>
        <r>
          <rPr>
            <b/>
            <sz val="9"/>
            <color indexed="81"/>
            <rFont val="Tahoma"/>
            <family val="2"/>
          </rPr>
          <t>Potter, Daniel:</t>
        </r>
        <r>
          <rPr>
            <sz val="9"/>
            <color indexed="81"/>
            <rFont val="Tahoma"/>
            <family val="2"/>
          </rPr>
          <t xml:space="preserve">
See Standard Offer Assumptions 2023-10-23</t>
        </r>
      </text>
    </comment>
    <comment ref="N967" authorId="0" shapeId="0" xr:uid="{2C7FAA3E-74D9-471B-A60C-9D18EFD3595A}">
      <text>
        <r>
          <rPr>
            <b/>
            <sz val="9"/>
            <color indexed="81"/>
            <rFont val="Tahoma"/>
            <family val="2"/>
          </rPr>
          <t>Potter, Daniel:</t>
        </r>
        <r>
          <rPr>
            <sz val="9"/>
            <color indexed="81"/>
            <rFont val="Tahoma"/>
            <family val="2"/>
          </rPr>
          <t xml:space="preserve">
See Standard Offer Assumptions 2023-10-23</t>
        </r>
      </text>
    </comment>
    <comment ref="C968" authorId="0" shapeId="0" xr:uid="{5F3F87EF-1325-4856-82CE-FDFF4FB0E82C}">
      <text>
        <r>
          <rPr>
            <b/>
            <sz val="9"/>
            <color indexed="81"/>
            <rFont val="Tahoma"/>
            <family val="2"/>
          </rPr>
          <t>Potter, Daniel:</t>
        </r>
        <r>
          <rPr>
            <sz val="9"/>
            <color indexed="81"/>
            <rFont val="Tahoma"/>
            <family val="2"/>
          </rPr>
          <t xml:space="preserve">
See Standard Offer Assumptions 2023-10-23</t>
        </r>
      </text>
    </comment>
    <comment ref="D968" authorId="0" shapeId="0" xr:uid="{2E589E1F-47AE-4E3A-9F66-DF9D98725B81}">
      <text>
        <r>
          <rPr>
            <b/>
            <sz val="9"/>
            <color indexed="81"/>
            <rFont val="Tahoma"/>
            <family val="2"/>
          </rPr>
          <t>Potter, Daniel:</t>
        </r>
        <r>
          <rPr>
            <sz val="9"/>
            <color indexed="81"/>
            <rFont val="Tahoma"/>
            <family val="2"/>
          </rPr>
          <t xml:space="preserve">
See Standard Offer Assumptions 2023-10-23</t>
        </r>
      </text>
    </comment>
    <comment ref="E968" authorId="0" shapeId="0" xr:uid="{7C47CD1C-64CF-4833-A39C-810E05FADAA3}">
      <text>
        <r>
          <rPr>
            <b/>
            <sz val="9"/>
            <color indexed="81"/>
            <rFont val="Tahoma"/>
            <family val="2"/>
          </rPr>
          <t>Potter, Daniel:</t>
        </r>
        <r>
          <rPr>
            <sz val="9"/>
            <color indexed="81"/>
            <rFont val="Tahoma"/>
            <family val="2"/>
          </rPr>
          <t xml:space="preserve">
See Standard Offer Assumptions 2023-10-23</t>
        </r>
      </text>
    </comment>
    <comment ref="F968" authorId="0" shapeId="0" xr:uid="{DCA1E0D6-2DC7-4540-BEE7-94C4042B8753}">
      <text>
        <r>
          <rPr>
            <b/>
            <sz val="9"/>
            <color indexed="81"/>
            <rFont val="Tahoma"/>
            <family val="2"/>
          </rPr>
          <t>Potter, Daniel:</t>
        </r>
        <r>
          <rPr>
            <sz val="9"/>
            <color indexed="81"/>
            <rFont val="Tahoma"/>
            <family val="2"/>
          </rPr>
          <t xml:space="preserve">
See Standard Offer Assumptions 2023-10-23</t>
        </r>
      </text>
    </comment>
    <comment ref="G968" authorId="0" shapeId="0" xr:uid="{12FC15BF-1157-492F-98F3-DEF1B0B0B657}">
      <text>
        <r>
          <rPr>
            <b/>
            <sz val="9"/>
            <color indexed="81"/>
            <rFont val="Tahoma"/>
            <family val="2"/>
          </rPr>
          <t>Potter, Daniel:</t>
        </r>
        <r>
          <rPr>
            <sz val="9"/>
            <color indexed="81"/>
            <rFont val="Tahoma"/>
            <family val="2"/>
          </rPr>
          <t xml:space="preserve">
See Standard Offer Assumptions 2023-10-23</t>
        </r>
      </text>
    </comment>
    <comment ref="H968" authorId="0" shapeId="0" xr:uid="{AA1B3EB1-0120-4FC2-8C83-61DB228D3606}">
      <text>
        <r>
          <rPr>
            <b/>
            <sz val="9"/>
            <color indexed="81"/>
            <rFont val="Tahoma"/>
            <family val="2"/>
          </rPr>
          <t>Potter, Daniel:</t>
        </r>
        <r>
          <rPr>
            <sz val="9"/>
            <color indexed="81"/>
            <rFont val="Tahoma"/>
            <family val="2"/>
          </rPr>
          <t xml:space="preserve">
See Standard Offer Assumptions 2023-10-23</t>
        </r>
      </text>
    </comment>
    <comment ref="I968" authorId="0" shapeId="0" xr:uid="{2CC3F591-95DF-4F45-8599-EB6957591ACA}">
      <text>
        <r>
          <rPr>
            <b/>
            <sz val="9"/>
            <color indexed="81"/>
            <rFont val="Tahoma"/>
            <family val="2"/>
          </rPr>
          <t>Potter, Daniel:</t>
        </r>
        <r>
          <rPr>
            <sz val="9"/>
            <color indexed="81"/>
            <rFont val="Tahoma"/>
            <family val="2"/>
          </rPr>
          <t xml:space="preserve">
See Standard Offer Assumptions 2023-10-23</t>
        </r>
      </text>
    </comment>
    <comment ref="J968" authorId="0" shapeId="0" xr:uid="{9ECD3D8E-A2E2-4415-829A-1948E8D61386}">
      <text>
        <r>
          <rPr>
            <b/>
            <sz val="9"/>
            <color indexed="81"/>
            <rFont val="Tahoma"/>
            <family val="2"/>
          </rPr>
          <t>Potter, Daniel:</t>
        </r>
        <r>
          <rPr>
            <sz val="9"/>
            <color indexed="81"/>
            <rFont val="Tahoma"/>
            <family val="2"/>
          </rPr>
          <t xml:space="preserve">
See Standard Offer Assumptions 2023-10-23</t>
        </r>
      </text>
    </comment>
    <comment ref="K968" authorId="0" shapeId="0" xr:uid="{0EB94547-AEB2-4AC3-8811-B0918DC9E016}">
      <text>
        <r>
          <rPr>
            <b/>
            <sz val="9"/>
            <color indexed="81"/>
            <rFont val="Tahoma"/>
            <family val="2"/>
          </rPr>
          <t>Potter, Daniel:</t>
        </r>
        <r>
          <rPr>
            <sz val="9"/>
            <color indexed="81"/>
            <rFont val="Tahoma"/>
            <family val="2"/>
          </rPr>
          <t xml:space="preserve">
See Standard Offer Assumptions 2023-10-23</t>
        </r>
      </text>
    </comment>
    <comment ref="L968" authorId="0" shapeId="0" xr:uid="{1DE5B80D-8A4E-4ACE-B597-4D88EAA4FD22}">
      <text>
        <r>
          <rPr>
            <b/>
            <sz val="9"/>
            <color indexed="81"/>
            <rFont val="Tahoma"/>
            <family val="2"/>
          </rPr>
          <t>Potter, Daniel:</t>
        </r>
        <r>
          <rPr>
            <sz val="9"/>
            <color indexed="81"/>
            <rFont val="Tahoma"/>
            <family val="2"/>
          </rPr>
          <t xml:space="preserve">
See Standard Offer Assumptions 2023-10-23</t>
        </r>
      </text>
    </comment>
    <comment ref="M968" authorId="0" shapeId="0" xr:uid="{EAAA409A-02EA-43C2-A573-E2F9C0ABD77B}">
      <text>
        <r>
          <rPr>
            <b/>
            <sz val="9"/>
            <color indexed="81"/>
            <rFont val="Tahoma"/>
            <family val="2"/>
          </rPr>
          <t>Potter, Daniel:</t>
        </r>
        <r>
          <rPr>
            <sz val="9"/>
            <color indexed="81"/>
            <rFont val="Tahoma"/>
            <family val="2"/>
          </rPr>
          <t xml:space="preserve">
See Standard Offer Assumptions 2023-10-23</t>
        </r>
      </text>
    </comment>
    <comment ref="N968" authorId="0" shapeId="0" xr:uid="{247D8CA7-DC84-4222-91DF-09B0026A7BF7}">
      <text>
        <r>
          <rPr>
            <b/>
            <sz val="9"/>
            <color indexed="81"/>
            <rFont val="Tahoma"/>
            <family val="2"/>
          </rPr>
          <t>Potter, Daniel:</t>
        </r>
        <r>
          <rPr>
            <sz val="9"/>
            <color indexed="81"/>
            <rFont val="Tahoma"/>
            <family val="2"/>
          </rPr>
          <t xml:space="preserve">
See Standard Offer Assumptions 2023-10-23</t>
        </r>
      </text>
    </comment>
    <comment ref="C981" authorId="0" shapeId="0" xr:uid="{04072E7F-A2B0-46DD-BBD3-9E0ECF9F0089}">
      <text>
        <r>
          <rPr>
            <b/>
            <sz val="9"/>
            <color indexed="81"/>
            <rFont val="Tahoma"/>
            <family val="2"/>
          </rPr>
          <t>Potter, Daniel:</t>
        </r>
        <r>
          <rPr>
            <sz val="9"/>
            <color indexed="81"/>
            <rFont val="Tahoma"/>
            <family val="2"/>
          </rPr>
          <t xml:space="preserve">
07/22-06/23 TY Actuals</t>
        </r>
      </text>
    </comment>
    <comment ref="D981" authorId="0" shapeId="0" xr:uid="{DC533D3C-5E65-4C67-A613-466CEC4A5E78}">
      <text>
        <r>
          <rPr>
            <b/>
            <sz val="9"/>
            <color indexed="81"/>
            <rFont val="Tahoma"/>
            <family val="2"/>
          </rPr>
          <t>Potter, Daniel:</t>
        </r>
        <r>
          <rPr>
            <sz val="9"/>
            <color indexed="81"/>
            <rFont val="Tahoma"/>
            <family val="2"/>
          </rPr>
          <t xml:space="preserve">
07/22-06/23 TY Actuals</t>
        </r>
      </text>
    </comment>
    <comment ref="E981" authorId="0" shapeId="0" xr:uid="{FB79C6FC-7FA4-4AA7-BAAA-15A85E603E21}">
      <text>
        <r>
          <rPr>
            <b/>
            <sz val="9"/>
            <color indexed="81"/>
            <rFont val="Tahoma"/>
            <family val="2"/>
          </rPr>
          <t>Potter, Daniel:</t>
        </r>
        <r>
          <rPr>
            <sz val="9"/>
            <color indexed="81"/>
            <rFont val="Tahoma"/>
            <family val="2"/>
          </rPr>
          <t xml:space="preserve">
07/22-06/23 TY Actuals</t>
        </r>
      </text>
    </comment>
    <comment ref="F981" authorId="0" shapeId="0" xr:uid="{CA756258-810E-4641-A32E-A2839BCBA0A0}">
      <text>
        <r>
          <rPr>
            <b/>
            <sz val="9"/>
            <color indexed="81"/>
            <rFont val="Tahoma"/>
            <family val="2"/>
          </rPr>
          <t>Potter, Daniel:</t>
        </r>
        <r>
          <rPr>
            <sz val="9"/>
            <color indexed="81"/>
            <rFont val="Tahoma"/>
            <family val="2"/>
          </rPr>
          <t xml:space="preserve">
07/22-06/23 TY Actuals</t>
        </r>
      </text>
    </comment>
    <comment ref="G981" authorId="0" shapeId="0" xr:uid="{EA85F9B9-C0B9-42EF-9763-71409BEBBB58}">
      <text>
        <r>
          <rPr>
            <b/>
            <sz val="9"/>
            <color indexed="81"/>
            <rFont val="Tahoma"/>
            <family val="2"/>
          </rPr>
          <t>Potter, Daniel:</t>
        </r>
        <r>
          <rPr>
            <sz val="9"/>
            <color indexed="81"/>
            <rFont val="Tahoma"/>
            <family val="2"/>
          </rPr>
          <t xml:space="preserve">
07/22-06/23 TY Actuals</t>
        </r>
      </text>
    </comment>
    <comment ref="H981" authorId="0" shapeId="0" xr:uid="{C7D6D3CD-6683-40FE-BE94-D8CD25253BD0}">
      <text>
        <r>
          <rPr>
            <b/>
            <sz val="9"/>
            <color indexed="81"/>
            <rFont val="Tahoma"/>
            <family val="2"/>
          </rPr>
          <t>Potter, Daniel:</t>
        </r>
        <r>
          <rPr>
            <sz val="9"/>
            <color indexed="81"/>
            <rFont val="Tahoma"/>
            <family val="2"/>
          </rPr>
          <t xml:space="preserve">
07/22-06/23 TY Actuals</t>
        </r>
      </text>
    </comment>
    <comment ref="I981" authorId="0" shapeId="0" xr:uid="{469079BA-963F-486E-BF24-3CECA62AB2C0}">
      <text>
        <r>
          <rPr>
            <b/>
            <sz val="9"/>
            <color indexed="81"/>
            <rFont val="Tahoma"/>
            <family val="2"/>
          </rPr>
          <t>Potter, Daniel:</t>
        </r>
        <r>
          <rPr>
            <sz val="9"/>
            <color indexed="81"/>
            <rFont val="Tahoma"/>
            <family val="2"/>
          </rPr>
          <t xml:space="preserve">
07/22-06/23 TY Actuals</t>
        </r>
      </text>
    </comment>
    <comment ref="J981" authorId="0" shapeId="0" xr:uid="{EA01C0A7-82C7-4B41-9919-FF7D6E04037F}">
      <text>
        <r>
          <rPr>
            <b/>
            <sz val="9"/>
            <color indexed="81"/>
            <rFont val="Tahoma"/>
            <family val="2"/>
          </rPr>
          <t>Potter, Daniel:</t>
        </r>
        <r>
          <rPr>
            <sz val="9"/>
            <color indexed="81"/>
            <rFont val="Tahoma"/>
            <family val="2"/>
          </rPr>
          <t xml:space="preserve">
07/22-06/23 TY Actuals</t>
        </r>
      </text>
    </comment>
    <comment ref="K981" authorId="0" shapeId="0" xr:uid="{F6F90E3B-FEB4-40B8-898C-7E52B88593AB}">
      <text>
        <r>
          <rPr>
            <b/>
            <sz val="9"/>
            <color indexed="81"/>
            <rFont val="Tahoma"/>
            <family val="2"/>
          </rPr>
          <t>Potter, Daniel:</t>
        </r>
        <r>
          <rPr>
            <sz val="9"/>
            <color indexed="81"/>
            <rFont val="Tahoma"/>
            <family val="2"/>
          </rPr>
          <t xml:space="preserve">
07/22-06/23 TY Actuals</t>
        </r>
      </text>
    </comment>
    <comment ref="L981" authorId="0" shapeId="0" xr:uid="{C7815ABB-C066-41CC-BBA5-FAD8AACD58A3}">
      <text>
        <r>
          <rPr>
            <b/>
            <sz val="9"/>
            <color indexed="81"/>
            <rFont val="Tahoma"/>
            <family val="2"/>
          </rPr>
          <t>Potter, Daniel:</t>
        </r>
        <r>
          <rPr>
            <sz val="9"/>
            <color indexed="81"/>
            <rFont val="Tahoma"/>
            <family val="2"/>
          </rPr>
          <t xml:space="preserve">
07/22-06/23 TY Actuals</t>
        </r>
      </text>
    </comment>
    <comment ref="M981" authorId="0" shapeId="0" xr:uid="{B2EAE2EF-8A39-470D-949B-18D1322E6B55}">
      <text>
        <r>
          <rPr>
            <b/>
            <sz val="9"/>
            <color indexed="81"/>
            <rFont val="Tahoma"/>
            <family val="2"/>
          </rPr>
          <t>Potter, Daniel:</t>
        </r>
        <r>
          <rPr>
            <sz val="9"/>
            <color indexed="81"/>
            <rFont val="Tahoma"/>
            <family val="2"/>
          </rPr>
          <t xml:space="preserve">
07/22-06/23 TY Actuals</t>
        </r>
      </text>
    </comment>
    <comment ref="N981" authorId="0" shapeId="0" xr:uid="{4CA2375B-52F8-4FBD-81F0-0AEF01C7A63D}">
      <text>
        <r>
          <rPr>
            <b/>
            <sz val="9"/>
            <color indexed="81"/>
            <rFont val="Tahoma"/>
            <family val="2"/>
          </rPr>
          <t>Potter, Daniel:</t>
        </r>
        <r>
          <rPr>
            <sz val="9"/>
            <color indexed="81"/>
            <rFont val="Tahoma"/>
            <family val="2"/>
          </rPr>
          <t xml:space="preserve">
07/22-06/23 TY Actuals</t>
        </r>
      </text>
    </comment>
    <comment ref="O981" authorId="0" shapeId="0" xr:uid="{A8347E92-1E06-400E-AB9A-D3237EBCA50C}">
      <text>
        <r>
          <rPr>
            <b/>
            <sz val="9"/>
            <color indexed="81"/>
            <rFont val="Tahoma"/>
            <family val="2"/>
          </rPr>
          <t>Potter, Daniel:</t>
        </r>
        <r>
          <rPr>
            <sz val="9"/>
            <color indexed="81"/>
            <rFont val="Tahoma"/>
            <family val="2"/>
          </rPr>
          <t xml:space="preserve">
CY 2023 Actuals
</t>
        </r>
      </text>
    </comment>
    <comment ref="P981" authorId="0" shapeId="0" xr:uid="{E7185F2C-2092-4C10-AEDB-860DF09F1556}">
      <text>
        <r>
          <rPr>
            <b/>
            <sz val="9"/>
            <color indexed="81"/>
            <rFont val="Tahoma"/>
            <family val="2"/>
          </rPr>
          <t>Potter, Daniel:</t>
        </r>
        <r>
          <rPr>
            <sz val="9"/>
            <color indexed="81"/>
            <rFont val="Tahoma"/>
            <family val="2"/>
          </rPr>
          <t xml:space="preserve">
CY 2023 Actuals
</t>
        </r>
      </text>
    </comment>
    <comment ref="Q981" authorId="0" shapeId="0" xr:uid="{68BBD490-FD61-44D4-801C-1E7669EF84CC}">
      <text>
        <r>
          <rPr>
            <b/>
            <sz val="9"/>
            <color indexed="81"/>
            <rFont val="Tahoma"/>
            <family val="2"/>
          </rPr>
          <t>Potter, Daniel:</t>
        </r>
        <r>
          <rPr>
            <sz val="9"/>
            <color indexed="81"/>
            <rFont val="Tahoma"/>
            <family val="2"/>
          </rPr>
          <t xml:space="preserve">
CY 2023 Actuals
</t>
        </r>
      </text>
    </comment>
    <comment ref="R981" authorId="0" shapeId="0" xr:uid="{353263C6-58F1-4B67-B15D-19DF51D0BF3E}">
      <text>
        <r>
          <rPr>
            <b/>
            <sz val="9"/>
            <color indexed="81"/>
            <rFont val="Tahoma"/>
            <family val="2"/>
          </rPr>
          <t>Potter, Daniel:</t>
        </r>
        <r>
          <rPr>
            <sz val="9"/>
            <color indexed="81"/>
            <rFont val="Tahoma"/>
            <family val="2"/>
          </rPr>
          <t xml:space="preserve">
CY 2023 Actuals
</t>
        </r>
      </text>
    </comment>
    <comment ref="S981" authorId="0" shapeId="0" xr:uid="{B61AC015-A080-415C-8E3B-A64D492F08BA}">
      <text>
        <r>
          <rPr>
            <b/>
            <sz val="9"/>
            <color indexed="81"/>
            <rFont val="Tahoma"/>
            <family val="2"/>
          </rPr>
          <t>Potter, Daniel:</t>
        </r>
        <r>
          <rPr>
            <sz val="9"/>
            <color indexed="81"/>
            <rFont val="Tahoma"/>
            <family val="2"/>
          </rPr>
          <t xml:space="preserve">
CY 2023 Actuals
</t>
        </r>
      </text>
    </comment>
    <comment ref="T981" authorId="0" shapeId="0" xr:uid="{3FCBD9F3-EA52-4F1C-9CB1-076FBF351E3A}">
      <text>
        <r>
          <rPr>
            <b/>
            <sz val="9"/>
            <color indexed="81"/>
            <rFont val="Tahoma"/>
            <family val="2"/>
          </rPr>
          <t>Potter, Daniel:</t>
        </r>
        <r>
          <rPr>
            <sz val="9"/>
            <color indexed="81"/>
            <rFont val="Tahoma"/>
            <family val="2"/>
          </rPr>
          <t xml:space="preserve">
CY 2023 Actuals
</t>
        </r>
      </text>
    </comment>
    <comment ref="U981" authorId="0" shapeId="0" xr:uid="{25D67A6E-0B26-4859-845C-4E607BAFFA5C}">
      <text>
        <r>
          <rPr>
            <b/>
            <sz val="9"/>
            <color indexed="81"/>
            <rFont val="Tahoma"/>
            <family val="2"/>
          </rPr>
          <t>Potter, Daniel:</t>
        </r>
        <r>
          <rPr>
            <sz val="9"/>
            <color indexed="81"/>
            <rFont val="Tahoma"/>
            <family val="2"/>
          </rPr>
          <t xml:space="preserve">
CY 2023 Actuals
</t>
        </r>
      </text>
    </comment>
    <comment ref="V981" authorId="0" shapeId="0" xr:uid="{045E7693-9700-405A-86B9-D66901E50FDE}">
      <text>
        <r>
          <rPr>
            <b/>
            <sz val="9"/>
            <color indexed="81"/>
            <rFont val="Tahoma"/>
            <family val="2"/>
          </rPr>
          <t>Potter, Daniel:</t>
        </r>
        <r>
          <rPr>
            <sz val="9"/>
            <color indexed="81"/>
            <rFont val="Tahoma"/>
            <family val="2"/>
          </rPr>
          <t xml:space="preserve">
CY 2023 Actuals
</t>
        </r>
      </text>
    </comment>
    <comment ref="W981" authorId="0" shapeId="0" xr:uid="{C0914B1E-AC24-484C-8873-63649E060EE7}">
      <text>
        <r>
          <rPr>
            <b/>
            <sz val="9"/>
            <color indexed="81"/>
            <rFont val="Tahoma"/>
            <family val="2"/>
          </rPr>
          <t>Potter, Daniel:</t>
        </r>
        <r>
          <rPr>
            <sz val="9"/>
            <color indexed="81"/>
            <rFont val="Tahoma"/>
            <family val="2"/>
          </rPr>
          <t xml:space="preserve">
CY 2023 Actuals
</t>
        </r>
      </text>
    </comment>
    <comment ref="X981" authorId="0" shapeId="0" xr:uid="{DDFCDA83-FB83-4C24-A2C7-5EEA737C9D64}">
      <text>
        <r>
          <rPr>
            <b/>
            <sz val="9"/>
            <color indexed="81"/>
            <rFont val="Tahoma"/>
            <family val="2"/>
          </rPr>
          <t>Potter, Daniel:</t>
        </r>
        <r>
          <rPr>
            <sz val="9"/>
            <color indexed="81"/>
            <rFont val="Tahoma"/>
            <family val="2"/>
          </rPr>
          <t xml:space="preserve">
CY 2023 Actuals
</t>
        </r>
      </text>
    </comment>
    <comment ref="Y981" authorId="0" shapeId="0" xr:uid="{7355817E-358C-4539-9E96-8163C0AF2EF4}">
      <text>
        <r>
          <rPr>
            <b/>
            <sz val="9"/>
            <color indexed="81"/>
            <rFont val="Tahoma"/>
            <family val="2"/>
          </rPr>
          <t>Potter, Daniel:</t>
        </r>
        <r>
          <rPr>
            <sz val="9"/>
            <color indexed="81"/>
            <rFont val="Tahoma"/>
            <family val="2"/>
          </rPr>
          <t xml:space="preserve">
CY 2023 Actuals
</t>
        </r>
      </text>
    </comment>
    <comment ref="Z981" authorId="0" shapeId="0" xr:uid="{CF8669B9-D604-4CD7-A2DB-1C062C4ADD12}">
      <text>
        <r>
          <rPr>
            <b/>
            <sz val="9"/>
            <color indexed="81"/>
            <rFont val="Tahoma"/>
            <family val="2"/>
          </rPr>
          <t>Potter, Daniel:</t>
        </r>
        <r>
          <rPr>
            <sz val="9"/>
            <color indexed="81"/>
            <rFont val="Tahoma"/>
            <family val="2"/>
          </rPr>
          <t xml:space="preserve">
CY 2023 Actuals
</t>
        </r>
      </text>
    </comment>
    <comment ref="A982" authorId="0" shapeId="0" xr:uid="{C366C1BE-2078-4FC6-964F-00FB88AF619F}">
      <text>
        <r>
          <rPr>
            <b/>
            <sz val="9"/>
            <color indexed="81"/>
            <rFont val="Tahoma"/>
            <family val="2"/>
          </rPr>
          <t>Potter, Daniel:</t>
        </r>
        <r>
          <rPr>
            <sz val="9"/>
            <color indexed="81"/>
            <rFont val="Tahoma"/>
            <family val="2"/>
          </rPr>
          <t xml:space="preserve">
Modeling this as a resource for now, but would actually lower our requirement rather than servicn as resource. </t>
        </r>
      </text>
    </comment>
    <comment ref="O982" authorId="0" shapeId="0" xr:uid="{3044E4BA-74D1-456D-B68F-0DFC344FBD47}">
      <text>
        <r>
          <rPr>
            <b/>
            <sz val="9"/>
            <color indexed="81"/>
            <rFont val="Tahoma"/>
            <family val="2"/>
          </rPr>
          <t>Potter, Daniel:</t>
        </r>
        <r>
          <rPr>
            <sz val="9"/>
            <color indexed="81"/>
            <rFont val="Tahoma"/>
            <family val="2"/>
          </rPr>
          <t xml:space="preserve">
Based on estimate of 3122 MWh per year.  Allocated monthly based on CY 2023 NM RECs per month.  3,122 is based on 4MW of pre 2017 systems, 75% electing to transfer to VEC, 12% capacity factor.  3,154 starting in 2023 and then degrading at .5% per year.  </t>
        </r>
      </text>
    </comment>
    <comment ref="C983" authorId="0" shapeId="0" xr:uid="{FF3E0E7E-81B5-4117-9D3F-0C8F0A4D608D}">
      <text>
        <r>
          <rPr>
            <b/>
            <sz val="9"/>
            <color indexed="81"/>
            <rFont val="Tahoma"/>
            <family val="2"/>
          </rPr>
          <t>Potter, Daniel:</t>
        </r>
        <r>
          <rPr>
            <sz val="9"/>
            <color indexed="81"/>
            <rFont val="Tahoma"/>
            <family val="2"/>
          </rPr>
          <t xml:space="preserve">
See Standard Offer Assumptions 2023-10-23</t>
        </r>
      </text>
    </comment>
    <comment ref="D983" authorId="0" shapeId="0" xr:uid="{4A19EFE4-A2A4-47DF-ADEB-AFB3BD429A79}">
      <text>
        <r>
          <rPr>
            <b/>
            <sz val="9"/>
            <color indexed="81"/>
            <rFont val="Tahoma"/>
            <family val="2"/>
          </rPr>
          <t>Potter, Daniel:</t>
        </r>
        <r>
          <rPr>
            <sz val="9"/>
            <color indexed="81"/>
            <rFont val="Tahoma"/>
            <family val="2"/>
          </rPr>
          <t xml:space="preserve">
See Standard Offer Assumptions 2023-10-23</t>
        </r>
      </text>
    </comment>
    <comment ref="E983" authorId="0" shapeId="0" xr:uid="{80F890FB-0479-4973-B2A4-BD561A25E94D}">
      <text>
        <r>
          <rPr>
            <b/>
            <sz val="9"/>
            <color indexed="81"/>
            <rFont val="Tahoma"/>
            <family val="2"/>
          </rPr>
          <t>Potter, Daniel:</t>
        </r>
        <r>
          <rPr>
            <sz val="9"/>
            <color indexed="81"/>
            <rFont val="Tahoma"/>
            <family val="2"/>
          </rPr>
          <t xml:space="preserve">
See Standard Offer Assumptions 2023-10-23</t>
        </r>
      </text>
    </comment>
    <comment ref="F983" authorId="0" shapeId="0" xr:uid="{8071EEA8-2C85-4518-8F85-15D185FBEA36}">
      <text>
        <r>
          <rPr>
            <b/>
            <sz val="9"/>
            <color indexed="81"/>
            <rFont val="Tahoma"/>
            <family val="2"/>
          </rPr>
          <t>Potter, Daniel:</t>
        </r>
        <r>
          <rPr>
            <sz val="9"/>
            <color indexed="81"/>
            <rFont val="Tahoma"/>
            <family val="2"/>
          </rPr>
          <t xml:space="preserve">
See Standard Offer Assumptions 2023-10-23</t>
        </r>
      </text>
    </comment>
    <comment ref="G983" authorId="0" shapeId="0" xr:uid="{DCE2BCDC-7EEF-4A40-B993-42A810403AD1}">
      <text>
        <r>
          <rPr>
            <b/>
            <sz val="9"/>
            <color indexed="81"/>
            <rFont val="Tahoma"/>
            <family val="2"/>
          </rPr>
          <t>Potter, Daniel:</t>
        </r>
        <r>
          <rPr>
            <sz val="9"/>
            <color indexed="81"/>
            <rFont val="Tahoma"/>
            <family val="2"/>
          </rPr>
          <t xml:space="preserve">
See Standard Offer Assumptions 2023-10-23</t>
        </r>
      </text>
    </comment>
    <comment ref="H983" authorId="0" shapeId="0" xr:uid="{1D8299D4-7E25-47A3-BE14-17E32BE45660}">
      <text>
        <r>
          <rPr>
            <b/>
            <sz val="9"/>
            <color indexed="81"/>
            <rFont val="Tahoma"/>
            <family val="2"/>
          </rPr>
          <t>Potter, Daniel:</t>
        </r>
        <r>
          <rPr>
            <sz val="9"/>
            <color indexed="81"/>
            <rFont val="Tahoma"/>
            <family val="2"/>
          </rPr>
          <t xml:space="preserve">
See Standard Offer Assumptions 2023-10-23</t>
        </r>
      </text>
    </comment>
    <comment ref="I983" authorId="0" shapeId="0" xr:uid="{8F8D28A3-786B-4E9E-AE40-025128BB926B}">
      <text>
        <r>
          <rPr>
            <b/>
            <sz val="9"/>
            <color indexed="81"/>
            <rFont val="Tahoma"/>
            <family val="2"/>
          </rPr>
          <t>Potter, Daniel:</t>
        </r>
        <r>
          <rPr>
            <sz val="9"/>
            <color indexed="81"/>
            <rFont val="Tahoma"/>
            <family val="2"/>
          </rPr>
          <t xml:space="preserve">
See Standard Offer Assumptions 2023-10-23</t>
        </r>
      </text>
    </comment>
    <comment ref="J983" authorId="0" shapeId="0" xr:uid="{42DED182-630B-4224-AE94-0F8C98289B04}">
      <text>
        <r>
          <rPr>
            <b/>
            <sz val="9"/>
            <color indexed="81"/>
            <rFont val="Tahoma"/>
            <family val="2"/>
          </rPr>
          <t>Potter, Daniel:</t>
        </r>
        <r>
          <rPr>
            <sz val="9"/>
            <color indexed="81"/>
            <rFont val="Tahoma"/>
            <family val="2"/>
          </rPr>
          <t xml:space="preserve">
See Standard Offer Assumptions 2023-10-23</t>
        </r>
      </text>
    </comment>
    <comment ref="K983" authorId="0" shapeId="0" xr:uid="{46368A75-7574-4AD9-8AAC-6F7F3458B726}">
      <text>
        <r>
          <rPr>
            <b/>
            <sz val="9"/>
            <color indexed="81"/>
            <rFont val="Tahoma"/>
            <family val="2"/>
          </rPr>
          <t>Potter, Daniel:</t>
        </r>
        <r>
          <rPr>
            <sz val="9"/>
            <color indexed="81"/>
            <rFont val="Tahoma"/>
            <family val="2"/>
          </rPr>
          <t xml:space="preserve">
See Standard Offer Assumptions 2023-10-23</t>
        </r>
      </text>
    </comment>
    <comment ref="L983" authorId="0" shapeId="0" xr:uid="{C5F3F581-33FA-4020-B4E5-529FECA8051D}">
      <text>
        <r>
          <rPr>
            <b/>
            <sz val="9"/>
            <color indexed="81"/>
            <rFont val="Tahoma"/>
            <family val="2"/>
          </rPr>
          <t>Potter, Daniel:</t>
        </r>
        <r>
          <rPr>
            <sz val="9"/>
            <color indexed="81"/>
            <rFont val="Tahoma"/>
            <family val="2"/>
          </rPr>
          <t xml:space="preserve">
See Standard Offer Assumptions 2023-10-23</t>
        </r>
      </text>
    </comment>
    <comment ref="M983" authorId="0" shapeId="0" xr:uid="{17D5560D-1787-49A4-8E04-CBBE4368B753}">
      <text>
        <r>
          <rPr>
            <b/>
            <sz val="9"/>
            <color indexed="81"/>
            <rFont val="Tahoma"/>
            <family val="2"/>
          </rPr>
          <t>Potter, Daniel:</t>
        </r>
        <r>
          <rPr>
            <sz val="9"/>
            <color indexed="81"/>
            <rFont val="Tahoma"/>
            <family val="2"/>
          </rPr>
          <t xml:space="preserve">
See Standard Offer Assumptions 2023-10-23</t>
        </r>
      </text>
    </comment>
    <comment ref="N983" authorId="0" shapeId="0" xr:uid="{22D3993B-DF9F-46EB-A9D1-BEECA0471F90}">
      <text>
        <r>
          <rPr>
            <b/>
            <sz val="9"/>
            <color indexed="81"/>
            <rFont val="Tahoma"/>
            <family val="2"/>
          </rPr>
          <t>Potter, Daniel:</t>
        </r>
        <r>
          <rPr>
            <sz val="9"/>
            <color indexed="81"/>
            <rFont val="Tahoma"/>
            <family val="2"/>
          </rPr>
          <t xml:space="preserve">
See Standard Offer Assumptions 2023-10-23</t>
        </r>
      </text>
    </comment>
    <comment ref="O983" authorId="0" shapeId="0" xr:uid="{CCC24872-4692-437C-84FC-20D869CCDDBF}">
      <text>
        <r>
          <rPr>
            <b/>
            <sz val="9"/>
            <color indexed="81"/>
            <rFont val="Tahoma"/>
            <family val="2"/>
          </rPr>
          <t>Potter, Daniel:</t>
        </r>
        <r>
          <rPr>
            <sz val="9"/>
            <color indexed="81"/>
            <rFont val="Tahoma"/>
            <family val="2"/>
          </rPr>
          <t xml:space="preserve">
See Standard Offer Assumptions 2024-10-24.  Moved all SO projects to T2 as the new RES bill allows projects online after 1/1/2010 to qualify for T2</t>
        </r>
      </text>
    </comment>
    <comment ref="P983" authorId="0" shapeId="0" xr:uid="{4970D322-9CA0-4793-9F94-476312ED357E}">
      <text>
        <r>
          <rPr>
            <b/>
            <sz val="9"/>
            <color indexed="81"/>
            <rFont val="Tahoma"/>
            <family val="2"/>
          </rPr>
          <t>Potter, Daniel:</t>
        </r>
        <r>
          <rPr>
            <sz val="9"/>
            <color indexed="81"/>
            <rFont val="Tahoma"/>
            <family val="2"/>
          </rPr>
          <t xml:space="preserve">
See Standard Offer Assumptions 2023-10-23</t>
        </r>
      </text>
    </comment>
    <comment ref="Q983" authorId="0" shapeId="0" xr:uid="{1D63ABB2-F961-4BE8-BABB-911CE80BC788}">
      <text>
        <r>
          <rPr>
            <b/>
            <sz val="9"/>
            <color indexed="81"/>
            <rFont val="Tahoma"/>
            <family val="2"/>
          </rPr>
          <t>Potter, Daniel:</t>
        </r>
        <r>
          <rPr>
            <sz val="9"/>
            <color indexed="81"/>
            <rFont val="Tahoma"/>
            <family val="2"/>
          </rPr>
          <t xml:space="preserve">
See Standard Offer Assumptions 2023-10-23</t>
        </r>
      </text>
    </comment>
    <comment ref="R983" authorId="0" shapeId="0" xr:uid="{0D8F8133-0964-4E2E-B26A-CF609F1D1A78}">
      <text>
        <r>
          <rPr>
            <b/>
            <sz val="9"/>
            <color indexed="81"/>
            <rFont val="Tahoma"/>
            <family val="2"/>
          </rPr>
          <t>Potter, Daniel:</t>
        </r>
        <r>
          <rPr>
            <sz val="9"/>
            <color indexed="81"/>
            <rFont val="Tahoma"/>
            <family val="2"/>
          </rPr>
          <t xml:space="preserve">
See Standard Offer Assumptions 2023-10-23</t>
        </r>
      </text>
    </comment>
    <comment ref="S983" authorId="0" shapeId="0" xr:uid="{4EEB0AA2-0D44-44FB-BAD2-B05F86160808}">
      <text>
        <r>
          <rPr>
            <b/>
            <sz val="9"/>
            <color indexed="81"/>
            <rFont val="Tahoma"/>
            <family val="2"/>
          </rPr>
          <t>Potter, Daniel:</t>
        </r>
        <r>
          <rPr>
            <sz val="9"/>
            <color indexed="81"/>
            <rFont val="Tahoma"/>
            <family val="2"/>
          </rPr>
          <t xml:space="preserve">
See Standard Offer Assumptions 2023-10-23</t>
        </r>
      </text>
    </comment>
    <comment ref="T983" authorId="0" shapeId="0" xr:uid="{B91E09AF-7229-4EFB-9EDE-AC0A5E13FA82}">
      <text>
        <r>
          <rPr>
            <b/>
            <sz val="9"/>
            <color indexed="81"/>
            <rFont val="Tahoma"/>
            <family val="2"/>
          </rPr>
          <t>Potter, Daniel:</t>
        </r>
        <r>
          <rPr>
            <sz val="9"/>
            <color indexed="81"/>
            <rFont val="Tahoma"/>
            <family val="2"/>
          </rPr>
          <t xml:space="preserve">
See Standard Offer Assumptions 2023-10-23</t>
        </r>
      </text>
    </comment>
    <comment ref="U983" authorId="0" shapeId="0" xr:uid="{1DF9972F-3028-433A-A664-0E1F1827D58C}">
      <text>
        <r>
          <rPr>
            <b/>
            <sz val="9"/>
            <color indexed="81"/>
            <rFont val="Tahoma"/>
            <family val="2"/>
          </rPr>
          <t>Potter, Daniel:</t>
        </r>
        <r>
          <rPr>
            <sz val="9"/>
            <color indexed="81"/>
            <rFont val="Tahoma"/>
            <family val="2"/>
          </rPr>
          <t xml:space="preserve">
See Standard Offer Assumptions 2023-10-23</t>
        </r>
      </text>
    </comment>
    <comment ref="V983" authorId="0" shapeId="0" xr:uid="{757A0DDF-8421-4840-B315-07B283963E21}">
      <text>
        <r>
          <rPr>
            <b/>
            <sz val="9"/>
            <color indexed="81"/>
            <rFont val="Tahoma"/>
            <family val="2"/>
          </rPr>
          <t>Potter, Daniel:</t>
        </r>
        <r>
          <rPr>
            <sz val="9"/>
            <color indexed="81"/>
            <rFont val="Tahoma"/>
            <family val="2"/>
          </rPr>
          <t xml:space="preserve">
See Standard Offer Assumptions 2023-10-23</t>
        </r>
      </text>
    </comment>
    <comment ref="W983" authorId="0" shapeId="0" xr:uid="{44D633F4-128E-4648-A807-389560B07407}">
      <text>
        <r>
          <rPr>
            <b/>
            <sz val="9"/>
            <color indexed="81"/>
            <rFont val="Tahoma"/>
            <family val="2"/>
          </rPr>
          <t>Potter, Daniel:</t>
        </r>
        <r>
          <rPr>
            <sz val="9"/>
            <color indexed="81"/>
            <rFont val="Tahoma"/>
            <family val="2"/>
          </rPr>
          <t xml:space="preserve">
See Standard Offer Assumptions 2023-10-23</t>
        </r>
      </text>
    </comment>
    <comment ref="X983" authorId="0" shapeId="0" xr:uid="{17E9AD52-6E44-4D81-BF5E-1FCD39E6B14A}">
      <text>
        <r>
          <rPr>
            <b/>
            <sz val="9"/>
            <color indexed="81"/>
            <rFont val="Tahoma"/>
            <family val="2"/>
          </rPr>
          <t>Potter, Daniel:</t>
        </r>
        <r>
          <rPr>
            <sz val="9"/>
            <color indexed="81"/>
            <rFont val="Tahoma"/>
            <family val="2"/>
          </rPr>
          <t xml:space="preserve">
See Standard Offer Assumptions 2023-10-23</t>
        </r>
      </text>
    </comment>
    <comment ref="Y983" authorId="0" shapeId="0" xr:uid="{1AEA5545-52DD-4CAA-B489-3ED71FA81901}">
      <text>
        <r>
          <rPr>
            <b/>
            <sz val="9"/>
            <color indexed="81"/>
            <rFont val="Tahoma"/>
            <family val="2"/>
          </rPr>
          <t>Potter, Daniel:</t>
        </r>
        <r>
          <rPr>
            <sz val="9"/>
            <color indexed="81"/>
            <rFont val="Tahoma"/>
            <family val="2"/>
          </rPr>
          <t xml:space="preserve">
See Standard Offer Assumptions 2023-10-23</t>
        </r>
      </text>
    </comment>
    <comment ref="Z983" authorId="0" shapeId="0" xr:uid="{F1DEF1FC-26D4-45E8-9260-8B98A5115DED}">
      <text>
        <r>
          <rPr>
            <b/>
            <sz val="9"/>
            <color indexed="81"/>
            <rFont val="Tahoma"/>
            <family val="2"/>
          </rPr>
          <t>Potter, Daniel:</t>
        </r>
        <r>
          <rPr>
            <sz val="9"/>
            <color indexed="81"/>
            <rFont val="Tahoma"/>
            <family val="2"/>
          </rPr>
          <t xml:space="preserve">
See Standard Offer Assumptions 2023-10-23</t>
        </r>
      </text>
    </comment>
    <comment ref="C1011" authorId="4" shapeId="0" xr:uid="{00000000-0006-0000-0500-0000F43B0000}">
      <text>
        <r>
          <rPr>
            <b/>
            <sz val="9"/>
            <color indexed="81"/>
            <rFont val="Tahoma"/>
            <family val="2"/>
          </rPr>
          <t>Kieny, Craig:</t>
        </r>
        <r>
          <rPr>
            <sz val="9"/>
            <color indexed="81"/>
            <rFont val="Tahoma"/>
            <family val="2"/>
          </rPr>
          <t xml:space="preserve">
Deal executed on April 16, 2020.  10K REC for 2023 at $30.00 and 2024 at $27.00.</t>
        </r>
      </text>
    </comment>
    <comment ref="D1011" authorId="4" shapeId="0" xr:uid="{00000000-0006-0000-0500-0000F53B0000}">
      <text>
        <r>
          <rPr>
            <b/>
            <sz val="9"/>
            <color indexed="81"/>
            <rFont val="Tahoma"/>
            <family val="2"/>
          </rPr>
          <t>Kieny, Craig:</t>
        </r>
        <r>
          <rPr>
            <sz val="9"/>
            <color indexed="81"/>
            <rFont val="Tahoma"/>
            <family val="2"/>
          </rPr>
          <t xml:space="preserve">
Deal executed on April 16, 2020.  10K REC for 2023 at $30.00 and 2024 at $27.00.</t>
        </r>
      </text>
    </comment>
    <comment ref="E1011" authorId="4" shapeId="0" xr:uid="{00000000-0006-0000-0500-0000F63B0000}">
      <text>
        <r>
          <rPr>
            <b/>
            <sz val="9"/>
            <color indexed="81"/>
            <rFont val="Tahoma"/>
            <family val="2"/>
          </rPr>
          <t>Kieny, Craig:</t>
        </r>
        <r>
          <rPr>
            <sz val="9"/>
            <color indexed="81"/>
            <rFont val="Tahoma"/>
            <family val="2"/>
          </rPr>
          <t xml:space="preserve">
Deal executed on April 16, 2020.  10K REC for 2023 at $30.00 and 2024 at $27.00.</t>
        </r>
      </text>
    </comment>
    <comment ref="F1011" authorId="4" shapeId="0" xr:uid="{00000000-0006-0000-0500-0000F73B0000}">
      <text>
        <r>
          <rPr>
            <b/>
            <sz val="9"/>
            <color indexed="81"/>
            <rFont val="Tahoma"/>
            <family val="2"/>
          </rPr>
          <t>Kieny, Craig:</t>
        </r>
        <r>
          <rPr>
            <sz val="9"/>
            <color indexed="81"/>
            <rFont val="Tahoma"/>
            <family val="2"/>
          </rPr>
          <t xml:space="preserve">
Deal executed on April 16, 2020.  10K REC for 2023 at $30.00 and 2024 at $27.00.</t>
        </r>
      </text>
    </comment>
    <comment ref="G1011" authorId="4" shapeId="0" xr:uid="{00000000-0006-0000-0500-0000F83B0000}">
      <text>
        <r>
          <rPr>
            <b/>
            <sz val="9"/>
            <color indexed="81"/>
            <rFont val="Tahoma"/>
            <family val="2"/>
          </rPr>
          <t>Kieny, Craig:</t>
        </r>
        <r>
          <rPr>
            <sz val="9"/>
            <color indexed="81"/>
            <rFont val="Tahoma"/>
            <family val="2"/>
          </rPr>
          <t xml:space="preserve">
Deal executed on April 16, 2020.  10K REC for 2023 at $30.00 and 2024 at $27.00.</t>
        </r>
      </text>
    </comment>
    <comment ref="H1011" authorId="4" shapeId="0" xr:uid="{00000000-0006-0000-0500-0000F93B0000}">
      <text>
        <r>
          <rPr>
            <b/>
            <sz val="9"/>
            <color indexed="81"/>
            <rFont val="Tahoma"/>
            <family val="2"/>
          </rPr>
          <t>Kieny, Craig:</t>
        </r>
        <r>
          <rPr>
            <sz val="9"/>
            <color indexed="81"/>
            <rFont val="Tahoma"/>
            <family val="2"/>
          </rPr>
          <t xml:space="preserve">
Deal executed on April 16, 2020.  10K REC for 2023 at $30.00 and 2024 at $27.00.</t>
        </r>
      </text>
    </comment>
    <comment ref="I1011" authorId="4" shapeId="0" xr:uid="{00000000-0006-0000-0500-0000FA3B0000}">
      <text>
        <r>
          <rPr>
            <b/>
            <sz val="9"/>
            <color indexed="81"/>
            <rFont val="Tahoma"/>
            <family val="2"/>
          </rPr>
          <t>Kieny, Craig:</t>
        </r>
        <r>
          <rPr>
            <sz val="9"/>
            <color indexed="81"/>
            <rFont val="Tahoma"/>
            <family val="2"/>
          </rPr>
          <t xml:space="preserve">
Deal executed on April 16, 2020.  10K REC for 2023 at $30.00 and 2024 at $27.00.</t>
        </r>
      </text>
    </comment>
    <comment ref="J1011" authorId="4" shapeId="0" xr:uid="{00000000-0006-0000-0500-0000FB3B0000}">
      <text>
        <r>
          <rPr>
            <b/>
            <sz val="9"/>
            <color indexed="81"/>
            <rFont val="Tahoma"/>
            <family val="2"/>
          </rPr>
          <t>Kieny, Craig:</t>
        </r>
        <r>
          <rPr>
            <sz val="9"/>
            <color indexed="81"/>
            <rFont val="Tahoma"/>
            <family val="2"/>
          </rPr>
          <t xml:space="preserve">
Deal executed on April 16, 2020.  10K REC for 2023 at $30.00 and 2024 at $27.00.</t>
        </r>
      </text>
    </comment>
    <comment ref="K1011" authorId="4" shapeId="0" xr:uid="{00000000-0006-0000-0500-0000FC3B0000}">
      <text>
        <r>
          <rPr>
            <b/>
            <sz val="9"/>
            <color indexed="81"/>
            <rFont val="Tahoma"/>
            <family val="2"/>
          </rPr>
          <t>Kieny, Craig:</t>
        </r>
        <r>
          <rPr>
            <sz val="9"/>
            <color indexed="81"/>
            <rFont val="Tahoma"/>
            <family val="2"/>
          </rPr>
          <t xml:space="preserve">
Deal executed on April 16, 2020.  10K REC for 2023 at $30.00 and 2024 at $27.00.</t>
        </r>
      </text>
    </comment>
    <comment ref="L1011" authorId="4" shapeId="0" xr:uid="{00000000-0006-0000-0500-0000FD3B0000}">
      <text>
        <r>
          <rPr>
            <b/>
            <sz val="9"/>
            <color indexed="81"/>
            <rFont val="Tahoma"/>
            <family val="2"/>
          </rPr>
          <t>Kieny, Craig:</t>
        </r>
        <r>
          <rPr>
            <sz val="9"/>
            <color indexed="81"/>
            <rFont val="Tahoma"/>
            <family val="2"/>
          </rPr>
          <t xml:space="preserve">
Deal executed on April 16, 2020.  10K REC for 2023 at $30.00 and 2024 at $27.00.</t>
        </r>
      </text>
    </comment>
    <comment ref="M1011" authorId="4" shapeId="0" xr:uid="{00000000-0006-0000-0500-0000FE3B0000}">
      <text>
        <r>
          <rPr>
            <b/>
            <sz val="9"/>
            <color indexed="81"/>
            <rFont val="Tahoma"/>
            <family val="2"/>
          </rPr>
          <t>Kieny, Craig:</t>
        </r>
        <r>
          <rPr>
            <sz val="9"/>
            <color indexed="81"/>
            <rFont val="Tahoma"/>
            <family val="2"/>
          </rPr>
          <t xml:space="preserve">
Deal executed on April 16, 2020.  10K REC for 2023 at $30.00 and 2024 at $27.00.</t>
        </r>
      </text>
    </comment>
    <comment ref="N1011" authorId="4" shapeId="0" xr:uid="{00000000-0006-0000-0500-0000FF3B0000}">
      <text>
        <r>
          <rPr>
            <b/>
            <sz val="9"/>
            <color indexed="81"/>
            <rFont val="Tahoma"/>
            <family val="2"/>
          </rPr>
          <t>Kieny, Craig:</t>
        </r>
        <r>
          <rPr>
            <sz val="9"/>
            <color indexed="81"/>
            <rFont val="Tahoma"/>
            <family val="2"/>
          </rPr>
          <t xml:space="preserve">
Deal executed on April 16, 2020.  10K REC for 2023 at $30.00 and 2024 at $27.00.</t>
        </r>
      </text>
    </comment>
    <comment ref="C1027" authorId="4" shapeId="0" xr:uid="{00000000-0006-0000-0500-0000C03C0000}">
      <text>
        <r>
          <rPr>
            <b/>
            <sz val="9"/>
            <color indexed="81"/>
            <rFont val="Tahoma"/>
            <family val="2"/>
          </rPr>
          <t>Kieny, Craig:</t>
        </r>
        <r>
          <rPr>
            <sz val="9"/>
            <color indexed="81"/>
            <rFont val="Tahoma"/>
            <family val="2"/>
          </rPr>
          <t xml:space="preserve">
Sale through GT environmental on 2020-04-14.</t>
        </r>
      </text>
    </comment>
    <comment ref="D1027" authorId="4" shapeId="0" xr:uid="{00000000-0006-0000-0500-0000C13C0000}">
      <text>
        <r>
          <rPr>
            <b/>
            <sz val="9"/>
            <color indexed="81"/>
            <rFont val="Tahoma"/>
            <family val="2"/>
          </rPr>
          <t>Kieny, Craig:</t>
        </r>
        <r>
          <rPr>
            <sz val="9"/>
            <color indexed="81"/>
            <rFont val="Tahoma"/>
            <family val="2"/>
          </rPr>
          <t xml:space="preserve">
Sale through GT environmental on 2020-04-14.</t>
        </r>
      </text>
    </comment>
    <comment ref="E1027" authorId="4" shapeId="0" xr:uid="{00000000-0006-0000-0500-0000C23C0000}">
      <text>
        <r>
          <rPr>
            <b/>
            <sz val="9"/>
            <color indexed="81"/>
            <rFont val="Tahoma"/>
            <family val="2"/>
          </rPr>
          <t>Kieny, Craig:</t>
        </r>
        <r>
          <rPr>
            <sz val="9"/>
            <color indexed="81"/>
            <rFont val="Tahoma"/>
            <family val="2"/>
          </rPr>
          <t xml:space="preserve">
Sale through GT environmental on 2020-04-14.</t>
        </r>
      </text>
    </comment>
    <comment ref="F1027" authorId="4" shapeId="0" xr:uid="{00000000-0006-0000-0500-0000C33C0000}">
      <text>
        <r>
          <rPr>
            <b/>
            <sz val="9"/>
            <color indexed="81"/>
            <rFont val="Tahoma"/>
            <family val="2"/>
          </rPr>
          <t>Kieny, Craig:</t>
        </r>
        <r>
          <rPr>
            <sz val="9"/>
            <color indexed="81"/>
            <rFont val="Tahoma"/>
            <family val="2"/>
          </rPr>
          <t xml:space="preserve">
Sale through GT environmental on 2020-04-14.</t>
        </r>
      </text>
    </comment>
    <comment ref="G1027" authorId="4" shapeId="0" xr:uid="{00000000-0006-0000-0500-0000C43C0000}">
      <text>
        <r>
          <rPr>
            <b/>
            <sz val="9"/>
            <color indexed="81"/>
            <rFont val="Tahoma"/>
            <family val="2"/>
          </rPr>
          <t>Kieny, Craig:</t>
        </r>
        <r>
          <rPr>
            <sz val="9"/>
            <color indexed="81"/>
            <rFont val="Tahoma"/>
            <family val="2"/>
          </rPr>
          <t xml:space="preserve">
Sale through GT environmental on 2020-04-14.</t>
        </r>
      </text>
    </comment>
    <comment ref="H1027" authorId="4" shapeId="0" xr:uid="{00000000-0006-0000-0500-0000C53C0000}">
      <text>
        <r>
          <rPr>
            <b/>
            <sz val="9"/>
            <color indexed="81"/>
            <rFont val="Tahoma"/>
            <family val="2"/>
          </rPr>
          <t>Kieny, Craig:</t>
        </r>
        <r>
          <rPr>
            <sz val="9"/>
            <color indexed="81"/>
            <rFont val="Tahoma"/>
            <family val="2"/>
          </rPr>
          <t xml:space="preserve">
Sale through GT environmental on 2020-04-14.</t>
        </r>
      </text>
    </comment>
    <comment ref="I1027" authorId="4" shapeId="0" xr:uid="{00000000-0006-0000-0500-0000C63C0000}">
      <text>
        <r>
          <rPr>
            <b/>
            <sz val="9"/>
            <color indexed="81"/>
            <rFont val="Tahoma"/>
            <family val="2"/>
          </rPr>
          <t>Kieny, Craig:</t>
        </r>
        <r>
          <rPr>
            <sz val="9"/>
            <color indexed="81"/>
            <rFont val="Tahoma"/>
            <family val="2"/>
          </rPr>
          <t xml:space="preserve">
Sale through GT environmental on 2020-04-14.</t>
        </r>
      </text>
    </comment>
    <comment ref="J1027" authorId="4" shapeId="0" xr:uid="{00000000-0006-0000-0500-0000C73C0000}">
      <text>
        <r>
          <rPr>
            <b/>
            <sz val="9"/>
            <color indexed="81"/>
            <rFont val="Tahoma"/>
            <family val="2"/>
          </rPr>
          <t>Kieny, Craig:</t>
        </r>
        <r>
          <rPr>
            <sz val="9"/>
            <color indexed="81"/>
            <rFont val="Tahoma"/>
            <family val="2"/>
          </rPr>
          <t xml:space="preserve">
Sale through GT environmental on 2020-04-14.</t>
        </r>
      </text>
    </comment>
    <comment ref="K1027" authorId="4" shapeId="0" xr:uid="{00000000-0006-0000-0500-0000C83C0000}">
      <text>
        <r>
          <rPr>
            <b/>
            <sz val="9"/>
            <color indexed="81"/>
            <rFont val="Tahoma"/>
            <family val="2"/>
          </rPr>
          <t>Kieny, Craig:</t>
        </r>
        <r>
          <rPr>
            <sz val="9"/>
            <color indexed="81"/>
            <rFont val="Tahoma"/>
            <family val="2"/>
          </rPr>
          <t xml:space="preserve">
Sale through GT environmental on 2020-04-14.</t>
        </r>
      </text>
    </comment>
    <comment ref="L1027" authorId="4" shapeId="0" xr:uid="{00000000-0006-0000-0500-0000C93C0000}">
      <text>
        <r>
          <rPr>
            <b/>
            <sz val="9"/>
            <color indexed="81"/>
            <rFont val="Tahoma"/>
            <family val="2"/>
          </rPr>
          <t>Kieny, Craig:</t>
        </r>
        <r>
          <rPr>
            <sz val="9"/>
            <color indexed="81"/>
            <rFont val="Tahoma"/>
            <family val="2"/>
          </rPr>
          <t xml:space="preserve">
Sale through GT environmental on 2020-04-14.</t>
        </r>
      </text>
    </comment>
    <comment ref="M1027" authorId="4" shapeId="0" xr:uid="{00000000-0006-0000-0500-0000CA3C0000}">
      <text>
        <r>
          <rPr>
            <b/>
            <sz val="9"/>
            <color indexed="81"/>
            <rFont val="Tahoma"/>
            <family val="2"/>
          </rPr>
          <t>Kieny, Craig:</t>
        </r>
        <r>
          <rPr>
            <sz val="9"/>
            <color indexed="81"/>
            <rFont val="Tahoma"/>
            <family val="2"/>
          </rPr>
          <t xml:space="preserve">
Sale through GT environmental on 2020-04-14.</t>
        </r>
      </text>
    </comment>
    <comment ref="N1027" authorId="4" shapeId="0" xr:uid="{00000000-0006-0000-0500-0000CB3C0000}">
      <text>
        <r>
          <rPr>
            <b/>
            <sz val="9"/>
            <color indexed="81"/>
            <rFont val="Tahoma"/>
            <family val="2"/>
          </rPr>
          <t>Kieny, Craig:</t>
        </r>
        <r>
          <rPr>
            <sz val="9"/>
            <color indexed="81"/>
            <rFont val="Tahoma"/>
            <family val="2"/>
          </rPr>
          <t xml:space="preserve">
Sale through GT environmental on 2020-04-14.</t>
        </r>
      </text>
    </comment>
    <comment ref="C1028" authorId="0" shapeId="0" xr:uid="{A39861F7-304E-46AE-A7B5-F8372BAA8C8F}">
      <text>
        <r>
          <rPr>
            <b/>
            <sz val="9"/>
            <color indexed="81"/>
            <rFont val="Tahoma"/>
            <family val="2"/>
          </rPr>
          <t>Potter, Daniel:</t>
        </r>
        <r>
          <rPr>
            <sz val="9"/>
            <color indexed="81"/>
            <rFont val="Tahoma"/>
            <family val="2"/>
          </rPr>
          <t xml:space="preserve">
Vitol, MA I 10/14/20 @32/REC</t>
        </r>
      </text>
    </comment>
    <comment ref="D1028" authorId="0" shapeId="0" xr:uid="{BC741C6D-BB3B-4266-8F21-68C85789282B}">
      <text>
        <r>
          <rPr>
            <b/>
            <sz val="9"/>
            <color indexed="81"/>
            <rFont val="Tahoma"/>
            <family val="2"/>
          </rPr>
          <t>Potter, Daniel:</t>
        </r>
        <r>
          <rPr>
            <sz val="9"/>
            <color indexed="81"/>
            <rFont val="Tahoma"/>
            <family val="2"/>
          </rPr>
          <t xml:space="preserve">
Vitol, MA I 10/14/20 @32/REC</t>
        </r>
      </text>
    </comment>
    <comment ref="E1028" authorId="0" shapeId="0" xr:uid="{A0698362-A272-48AE-AF4C-D45BD2DE022A}">
      <text>
        <r>
          <rPr>
            <b/>
            <sz val="9"/>
            <color indexed="81"/>
            <rFont val="Tahoma"/>
            <family val="2"/>
          </rPr>
          <t>Potter, Daniel:</t>
        </r>
        <r>
          <rPr>
            <sz val="9"/>
            <color indexed="81"/>
            <rFont val="Tahoma"/>
            <family val="2"/>
          </rPr>
          <t xml:space="preserve">
Vitol, MA I 10/14/20 @32/REC</t>
        </r>
      </text>
    </comment>
    <comment ref="F1028" authorId="0" shapeId="0" xr:uid="{EDDDDF30-190F-4574-A661-ACE3248EDE5E}">
      <text>
        <r>
          <rPr>
            <b/>
            <sz val="9"/>
            <color indexed="81"/>
            <rFont val="Tahoma"/>
            <family val="2"/>
          </rPr>
          <t>Potter, Daniel:</t>
        </r>
        <r>
          <rPr>
            <sz val="9"/>
            <color indexed="81"/>
            <rFont val="Tahoma"/>
            <family val="2"/>
          </rPr>
          <t xml:space="preserve">
Vitol, MA I 10/14/20 @32/REC</t>
        </r>
      </text>
    </comment>
    <comment ref="G1028" authorId="0" shapeId="0" xr:uid="{A57812A3-6957-419E-95B3-46B03A1966EA}">
      <text>
        <r>
          <rPr>
            <b/>
            <sz val="9"/>
            <color indexed="81"/>
            <rFont val="Tahoma"/>
            <family val="2"/>
          </rPr>
          <t>Potter, Daniel:</t>
        </r>
        <r>
          <rPr>
            <sz val="9"/>
            <color indexed="81"/>
            <rFont val="Tahoma"/>
            <family val="2"/>
          </rPr>
          <t xml:space="preserve">
Vitol, MA I 10/14/20 @32/REC</t>
        </r>
      </text>
    </comment>
    <comment ref="H1028" authorId="0" shapeId="0" xr:uid="{4BC8A3F3-94B4-482B-9768-901105438C3C}">
      <text>
        <r>
          <rPr>
            <b/>
            <sz val="9"/>
            <color indexed="81"/>
            <rFont val="Tahoma"/>
            <family val="2"/>
          </rPr>
          <t>Potter, Daniel:</t>
        </r>
        <r>
          <rPr>
            <sz val="9"/>
            <color indexed="81"/>
            <rFont val="Tahoma"/>
            <family val="2"/>
          </rPr>
          <t xml:space="preserve">
Vitol, MA I 10/14/20 @32/REC</t>
        </r>
      </text>
    </comment>
    <comment ref="I1028" authorId="0" shapeId="0" xr:uid="{53BEF81F-6B6E-4287-8A90-BB53BD423D89}">
      <text>
        <r>
          <rPr>
            <b/>
            <sz val="9"/>
            <color indexed="81"/>
            <rFont val="Tahoma"/>
            <family val="2"/>
          </rPr>
          <t>Potter, Daniel:</t>
        </r>
        <r>
          <rPr>
            <sz val="9"/>
            <color indexed="81"/>
            <rFont val="Tahoma"/>
            <family val="2"/>
          </rPr>
          <t xml:space="preserve">
Vitol, MA I 10/14/20 @32/REC</t>
        </r>
      </text>
    </comment>
    <comment ref="J1028" authorId="0" shapeId="0" xr:uid="{AFAA46E0-4D78-472A-98A8-2B727CC768CD}">
      <text>
        <r>
          <rPr>
            <b/>
            <sz val="9"/>
            <color indexed="81"/>
            <rFont val="Tahoma"/>
            <family val="2"/>
          </rPr>
          <t>Potter, Daniel:</t>
        </r>
        <r>
          <rPr>
            <sz val="9"/>
            <color indexed="81"/>
            <rFont val="Tahoma"/>
            <family val="2"/>
          </rPr>
          <t xml:space="preserve">
Vitol, MA I 10/14/20 @32/REC</t>
        </r>
      </text>
    </comment>
    <comment ref="K1028" authorId="0" shapeId="0" xr:uid="{7F24BDF2-6D44-42DF-805C-2D6F3E730D71}">
      <text>
        <r>
          <rPr>
            <b/>
            <sz val="9"/>
            <color indexed="81"/>
            <rFont val="Tahoma"/>
            <family val="2"/>
          </rPr>
          <t>Potter, Daniel:</t>
        </r>
        <r>
          <rPr>
            <sz val="9"/>
            <color indexed="81"/>
            <rFont val="Tahoma"/>
            <family val="2"/>
          </rPr>
          <t xml:space="preserve">
Vitol, MA I 10/14/20 @32/REC</t>
        </r>
      </text>
    </comment>
    <comment ref="L1028" authorId="0" shapeId="0" xr:uid="{EA530676-ACA1-48E9-AB3A-A4FE192EFF06}">
      <text>
        <r>
          <rPr>
            <b/>
            <sz val="9"/>
            <color indexed="81"/>
            <rFont val="Tahoma"/>
            <family val="2"/>
          </rPr>
          <t>Potter, Daniel:</t>
        </r>
        <r>
          <rPr>
            <sz val="9"/>
            <color indexed="81"/>
            <rFont val="Tahoma"/>
            <family val="2"/>
          </rPr>
          <t xml:space="preserve">
Vitol, MA I 10/14/20 @32/REC</t>
        </r>
      </text>
    </comment>
    <comment ref="M1028" authorId="0" shapeId="0" xr:uid="{8F9CE8C9-8871-4115-8BEF-790DB3F94B33}">
      <text>
        <r>
          <rPr>
            <b/>
            <sz val="9"/>
            <color indexed="81"/>
            <rFont val="Tahoma"/>
            <family val="2"/>
          </rPr>
          <t>Potter, Daniel:</t>
        </r>
        <r>
          <rPr>
            <sz val="9"/>
            <color indexed="81"/>
            <rFont val="Tahoma"/>
            <family val="2"/>
          </rPr>
          <t xml:space="preserve">
Vitol, MA I 10/14/20 @32/REC</t>
        </r>
      </text>
    </comment>
    <comment ref="N1028" authorId="0" shapeId="0" xr:uid="{65D12AAC-C004-4FA0-B204-5EB031FD96F6}">
      <text>
        <r>
          <rPr>
            <b/>
            <sz val="9"/>
            <color indexed="81"/>
            <rFont val="Tahoma"/>
            <family val="2"/>
          </rPr>
          <t>Potter, Daniel:</t>
        </r>
        <r>
          <rPr>
            <sz val="9"/>
            <color indexed="81"/>
            <rFont val="Tahoma"/>
            <family val="2"/>
          </rPr>
          <t xml:space="preserve">
Vitol, MA I 10/14/20 @32/REC</t>
        </r>
      </text>
    </comment>
    <comment ref="C1029" authorId="0" shapeId="0" xr:uid="{BC0CB7EB-3F2D-4CF3-87E0-7F6431354CEC}">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D1029" authorId="0" shapeId="0" xr:uid="{5F9BD3DE-E134-4067-92B1-BF03F8C6AE74}">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E1029" authorId="0" shapeId="0" xr:uid="{AC08B42F-0280-4C75-8220-995B97CC77C9}">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F1029" authorId="0" shapeId="0" xr:uid="{C9B02BA4-B998-4659-9F99-C9E81CCAA34C}">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G1029" authorId="0" shapeId="0" xr:uid="{D55BF8CD-3845-4A92-9389-C0D6C85AE6FB}">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H1029" authorId="0" shapeId="0" xr:uid="{FD6D6FF7-C61E-4AB5-8BF0-9CFFC25D771E}">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I1029" authorId="0" shapeId="0" xr:uid="{34FED866-8792-4E63-9C26-F195B2198559}">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J1029" authorId="0" shapeId="0" xr:uid="{AEDC332C-E816-4DCA-8782-6FFABA6B08CF}">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K1029" authorId="0" shapeId="0" xr:uid="{55B3A807-399C-42A7-885C-94FF65901F94}">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L1029" authorId="0" shapeId="0" xr:uid="{7946DCD5-9295-4392-A258-1B73BD36F3DD}">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M1029" authorId="0" shapeId="0" xr:uid="{B1ABF9BC-1CDB-4428-BFD1-9B4B292607AC}">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N1029" authorId="0" shapeId="0" xr:uid="{EF1949D1-9E78-44CA-A81E-5DB175EB6A16}">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O1029" authorId="0" shapeId="0" xr:uid="{ECFD5ECE-4B5B-4D6A-ADAA-1957D666CE22}">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P1029" authorId="0" shapeId="0" xr:uid="{2E935471-64C1-4F7D-9216-377E8F43460E}">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Q1029" authorId="0" shapeId="0" xr:uid="{2301422B-8797-4396-B953-E23910473CAD}">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R1029" authorId="0" shapeId="0" xr:uid="{6EB5AD67-C485-414D-806F-66AB2BB91925}">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S1029" authorId="0" shapeId="0" xr:uid="{3D8C6E31-56D5-4AC0-A207-59051996A9EF}">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T1029" authorId="0" shapeId="0" xr:uid="{8425E6AF-4A3C-40CF-A030-04B2269D9731}">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U1029" authorId="0" shapeId="0" xr:uid="{B18897FB-524C-42D8-AA9B-8BDEE601589A}">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V1029" authorId="0" shapeId="0" xr:uid="{274D414C-B030-44B1-BFFE-C7CB86D86185}">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W1029" authorId="0" shapeId="0" xr:uid="{BF4F74D8-0DFD-4E16-9013-1587469C544D}">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X1029" authorId="0" shapeId="0" xr:uid="{13A0548E-4EB8-4419-BB2E-6FA52C596B77}">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Y1029" authorId="0" shapeId="0" xr:uid="{5411A804-DB5E-487B-BEA8-D7D26B9083EA}">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Z1029" authorId="0" shapeId="0" xr:uid="{8DC37CB1-7EEC-4CA6-9F9B-864DF848CD63}">
      <text>
        <r>
          <rPr>
            <b/>
            <sz val="9"/>
            <color indexed="81"/>
            <rFont val="Tahoma"/>
            <family val="2"/>
          </rPr>
          <t>Potter, Daniel:</t>
        </r>
        <r>
          <rPr>
            <sz val="9"/>
            <color indexed="81"/>
            <rFont val="Tahoma"/>
            <family val="2"/>
          </rPr>
          <t xml:space="preserve">
Sale through GT Environmental. 6/8/2023.  Constellation 20K per year.  MA Class 1.  $38.20/REC. </t>
        </r>
      </text>
    </comment>
    <comment ref="A1085" authorId="0" shapeId="0" xr:uid="{4612DC29-F8DC-47D7-BBE0-B79423C5A7FD}">
      <text>
        <r>
          <rPr>
            <b/>
            <sz val="9"/>
            <color indexed="81"/>
            <rFont val="Tahoma"/>
            <family val="2"/>
          </rPr>
          <t>Potter, Daniel:</t>
        </r>
        <r>
          <rPr>
            <sz val="9"/>
            <color indexed="81"/>
            <rFont val="Tahoma"/>
            <family val="2"/>
          </rPr>
          <t xml:space="preserve">
Only included in forumlas until Dec of 2030.  As VEC has committed to go 100% RE in 2030.</t>
        </r>
      </text>
    </comment>
    <comment ref="A1103" authorId="0" shapeId="0" xr:uid="{7846B882-445F-4EAD-8217-646D9DDABD52}">
      <text>
        <r>
          <rPr>
            <b/>
            <sz val="9"/>
            <color indexed="81"/>
            <rFont val="Tahoma"/>
            <family val="2"/>
          </rPr>
          <t>Potter, Daniel:</t>
        </r>
        <r>
          <rPr>
            <sz val="9"/>
            <color indexed="81"/>
            <rFont val="Tahoma"/>
            <family val="2"/>
          </rPr>
          <t xml:space="preserve">
Only included in forumlas until Dec of 2030.  As VEC has committed to go 100% RE in 2030.</t>
        </r>
      </text>
    </comment>
  </commentList>
</comments>
</file>

<file path=xl/sharedStrings.xml><?xml version="1.0" encoding="utf-8"?>
<sst xmlns="http://schemas.openxmlformats.org/spreadsheetml/2006/main" count="996" uniqueCount="657">
  <si>
    <t>Purchase Power</t>
  </si>
  <si>
    <t>Demand</t>
  </si>
  <si>
    <t>Energy</t>
  </si>
  <si>
    <t>Hydro Quebec ASE</t>
  </si>
  <si>
    <t>ICAP</t>
  </si>
  <si>
    <t>Miscellaneous</t>
  </si>
  <si>
    <t>VEPPI</t>
  </si>
  <si>
    <t>Total Purchase Power at PTF</t>
  </si>
  <si>
    <t>Total</t>
  </si>
  <si>
    <t>Contract MWHs</t>
  </si>
  <si>
    <t>Energy $</t>
  </si>
  <si>
    <t>HQ C-1 Firm</t>
  </si>
  <si>
    <t>Cap (kw)</t>
  </si>
  <si>
    <t>$/MWH</t>
  </si>
  <si>
    <t>Load Assumptions</t>
  </si>
  <si>
    <t>ATY Energy $</t>
  </si>
  <si>
    <t>ATY Capacity $</t>
  </si>
  <si>
    <t>HQ C-2 Firm</t>
  </si>
  <si>
    <t>Generation Data</t>
  </si>
  <si>
    <t>HQ C-3 Firm</t>
  </si>
  <si>
    <t>NYPA</t>
  </si>
  <si>
    <t>HQ C-4 Firm</t>
  </si>
  <si>
    <t>HQ B Firm</t>
  </si>
  <si>
    <t>MWH</t>
  </si>
  <si>
    <t>$</t>
  </si>
  <si>
    <t>Balancing MWHs - On-Peak</t>
  </si>
  <si>
    <t>Balancing MWHs - Off Peak</t>
  </si>
  <si>
    <t>Total MWHs</t>
  </si>
  <si>
    <t>NYPA Wholesale</t>
  </si>
  <si>
    <t>VEPPI Assumptions</t>
  </si>
  <si>
    <t>MWHs</t>
  </si>
  <si>
    <t>$ based on contract rates and MWH projections</t>
  </si>
  <si>
    <t>ASE</t>
  </si>
  <si>
    <t>On-Peak Price</t>
  </si>
  <si>
    <t>Off-Peak price</t>
  </si>
  <si>
    <t>On-Peak $</t>
  </si>
  <si>
    <t>Off-Peak $</t>
  </si>
  <si>
    <t>Total $</t>
  </si>
  <si>
    <t>Jan</t>
  </si>
  <si>
    <t>Feb</t>
  </si>
  <si>
    <t>Mar</t>
  </si>
  <si>
    <t>Apr</t>
  </si>
  <si>
    <t>May</t>
  </si>
  <si>
    <t>Jun</t>
  </si>
  <si>
    <t>Jul</t>
  </si>
  <si>
    <t>Aug</t>
  </si>
  <si>
    <t>Sep</t>
  </si>
  <si>
    <t>Oct</t>
  </si>
  <si>
    <t>Nov</t>
  </si>
  <si>
    <t>Dec</t>
  </si>
  <si>
    <t>Miscellaneous Costs</t>
  </si>
  <si>
    <t>Hours in Month</t>
  </si>
  <si>
    <t>Budget Year Load at PTF</t>
  </si>
  <si>
    <t>On-Peak %</t>
  </si>
  <si>
    <t>Off Peak %</t>
  </si>
  <si>
    <t>Off-Peak</t>
  </si>
  <si>
    <t>Early AM</t>
  </si>
  <si>
    <t>ARR</t>
  </si>
  <si>
    <t>FTR</t>
  </si>
  <si>
    <t>Losses</t>
  </si>
  <si>
    <t>Congestion</t>
  </si>
  <si>
    <t>Total Congestion Charge</t>
  </si>
  <si>
    <t>Total Losses Charge</t>
  </si>
  <si>
    <t>CONGESTION to Vermont Load Zone</t>
  </si>
  <si>
    <t>LOSSES to Vermont Load Zone</t>
  </si>
  <si>
    <t>FORWARD RESERVE ESTIMATES</t>
  </si>
  <si>
    <t>OPERATING RESERVE ESTIMATES</t>
  </si>
  <si>
    <t>Forward Reserve $</t>
  </si>
  <si>
    <t>MISCELLANEOUS COSTS AND ROUNDING</t>
  </si>
  <si>
    <t>Power Sales Credits</t>
  </si>
  <si>
    <t>Adjustments</t>
  </si>
  <si>
    <t>Dispatch Coordinator Fees</t>
  </si>
  <si>
    <t>Ryegate/Sheldon Dispatch Adj</t>
  </si>
  <si>
    <t>Rebate</t>
  </si>
  <si>
    <t>Niagara</t>
  </si>
  <si>
    <t>St Lawrence</t>
  </si>
  <si>
    <t>See "Load Forecast.xls" spreadsheet</t>
  </si>
  <si>
    <t>Phase I/II - ON</t>
  </si>
  <si>
    <t>Block - ON</t>
  </si>
  <si>
    <t>Hub - ON</t>
  </si>
  <si>
    <t>Hub - Off</t>
  </si>
  <si>
    <t>Roseton - ON</t>
  </si>
  <si>
    <t>Power Conversion Multiplier - ATC</t>
  </si>
  <si>
    <t>Power Conversion Multiplier - Peak</t>
  </si>
  <si>
    <t>Power Conversion Multiplier - Off Peak</t>
  </si>
  <si>
    <t>Power Conversion Multiplier - Early AM</t>
  </si>
  <si>
    <t>ARR Revenue</t>
  </si>
  <si>
    <t>% of MWH Purchased (Sold)</t>
  </si>
  <si>
    <t>Need to adjust sales to ISO to net out ASE so we are consistent with our FERC reporting.</t>
  </si>
  <si>
    <t>Take MWHs Sold-to and Purchased-from ISO for each time frame and adjust by ratio of Total MWHs sold-vs-ASE to get a net #</t>
  </si>
  <si>
    <t>MWHs Sales</t>
  </si>
  <si>
    <t>MWHs Purchase</t>
  </si>
  <si>
    <t>Sales $</t>
  </si>
  <si>
    <t>Purchase $</t>
  </si>
  <si>
    <t>Sum</t>
  </si>
  <si>
    <t>Months of Study</t>
  </si>
  <si>
    <t>GENERAL ASSUMPTIONS</t>
  </si>
  <si>
    <t>Hours per month</t>
  </si>
  <si>
    <t>Base Year Loads</t>
  </si>
  <si>
    <t>Monthly Annual Load Growth %</t>
  </si>
  <si>
    <t>Peak Hours</t>
  </si>
  <si>
    <t>Off-Peak Hours</t>
  </si>
  <si>
    <t>Early AM Hours</t>
  </si>
  <si>
    <t>WE Peak Hours</t>
  </si>
  <si>
    <t>ATC Market Price at Hub</t>
  </si>
  <si>
    <t>Peak Market Price at Hub</t>
  </si>
  <si>
    <t>Off-Peak Market Price at Hub</t>
  </si>
  <si>
    <t>WE Peak Market Price at Hub</t>
  </si>
  <si>
    <t>Early AM Market Price at Hub</t>
  </si>
  <si>
    <t>2007 Monthly $ Increase</t>
  </si>
  <si>
    <t>2008 Monthly $ Increase</t>
  </si>
  <si>
    <t>2009 Monthly $ Increase</t>
  </si>
  <si>
    <t>Effective $/MWH of ISO Load</t>
  </si>
  <si>
    <t>INSTALLED CAPABILITY (ICAP)/LOCATION INSTALLED CAPABILITY (LICAP)</t>
  </si>
  <si>
    <t>Power Conversion Multiplier - WE Peak</t>
  </si>
  <si>
    <t>Super Peak Index - Applied to Peak Avg</t>
  </si>
  <si>
    <t>Sub-Peak Index - Applied to Peak Avg</t>
  </si>
  <si>
    <t>Early AM Index - Applied to Off-Peak Avg</t>
  </si>
  <si>
    <t>WE Super Peak Index - Applied to Off-Peak Avg</t>
  </si>
  <si>
    <t>WE Sub-Peak Index - Applied to Off-Peak Avg</t>
  </si>
  <si>
    <t xml:space="preserve">Peak </t>
  </si>
  <si>
    <t xml:space="preserve">Sub-Peak </t>
  </si>
  <si>
    <t>Super Peak</t>
  </si>
  <si>
    <t>WE Super Peak</t>
  </si>
  <si>
    <t>WE Sub-Peak</t>
  </si>
  <si>
    <t>VT $/MWH - ATC</t>
  </si>
  <si>
    <t>VT Peak $/MWH</t>
  </si>
  <si>
    <t>VT Off Peak $/MWH</t>
  </si>
  <si>
    <t>VT Super Peak $/MWH</t>
  </si>
  <si>
    <t>VT Sub-Peak $/MWH</t>
  </si>
  <si>
    <t>VT Early AM $/MWH</t>
  </si>
  <si>
    <t>VT WE Super Peak $/MWH</t>
  </si>
  <si>
    <t>VT WE Sub Peak $/MWH</t>
  </si>
  <si>
    <t>MWH Purchase (Sold)</t>
  </si>
  <si>
    <t>$ of MWH Purchased (Sold) at Hub</t>
  </si>
  <si>
    <t>Net Market Purchase (Sales) $</t>
  </si>
  <si>
    <t>Based on fraction of Hub LMP</t>
  </si>
  <si>
    <t>Phase I/II - Off</t>
  </si>
  <si>
    <t>Highgate - ON</t>
  </si>
  <si>
    <t>Highgate - Off</t>
  </si>
  <si>
    <t>VEPPI (UN.Barre Node assumed) - ON</t>
  </si>
  <si>
    <t>VEPPI (UN.Barre Node assumed) - Off</t>
  </si>
  <si>
    <t>Block - Off</t>
  </si>
  <si>
    <t>Roseton - Off</t>
  </si>
  <si>
    <t>Based on Fraction of Hub LMP</t>
  </si>
  <si>
    <t>Highgate - On</t>
  </si>
  <si>
    <t>VEPPI (UN.Barre Node assumed) - On</t>
  </si>
  <si>
    <t>Roston - On</t>
  </si>
  <si>
    <t>Fraction of Hub LMP</t>
  </si>
  <si>
    <t>Assumed Effective $/MWH of ISO Load</t>
  </si>
  <si>
    <t>Assumed Effective DA NCPC $/MWH of Load</t>
  </si>
  <si>
    <t>Assumed Effective RT NCPC $/MWH of Load</t>
  </si>
  <si>
    <t>Assumed DA NCPC $</t>
  </si>
  <si>
    <t>Assumed RT NCPC $</t>
  </si>
  <si>
    <t>Regulation</t>
  </si>
  <si>
    <t>RT NCPC</t>
  </si>
  <si>
    <t>DA NCPC</t>
  </si>
  <si>
    <t>Locational Forward Reserves</t>
  </si>
  <si>
    <t>Total MWH</t>
  </si>
  <si>
    <t>MWH Purchases</t>
  </si>
  <si>
    <t>MWH Sales</t>
  </si>
  <si>
    <t>$ Purchases</t>
  </si>
  <si>
    <t>$ Sales</t>
  </si>
  <si>
    <t>NYMEX Annual Increase Multiplier</t>
  </si>
  <si>
    <t>Hub Super Peak $/MWH</t>
  </si>
  <si>
    <t>Hub WE Sub-Peak $/MWH</t>
  </si>
  <si>
    <t>Hub WE Super Peak $/MWH</t>
  </si>
  <si>
    <t>Hub Early AM $/MWH</t>
  </si>
  <si>
    <t>Hub Sub-Peak $/MWH</t>
  </si>
  <si>
    <t>Weekdays</t>
  </si>
  <si>
    <t>Capacity Cost Escalotor - PY 2006</t>
  </si>
  <si>
    <t>Capacity Cost Escalotor - PY 2007</t>
  </si>
  <si>
    <t>Capacity Cost Escalotor - PY 2008</t>
  </si>
  <si>
    <t>Capacity Cost Escalotor - PY 2009</t>
  </si>
  <si>
    <t>Capacity Cost Escalotor - PY 2010</t>
  </si>
  <si>
    <t>Capacity Cost Escalotor - PY 2011</t>
  </si>
  <si>
    <t>Capacity Cost Escalotor - PY 2012</t>
  </si>
  <si>
    <t>Capacity Cost Escalotor - PY 2013</t>
  </si>
  <si>
    <t>Capacity Cost Escalotor - PY 2014</t>
  </si>
  <si>
    <t>Capacity Cost Escalotor - PY 2015</t>
  </si>
  <si>
    <t>Capacity Cost Escalotor - PY 2016</t>
  </si>
  <si>
    <t>Capacity Cost Escalotor - PY 2017</t>
  </si>
  <si>
    <t>Capacity Cost Escalotor - PY 2018</t>
  </si>
  <si>
    <t>Capacity Cost Escalotor - PY 2019</t>
  </si>
  <si>
    <t>Capacity $</t>
  </si>
  <si>
    <t>On-Peak Floor</t>
  </si>
  <si>
    <t>Off-Peak Floor</t>
  </si>
  <si>
    <t>UPC Wind</t>
  </si>
  <si>
    <t>MWHs Purchase $</t>
  </si>
  <si>
    <t>Monthly CF</t>
  </si>
  <si>
    <t>Annual Avg</t>
  </si>
  <si>
    <t>Capacity (MW)</t>
  </si>
  <si>
    <t>MWHs Sold $</t>
  </si>
  <si>
    <t>Net $</t>
  </si>
  <si>
    <t>Cost Escalator</t>
  </si>
  <si>
    <t>2010 Monthly $ Increase</t>
  </si>
  <si>
    <t>2011 Monthly $ Increase</t>
  </si>
  <si>
    <t>2012 Monthly $ Increase</t>
  </si>
  <si>
    <t>2013 Monthly $ Increase</t>
  </si>
  <si>
    <t>2014 Monthly $ Increase</t>
  </si>
  <si>
    <t>2015 Monthly $ Increase</t>
  </si>
  <si>
    <t>2016 Monthly $ Increase</t>
  </si>
  <si>
    <t>2017 Monthly $ Increase</t>
  </si>
  <si>
    <t>2018 Monthly $ Increase</t>
  </si>
  <si>
    <t>2006 Monthly $ Increase</t>
  </si>
  <si>
    <t>Arlon Warner</t>
  </si>
  <si>
    <t>NCPC $</t>
  </si>
  <si>
    <t>St Lawrence MWHs and $ based on 2006 actual monthly MWHs and $.</t>
  </si>
  <si>
    <t>Niagara MWHs and $ based on 2006 actual MWHs and $ (w/$ reduced by amount of billing error from previous settlement month paid for in this month) adjusted for rate increases and Naigara allocation increase</t>
  </si>
  <si>
    <t>Merrill Lynch</t>
  </si>
  <si>
    <t>5 MW ATC  8-xx-08</t>
  </si>
  <si>
    <t>MW</t>
  </si>
  <si>
    <t>STL  MWHs</t>
  </si>
  <si>
    <t>VELCO and St Law Trans $.</t>
  </si>
  <si>
    <t>Admin $</t>
  </si>
  <si>
    <t>STL ATY $</t>
  </si>
  <si>
    <t>Niagara Capacity (MW)</t>
  </si>
  <si>
    <t>Niagara MWHs</t>
  </si>
  <si>
    <t>Niagara Congestion, Losses and Ancillary Services</t>
  </si>
  <si>
    <t>Niagara Capacity $</t>
  </si>
  <si>
    <t>Niagara ATY $</t>
  </si>
  <si>
    <t>Generation</t>
  </si>
  <si>
    <t>Net MWHs</t>
  </si>
  <si>
    <t>Net Total $</t>
  </si>
  <si>
    <t>Sale MWHs</t>
  </si>
  <si>
    <t>Sale $</t>
  </si>
  <si>
    <t>Purchase MWHs</t>
  </si>
  <si>
    <t>TotalMWHs</t>
  </si>
  <si>
    <t>5 MW ATC 03-23-09</t>
  </si>
  <si>
    <t>$/MWHs</t>
  </si>
  <si>
    <t>UPC Floating Price</t>
  </si>
  <si>
    <t>UPC Fixed Price</t>
  </si>
  <si>
    <t>Capacity (MW) at Index to Market</t>
  </si>
  <si>
    <t>Capaciy (MW) at Fixed Price</t>
  </si>
  <si>
    <t>Index % discount to Market</t>
  </si>
  <si>
    <t>MA REC $/MWH</t>
  </si>
  <si>
    <t>First Wind - Index to Market</t>
  </si>
  <si>
    <t>Frist Wind - Fixd Price</t>
  </si>
  <si>
    <t>First Wind - Indexed Price</t>
  </si>
  <si>
    <t>First Wind</t>
  </si>
  <si>
    <t>Renewable Energy Credit Revenue</t>
  </si>
  <si>
    <t>2010 Monthly $ Increase in ARR Revenue</t>
  </si>
  <si>
    <t>2011 Monthly $ Increase in ARR Revenue</t>
  </si>
  <si>
    <t>2012 Monthly $ Increase in ARR Revenue</t>
  </si>
  <si>
    <t>2013 Monthly $ Increase in ARR Revenue</t>
  </si>
  <si>
    <t>Basis from Hub DAM to Irasburg RTM</t>
  </si>
  <si>
    <t>Effective Price</t>
  </si>
  <si>
    <t>VPPSA Peaker</t>
  </si>
  <si>
    <t>Annual o&amp;M % increase</t>
  </si>
  <si>
    <t>Swanton Peaker</t>
  </si>
  <si>
    <t>Energy Sold</t>
  </si>
  <si>
    <t>Bilateral Energy Sales</t>
  </si>
  <si>
    <t>447.00 Sales for Resale</t>
  </si>
  <si>
    <t>Net Purchased Power</t>
  </si>
  <si>
    <t>RT Marginal Loss Revenue</t>
  </si>
  <si>
    <t>RT External Inadvertant Cost Dist</t>
  </si>
  <si>
    <t>Net Purchased Power MWH</t>
  </si>
  <si>
    <t>Sales for Resales</t>
  </si>
  <si>
    <t>NextEra Energy</t>
  </si>
  <si>
    <t>5 MW ATC - 6-17-2010</t>
  </si>
  <si>
    <t>NextEraEnergy</t>
  </si>
  <si>
    <t>ISO Settlement Sales</t>
  </si>
  <si>
    <t>VT Load Zone - On</t>
  </si>
  <si>
    <t>VT Load Zone - Off</t>
  </si>
  <si>
    <t>VEPPI Settlement</t>
  </si>
  <si>
    <t>SPEED Settlement</t>
  </si>
  <si>
    <t>VPPSA Settlement</t>
  </si>
  <si>
    <t>VELCO Settlement</t>
  </si>
  <si>
    <t>VEPPI FCM Settlement</t>
  </si>
  <si>
    <t>VPPSA FCM Settlement</t>
  </si>
  <si>
    <t>VELCO FCM Settlement</t>
  </si>
  <si>
    <t>ISO FCM Settlement Cost</t>
  </si>
  <si>
    <t>BP Energy</t>
  </si>
  <si>
    <t>5 MW ATC - 1-11-2011</t>
  </si>
  <si>
    <t>HQUS</t>
  </si>
  <si>
    <t>Energy $/MWh</t>
  </si>
  <si>
    <t>Kingdom Community Wind</t>
  </si>
  <si>
    <t>ASE Addert to ECP</t>
  </si>
  <si>
    <t>Net Purchases (Sales) at Market</t>
  </si>
  <si>
    <t>5 MW Off-Peak 2011-06-28</t>
  </si>
  <si>
    <t>MWh</t>
  </si>
  <si>
    <t>$/MWh</t>
  </si>
  <si>
    <t>JP Morgan</t>
  </si>
  <si>
    <t>STL ATY Energy $/MWh</t>
  </si>
  <si>
    <t>STL ATY Capacity $/kw-month</t>
  </si>
  <si>
    <t>ST L TY VELCO + St Law Trans $/MWH</t>
  </si>
  <si>
    <t>ST L TY Admin $/MWH</t>
  </si>
  <si>
    <t>Niagara ATY Energy $/MWH</t>
  </si>
  <si>
    <t>Niagara ATY Capacity $/kw-month</t>
  </si>
  <si>
    <t>See file Veppi.xls"</t>
  </si>
  <si>
    <t>Fuel Expenses</t>
  </si>
  <si>
    <t>Debt Service - LTD</t>
  </si>
  <si>
    <t>O&amp;M</t>
  </si>
  <si>
    <t>Property Taxes</t>
  </si>
  <si>
    <t>Annual Increase</t>
  </si>
  <si>
    <t>Energy MW</t>
  </si>
  <si>
    <t>Unit Contingency</t>
  </si>
  <si>
    <t>Capacity $/kw-month</t>
  </si>
  <si>
    <t>NextEraEnergy - Seabrook LT Contract</t>
  </si>
  <si>
    <t xml:space="preserve">NextEra - Seabrook - Energy </t>
  </si>
  <si>
    <t xml:space="preserve">NextEra - Seabrook - Capacity </t>
  </si>
  <si>
    <t>Constellation Sale - 2011-10-07 - MWh</t>
  </si>
  <si>
    <t>Constellation Sale - 2011-10-07 - $</t>
  </si>
  <si>
    <t>Total MWh Sold</t>
  </si>
  <si>
    <t>Total $ of RECs sold</t>
  </si>
  <si>
    <t>RENEWABLE ENERGY CERTIFICATES</t>
  </si>
  <si>
    <t>(Note: SPEED Assumptions above have sale of RECs Modeled in them.)</t>
  </si>
  <si>
    <t>Capacity</t>
  </si>
  <si>
    <t>Weekend/Holiday Days</t>
  </si>
  <si>
    <t>Sheffield RECs (MA I)</t>
  </si>
  <si>
    <t>Kingdom Community Wind RECs (MA i)</t>
  </si>
  <si>
    <t>EDF Trading KCW First 10,000 RECs - $/MWh</t>
  </si>
  <si>
    <t>24,000 per year Firm</t>
  </si>
  <si>
    <t xml:space="preserve">U.C. First 10,000 </t>
  </si>
  <si>
    <t>SPEED FIT Assumptions</t>
  </si>
  <si>
    <t>SPEED - Ryegate Assumptions</t>
  </si>
  <si>
    <t>Total SPEED MWHs</t>
  </si>
  <si>
    <t>Total SPEED $</t>
  </si>
  <si>
    <t>MWHs VEC Share</t>
  </si>
  <si>
    <t>$ - VEC Share</t>
  </si>
  <si>
    <t>MWHs WEC Share</t>
  </si>
  <si>
    <t>Capacity (MW) - VEC Share</t>
  </si>
  <si>
    <t>Energy $ - VEC Share</t>
  </si>
  <si>
    <t>Energy $ - WEC Share</t>
  </si>
  <si>
    <t>EDF Trading KCW RECs 10,001 - 20,000</t>
  </si>
  <si>
    <t>Carry Over From Previous Year</t>
  </si>
  <si>
    <t>Energy America Sale - 2012-08-23</t>
  </si>
  <si>
    <t>Sheffield - On</t>
  </si>
  <si>
    <t>Sheffield - Off</t>
  </si>
  <si>
    <t>Seabrook - On</t>
  </si>
  <si>
    <t>Seabrook - Off</t>
  </si>
  <si>
    <t>EDF Trading 10,000 Firm RECs - 2012-10-22</t>
  </si>
  <si>
    <t>EDF Trading 5,000 Firm RECs - 2012-12-12</t>
  </si>
  <si>
    <t>Original MHW Assumptions</t>
  </si>
  <si>
    <t>Original Annual CF Assumed</t>
  </si>
  <si>
    <t>Adjusted Annual CF</t>
  </si>
  <si>
    <t>Purchased kWh</t>
  </si>
  <si>
    <t>Sales for Resales $</t>
  </si>
  <si>
    <t>Grossed Purchase Power $</t>
  </si>
  <si>
    <t>REC $</t>
  </si>
  <si>
    <t>REC Broker Fees</t>
  </si>
  <si>
    <t>Sales for Resales kWh</t>
  </si>
  <si>
    <t>Net kWh</t>
  </si>
  <si>
    <t>5 MW ATC - 3-xx-2013</t>
  </si>
  <si>
    <t>Purchases</t>
  </si>
  <si>
    <t>Sales</t>
  </si>
  <si>
    <t>5 MW ATC - 2013-06-03</t>
  </si>
  <si>
    <t>Deal C $/MWh</t>
  </si>
  <si>
    <t>Deal C MWh</t>
  </si>
  <si>
    <t>Sales for Resale</t>
  </si>
  <si>
    <t>Gross PP $</t>
  </si>
  <si>
    <t>FOR MONTHLY  FINANCIAL SERVICES UPDATE</t>
  </si>
  <si>
    <t>ISO Winter Reliability Program</t>
  </si>
  <si>
    <t>ISO WINTER RELIABILITY PROGRAM</t>
  </si>
  <si>
    <t>ISO Projected Load</t>
  </si>
  <si>
    <t>VEC Projected Load</t>
  </si>
  <si>
    <t>VEC Share</t>
  </si>
  <si>
    <t>Total Cost of ISO Program</t>
  </si>
  <si>
    <t>New Rule Multiplier</t>
  </si>
  <si>
    <t>Ryegate</t>
  </si>
  <si>
    <t>SPEED FIT</t>
  </si>
  <si>
    <t>Jay Tap - KCW On</t>
  </si>
  <si>
    <t>Jay Tap - KCW Off</t>
  </si>
  <si>
    <t>Losses Basis Charge by Resource</t>
  </si>
  <si>
    <t>KCW Settlement</t>
  </si>
  <si>
    <t>Kingdom Community Wind - FCM</t>
  </si>
  <si>
    <t>First Wind - Fixed Price - FCM</t>
  </si>
  <si>
    <t>First Wind - Fixed Price - Energy</t>
  </si>
  <si>
    <t>SPEED FIT - FCM Settlement</t>
  </si>
  <si>
    <t>Renewable Energy Certificates</t>
  </si>
  <si>
    <t>CT Class I RECs</t>
  </si>
  <si>
    <t>PSEG Capacity</t>
  </si>
  <si>
    <t>$/kw-month</t>
  </si>
  <si>
    <t>Excelon - Energy</t>
  </si>
  <si>
    <t>NextEra Long-Term Contract - Seabrook</t>
  </si>
  <si>
    <t>Next Era - Capacity Only</t>
  </si>
  <si>
    <t>PSEG</t>
  </si>
  <si>
    <t>Excelon - Capacity</t>
  </si>
  <si>
    <t>NextEra - Capacity</t>
  </si>
  <si>
    <t>Energy America Sale - 2014-02-13</t>
  </si>
  <si>
    <t>EDF Trading 10,000 Firm 2015 RECs  - 2014-04-07</t>
  </si>
  <si>
    <t>EDF Trading 10,000 Firm RECs - 2013-03-25</t>
  </si>
  <si>
    <t>Purchase  A MWHs</t>
  </si>
  <si>
    <t>Purchase A $/MWH</t>
  </si>
  <si>
    <t>Purchase A $</t>
  </si>
  <si>
    <t>Purchase  B MWHs</t>
  </si>
  <si>
    <t>Purchase B $/MWH</t>
  </si>
  <si>
    <t>Purchase B $</t>
  </si>
  <si>
    <t>EDF Trading 5,000 Firm RECs - 2014-08-07</t>
  </si>
  <si>
    <t>Production Tax Credit $/MWh</t>
  </si>
  <si>
    <t>Annual Energy Rate</t>
  </si>
  <si>
    <t>Shaping Factor</t>
  </si>
  <si>
    <t>Capacity Payment Rate</t>
  </si>
  <si>
    <t>Value of Capacity in NextEra Settlement</t>
  </si>
  <si>
    <t>Net Capaciity Charge</t>
  </si>
  <si>
    <t>Just Energy - 5000 Firme 2014 RECs - 2014-11-14</t>
  </si>
  <si>
    <t>MW - 1/2015 Transaction - 5 Year Deal</t>
  </si>
  <si>
    <t>MW - 1/2015 Transaction - 3 Year Deal</t>
  </si>
  <si>
    <t>$/kw-month - 1/2015 Transaction - 5 Year Deal</t>
  </si>
  <si>
    <t>$/kw-month - 1/2015 Transaction - 3 Year Deal</t>
  </si>
  <si>
    <t>Ryegate RECs</t>
  </si>
  <si>
    <t>Utilty % of CT Class I RECs generated by Ryegate</t>
  </si>
  <si>
    <t>Changes from 4/22/15 version</t>
  </si>
  <si>
    <t>Capacity for NextEra 3 -=year deal entered 1/2015 for 6/2018-5/2021 was changed from 3.0 MW to 5.0 MW.</t>
  </si>
  <si>
    <t>Capcity for NextEra 5-year deal entered 9/2013 for 6/2017-5/2022 was change from 5.0 MW to 10 MW.</t>
  </si>
  <si>
    <t>Amendment - Capacity</t>
  </si>
  <si>
    <t>Amendment - Capacity Payment Rate</t>
  </si>
  <si>
    <t>Amendment - Total Capacity $</t>
  </si>
  <si>
    <t>Capacity and $ for NextEra Amendment entered 1/2015 was added to the spreadsheet</t>
  </si>
  <si>
    <t>Vitol - 2015-04-24</t>
  </si>
  <si>
    <t>Sale of 10k RECs per year at $48.75 per REC for 2015-2017.</t>
  </si>
  <si>
    <t>Changed share of ISO peak to account for impact of SPEED Standard Offer and Tier II, beginning in June 2017</t>
  </si>
  <si>
    <t>NYMEX $/mmbtu as of</t>
  </si>
  <si>
    <t>EDF</t>
  </si>
  <si>
    <t>EDF Trading 10,000 Firm RECS - 2015-08-26</t>
  </si>
  <si>
    <t>Delvin Warner</t>
  </si>
  <si>
    <t>Forward Market Price Multiplier - On-Peak</t>
  </si>
  <si>
    <t>Forward Market Price Multiplier - Off-Peak</t>
  </si>
  <si>
    <t>Direct Energy - 2015-04-25</t>
  </si>
  <si>
    <t>Direct Energy - 2015-12-09</t>
  </si>
  <si>
    <t>Purchase C MWh</t>
  </si>
  <si>
    <t>Purchase C $/MWh</t>
  </si>
  <si>
    <t>Purchase C $</t>
  </si>
  <si>
    <t>Encore - Alburgh</t>
  </si>
  <si>
    <t>Encore - Magee Hill</t>
  </si>
  <si>
    <t>Bullrock - Grand Isle</t>
  </si>
  <si>
    <t>TOTAL RENEWABLE ENERGY CERTIFICATES</t>
  </si>
  <si>
    <t>Tier 1 Requirement %</t>
  </si>
  <si>
    <t>Tier 2 Requirement %</t>
  </si>
  <si>
    <t>Tier 2 Requirement MWh</t>
  </si>
  <si>
    <t>Standard Offer RECs (CT I) - Pre 7/2015 Commercial Operation Date</t>
  </si>
  <si>
    <t>Standard Offer RECs (MA I) - Pre 7/2015 Commercial Operation Date</t>
  </si>
  <si>
    <t>GDF Suez ME Class II RECs</t>
  </si>
  <si>
    <t>REC</t>
  </si>
  <si>
    <t>$/REC</t>
  </si>
  <si>
    <t>Tier 2 Resource A</t>
  </si>
  <si>
    <t>Tier 2 Resource B</t>
  </si>
  <si>
    <t>Tier 2 Resource C</t>
  </si>
  <si>
    <t>NYPA RECs</t>
  </si>
  <si>
    <t>HQ US RECs</t>
  </si>
  <si>
    <t>Tier 1 - Low Value</t>
  </si>
  <si>
    <t>Tier 1 - High Value</t>
  </si>
  <si>
    <t>Tier 2/Tier 1 High Value</t>
  </si>
  <si>
    <t>Purchased RECs - B</t>
  </si>
  <si>
    <t>Gross Total Tier 1 RECs</t>
  </si>
  <si>
    <t>Gross Total Tier 2 RECs</t>
  </si>
  <si>
    <t>Gross Total Tier 1 - Low Value RECs</t>
  </si>
  <si>
    <t>Sales of High Value Tier 1 RECs (MWh)</t>
  </si>
  <si>
    <t>Proxy Sale of MA RECs - Monthly</t>
  </si>
  <si>
    <t>Proxy Sale of CT 1 RECs - Monthly</t>
  </si>
  <si>
    <t>Proxy Sale of MA RECs - Annual</t>
  </si>
  <si>
    <t>Proxy Sale of CT RECs - Annual</t>
  </si>
  <si>
    <r>
      <t>Final Position of Total Tier 1 RECs (Assumes no Tier 2 go toward Tier 1) Excess (</t>
    </r>
    <r>
      <rPr>
        <sz val="8"/>
        <color rgb="FFFF0000"/>
        <rFont val="Arial"/>
        <family val="2"/>
      </rPr>
      <t>Shortfall</t>
    </r>
    <r>
      <rPr>
        <sz val="8"/>
        <rFont val="Arial"/>
        <family val="2"/>
      </rPr>
      <t>) - Monthly</t>
    </r>
  </si>
  <si>
    <t>Tier 1 Requirement MWh - Monthly</t>
  </si>
  <si>
    <t>Tier 1 Requirement MWH - Annual</t>
  </si>
  <si>
    <t>Tier 2 Requirement MWH - Annual</t>
  </si>
  <si>
    <t>REC Sales - $/MWh</t>
  </si>
  <si>
    <t>Cost (Revenue) from Purchase (Sale) of RECs</t>
  </si>
  <si>
    <t>Tier 1 Low-Value</t>
  </si>
  <si>
    <t>VT Tier 1 RECs - Purchase or Sale</t>
  </si>
  <si>
    <t>VT Tier 2 RECs - Purchase or Sale</t>
  </si>
  <si>
    <t>VT Tier 1 ACP</t>
  </si>
  <si>
    <t>VT Tier 2 ACP</t>
  </si>
  <si>
    <t>Inflation</t>
  </si>
  <si>
    <t>Standard Offer Tier 2 RECs - Post 6/2015 Commercial Operation Date</t>
  </si>
  <si>
    <r>
      <t>Gross Total Tier 2 RECs Excess (</t>
    </r>
    <r>
      <rPr>
        <sz val="8"/>
        <color rgb="FFFF0000"/>
        <rFont val="Arial"/>
        <family val="2"/>
      </rPr>
      <t>Shortfall</t>
    </r>
    <r>
      <rPr>
        <sz val="8"/>
        <rFont val="Arial"/>
        <family val="2"/>
      </rPr>
      <t>) - Monthly</t>
    </r>
  </si>
  <si>
    <r>
      <t>Gross Total Tier 1 RECs Excess (</t>
    </r>
    <r>
      <rPr>
        <sz val="8"/>
        <color rgb="FFFF0000"/>
        <rFont val="Arial"/>
        <family val="2"/>
      </rPr>
      <t>Shortfall</t>
    </r>
    <r>
      <rPr>
        <sz val="8"/>
        <rFont val="Arial"/>
        <family val="2"/>
      </rPr>
      <t>) - Monthy</t>
    </r>
  </si>
  <si>
    <r>
      <t>Gross Total Tier 1 RECs Excess (</t>
    </r>
    <r>
      <rPr>
        <sz val="8"/>
        <color rgb="FFFF0000"/>
        <rFont val="Arial"/>
        <family val="2"/>
      </rPr>
      <t>Shortfall</t>
    </r>
    <r>
      <rPr>
        <sz val="8"/>
        <rFont val="Arial"/>
        <family val="2"/>
      </rPr>
      <t>) - Annual</t>
    </r>
  </si>
  <si>
    <r>
      <t>Gross Total Tier 2 RECs Excess (</t>
    </r>
    <r>
      <rPr>
        <sz val="8"/>
        <color rgb="FFFF0000"/>
        <rFont val="Arial"/>
        <family val="2"/>
      </rPr>
      <t>Shortfall</t>
    </r>
    <r>
      <rPr>
        <sz val="8"/>
        <rFont val="Arial"/>
        <family val="2"/>
      </rPr>
      <t>) - Annual</t>
    </r>
  </si>
  <si>
    <t>Gross Total Tier 1 - High Value RECs - MA</t>
  </si>
  <si>
    <t>Gross Total Tier 1 - High Value RECs - CT</t>
  </si>
  <si>
    <t>Total Sale of Tier 1 - High Value RECs - MA - Annual</t>
  </si>
  <si>
    <t>Total Sale of Tier 1 - High Value RECs - CT - Annual</t>
  </si>
  <si>
    <t>Net Position - Tier 1 - High Value RECs - MA - Annual</t>
  </si>
  <si>
    <t>Net Position - Tier 1 - High Value RECs - MA - Monthly</t>
  </si>
  <si>
    <t>Total Sale of Tier 1 - High Value RECs - CT  - Monthly</t>
  </si>
  <si>
    <t>Total Sale of Tier 1 - High Value RECs -MA  - Monthly</t>
  </si>
  <si>
    <t>Net Position - Tier 1 - High Value RECs - CT - Monthly</t>
  </si>
  <si>
    <t>Net Position - Tier 1 - High Value RECs - CT - Annual</t>
  </si>
  <si>
    <t>Tier 1 High Value RECs - Contracted - MA</t>
  </si>
  <si>
    <t>Tier 1 High Value RECs - Contracted - CT</t>
  </si>
  <si>
    <t>Tier 1 High Value RECs - Proxy for Uncontracted Sales - MA</t>
  </si>
  <si>
    <t>Tier 1 High Value RECs - Proxy for Uncontracted Sales - CT</t>
  </si>
  <si>
    <t>Final Position of Tier 1 High Value RECs - MA - Annual</t>
  </si>
  <si>
    <t>Final Position of Tier 1 High Value RECs -  MA - Monthly</t>
  </si>
  <si>
    <t>Final Position of Tier 1 High Value RECs -  CT - Monthly</t>
  </si>
  <si>
    <t>Final Position of Tier 1 High Value RECs - CT - Annual</t>
  </si>
  <si>
    <t>Direct Energy - 2016-04-13</t>
  </si>
  <si>
    <t>Direct Energy - 2016-05-26</t>
  </si>
  <si>
    <t>Excelon Capacity</t>
  </si>
  <si>
    <t>Net Metering</t>
  </si>
  <si>
    <t>Net Metering Output During TY</t>
  </si>
  <si>
    <t>Net Metering Output for Projects installed during TY (impact is modeled for months after installation)</t>
  </si>
  <si>
    <t>Total NM Output</t>
  </si>
  <si>
    <t>Boltonville</t>
  </si>
  <si>
    <t>Newport Hydro</t>
  </si>
  <si>
    <t>Total Project MWh</t>
  </si>
  <si>
    <t>VEC Share of Project Output</t>
  </si>
  <si>
    <t>Peak MWh</t>
  </si>
  <si>
    <t>Off-Peak MWh</t>
  </si>
  <si>
    <t>VEC Peak MWh</t>
  </si>
  <si>
    <t>VEC Off-Peak NWh</t>
  </si>
  <si>
    <t>VEC Total MWh</t>
  </si>
  <si>
    <t>On-Peak Fixed Rate</t>
  </si>
  <si>
    <t>Off-Peak Fixed Rate</t>
  </si>
  <si>
    <t>% of Output at Fixed Rate</t>
  </si>
  <si>
    <t>% of Output at VT Zone LMP</t>
  </si>
  <si>
    <t>VEC On-Peak $</t>
  </si>
  <si>
    <t>VEC Off-Peak $</t>
  </si>
  <si>
    <t>VEC Total $</t>
  </si>
  <si>
    <t>Boltonville Hydro</t>
  </si>
  <si>
    <t>VEC Share of MWh</t>
  </si>
  <si>
    <t>Peak - $/MWh</t>
  </si>
  <si>
    <t>Off-Peak $/MWh</t>
  </si>
  <si>
    <t>Off-Peak MWH</t>
  </si>
  <si>
    <t>Net Metering Output for Projects installed During ATY</t>
  </si>
  <si>
    <t>Net Metering Output for Projects installed after TY and Before ATY</t>
  </si>
  <si>
    <t>Tier 3 Load Additions</t>
  </si>
  <si>
    <t>Sales for Resale MWh</t>
  </si>
  <si>
    <t>Sales for Resale $</t>
  </si>
  <si>
    <t>Sales for Resale $/MWh</t>
  </si>
  <si>
    <t>Data Input into 15-1-V</t>
  </si>
  <si>
    <t>Reserve Fund</t>
  </si>
  <si>
    <t>VEC share of total Energy $</t>
  </si>
  <si>
    <t>VEC share of VEC Transmission $</t>
  </si>
  <si>
    <t>Typical Miscellaneous Costs</t>
  </si>
  <si>
    <t>NEPOOL GIS Costs</t>
  </si>
  <si>
    <t>MW - 9/2013 Transaction</t>
  </si>
  <si>
    <t>$/kw-month - 9/2013 Transaction</t>
  </si>
  <si>
    <t>REC Purchases to cover shortfall from previous calendar year</t>
  </si>
  <si>
    <t>Niagara TY Cong, Losses and Ancillary Services $/MWH - implied</t>
  </si>
  <si>
    <t>Niagara TY Admin $/MWH</t>
  </si>
  <si>
    <t>Niagara ATY Energy $</t>
  </si>
  <si>
    <t>Naigara ATY Admin $</t>
  </si>
  <si>
    <t>AGC - Regulation</t>
  </si>
  <si>
    <t>Capacity Bilateral MW</t>
  </si>
  <si>
    <t>Proxy Capacity Bilateral Sale</t>
  </si>
  <si>
    <t>Capacity Bilatera lPrice</t>
  </si>
  <si>
    <t>MWHS Based on historic monthly production (Jan '96 - Jul '16) and VEC's VEPPI allocation effective 11/1/2017.</t>
  </si>
  <si>
    <t>Skyview - 2018-02-08</t>
  </si>
  <si>
    <t>Exelon - 2018-05-16 - CT REC Sale</t>
  </si>
  <si>
    <t>Viridity Battery</t>
  </si>
  <si>
    <t>Service</t>
  </si>
  <si>
    <t>VJO and NYPA fees from VELCO</t>
  </si>
  <si>
    <t>VJO Scheduling &amp; Billing</t>
  </si>
  <si>
    <t>NYPA Contract Settlement</t>
  </si>
  <si>
    <t>VELCO - VJO &amp; NYPA Fees</t>
  </si>
  <si>
    <t>Viridity Utility Scale Battery (2018-06-20 Contract, 1MW-4MWh) $</t>
  </si>
  <si>
    <t>Encore - Jericho - Landfill</t>
  </si>
  <si>
    <t xml:space="preserve">Encore -Jericho - Gravel Pit </t>
  </si>
  <si>
    <t>Exelon - 2018-07-31 - MA/CT REC Sale</t>
  </si>
  <si>
    <t>STX</t>
  </si>
  <si>
    <t>First Light</t>
  </si>
  <si>
    <t>Great River Hydro</t>
  </si>
  <si>
    <t>First Light RECs</t>
  </si>
  <si>
    <t>Great River RECs</t>
  </si>
  <si>
    <t>STX RECs</t>
  </si>
  <si>
    <r>
      <t>Final Position of Total Tier 1 RECs (Assumes no Tier 2 go toward Tier 1) Excess (</t>
    </r>
    <r>
      <rPr>
        <sz val="8"/>
        <color rgb="FFFF0000"/>
        <rFont val="Arial"/>
        <family val="2"/>
      </rPr>
      <t>Shortfall</t>
    </r>
    <r>
      <rPr>
        <sz val="8"/>
        <rFont val="Arial"/>
        <family val="2"/>
      </rPr>
      <t>) - Annual - Before Banking</t>
    </r>
  </si>
  <si>
    <r>
      <t>Final Position of Total Tier 1 RECs (Assumes no Tier 2 go toward Tier 1) Excess (</t>
    </r>
    <r>
      <rPr>
        <sz val="8"/>
        <color rgb="FFFF0000"/>
        <rFont val="Arial"/>
        <family val="2"/>
      </rPr>
      <t>Shortfall</t>
    </r>
    <r>
      <rPr>
        <sz val="8"/>
        <rFont val="Arial"/>
        <family val="2"/>
      </rPr>
      <t>) - Annual -After Banking</t>
    </r>
  </si>
  <si>
    <t>Total Tier 1 RECs already in Bank from Previous Years</t>
  </si>
  <si>
    <t>Final Banked Tier 1 RECs</t>
  </si>
  <si>
    <t>Tier 1 RECs Withdrawn from Bank for Compliance</t>
  </si>
  <si>
    <t>Previously Banked RECs Expired (Not used within 3 years)</t>
  </si>
  <si>
    <t>Tier 1 RECs Banked for Future Compliance Years</t>
  </si>
  <si>
    <t>Capacity (MW) - WEC Share</t>
  </si>
  <si>
    <t>Total REC Sales Revenue $</t>
  </si>
  <si>
    <t>Direct Energy - 2019-01-25</t>
  </si>
  <si>
    <t>Included in Purchased Power</t>
  </si>
  <si>
    <t>Included in REC Sales</t>
  </si>
  <si>
    <t>Tier 1 High Value RECs -MA - Proxy Purchase to Fulfill Contract Shortfall</t>
  </si>
  <si>
    <t>Tier 1 High Value RECs -CT - Proxy Purchase to Fulfill Contract Shortfall</t>
  </si>
  <si>
    <t>Tier 1 Low-Value - Proxy Purchase to meet VT RES</t>
  </si>
  <si>
    <t>Tier 2 - Proxy Purchase to meet VT RES</t>
  </si>
  <si>
    <t>Proxy Sale of Excess Tier 2</t>
  </si>
  <si>
    <t>Proxy Sale of Excess Tier 1 Low-Value</t>
  </si>
  <si>
    <t>REC Sales</t>
  </si>
  <si>
    <t>Tier 1 High Value RECs - Contracted - MA - Tucker's Attempt at Budgeting how we actually will Book</t>
  </si>
  <si>
    <t>Tier 1 High Value RECs - Contracted - CT - Tucker's Attempt at Budgeting how we actually will Book</t>
  </si>
  <si>
    <t>Sanity Check - MA Sales</t>
  </si>
  <si>
    <t>Sanity Check - CT Sales</t>
  </si>
  <si>
    <t>VELCO IBT Scheduling Fees</t>
  </si>
  <si>
    <t>$/MW</t>
  </si>
  <si>
    <t>Brookfield - Capacity</t>
  </si>
  <si>
    <t>EDF Trading 5,000 Firm REC - 2019-04-04</t>
  </si>
  <si>
    <t>VELCO IBT Scheduling</t>
  </si>
  <si>
    <t>Sales of High Value Tier 2 RECs (MWh)</t>
  </si>
  <si>
    <t>Direct Energy - MA Class 1 (10/2/19 Email)</t>
  </si>
  <si>
    <t>Total Sale of Tier 2 - High Value RECs - MA - Monthly</t>
  </si>
  <si>
    <t>Total Sale of Tier 2 - High Value RECs - MA - Annual</t>
  </si>
  <si>
    <t>Net Position - Tier 2 - High Value RECs - MA - Annual</t>
  </si>
  <si>
    <t>Tier 2 High Value RECs - Contracted - MA</t>
  </si>
  <si>
    <t>Tier 2 - Proxy for Uncontracted Sales</t>
  </si>
  <si>
    <t>Real-Time Demand Reduction Credit</t>
  </si>
  <si>
    <t>Real-Time Demand Reduction Charge</t>
  </si>
  <si>
    <t>3Degrees CT Class I - 2020-04-15</t>
  </si>
  <si>
    <t>Exelon - 2020-04-14</t>
  </si>
  <si>
    <t>EDF Trading 10,000 MA Class I - 2020-04-16</t>
  </si>
  <si>
    <t>Emera</t>
  </si>
  <si>
    <t>5 MW ATC 2020-06-18</t>
  </si>
  <si>
    <t xml:space="preserve">Energy </t>
  </si>
  <si>
    <t>HQ VJO Replacement - 5/1/2020</t>
  </si>
  <si>
    <t>HQ VJO Replacement - 5/1/20</t>
  </si>
  <si>
    <t>Amerex Sale - 2020-07-30</t>
  </si>
  <si>
    <t>Amerex Sale - 2020 07 30</t>
  </si>
  <si>
    <t>Vitol MA 1 - 10/14/20</t>
  </si>
  <si>
    <t>Brookfield Capacity</t>
  </si>
  <si>
    <t>WEG/Carval Utility Scale Battery 5MW/12 MWH - $</t>
  </si>
  <si>
    <t>WEG/Carval Battery</t>
  </si>
  <si>
    <t>On Peak MW</t>
  </si>
  <si>
    <t>On Peak MWH</t>
  </si>
  <si>
    <t>2X16 MW</t>
  </si>
  <si>
    <t>2X16 MWH</t>
  </si>
  <si>
    <t>7X8 MW</t>
  </si>
  <si>
    <t>7X8 MWH</t>
  </si>
  <si>
    <t>Proxy Purchase - October 2021</t>
  </si>
  <si>
    <t>Carry Over from Previous Year</t>
  </si>
  <si>
    <t>HQ 2021-2023</t>
  </si>
  <si>
    <t>NextEra - 2022-2025 - Energy</t>
  </si>
  <si>
    <t>Settlement - Energy</t>
  </si>
  <si>
    <t>Settlement - Regulation</t>
  </si>
  <si>
    <t>Settlement - DA NCPC</t>
  </si>
  <si>
    <t>Settlement - RT NCPC</t>
  </si>
  <si>
    <t>Settlement - Locational Forward Reserves</t>
  </si>
  <si>
    <t>Settlement - Losses</t>
  </si>
  <si>
    <t>Settlement - Congestion</t>
  </si>
  <si>
    <t>Settlement - ARR</t>
  </si>
  <si>
    <t>Settlement - FTR</t>
  </si>
  <si>
    <t>Settlement - ICAP</t>
  </si>
  <si>
    <t>Settlement - Miscellaneous</t>
  </si>
  <si>
    <t>Direct Energy - MA/CT/RI 1 - 2022-07-28</t>
  </si>
  <si>
    <t>HQ - 21-23</t>
  </si>
  <si>
    <t>NextEra 2021-2025</t>
  </si>
  <si>
    <t>Mystic Cost of Service</t>
  </si>
  <si>
    <t>Howard Wind</t>
  </si>
  <si>
    <t>Shape</t>
  </si>
  <si>
    <t>Basis</t>
  </si>
  <si>
    <t>VEC Basis Share</t>
  </si>
  <si>
    <t>SC5 Billing</t>
  </si>
  <si>
    <t>Attribute Purchases</t>
  </si>
  <si>
    <t>Attribute Price</t>
  </si>
  <si>
    <t>HQ ASE RECs</t>
  </si>
  <si>
    <t>100% Carbon Free MWh - Monthly</t>
  </si>
  <si>
    <t>100% Carbon Free MWh - Annual</t>
  </si>
  <si>
    <t>100% Carbon Free</t>
  </si>
  <si>
    <t>Vitol - 2022-12-08</t>
  </si>
  <si>
    <t>ISO NE IEP Program</t>
  </si>
  <si>
    <t>VELCO Radio Site Batteries</t>
  </si>
  <si>
    <t>VELCO Radio Site Battery Fee</t>
  </si>
  <si>
    <t>Constellation - 6/8/2023</t>
  </si>
  <si>
    <t>HQ Settlement</t>
  </si>
  <si>
    <t>HQ ICC Settlement</t>
  </si>
  <si>
    <t>Carbon Free Net Position - Annual (Shortfall)/Excess</t>
  </si>
  <si>
    <t>Attribute $</t>
  </si>
  <si>
    <t>Pre-2017 NM Estimate</t>
  </si>
  <si>
    <t>NRG - $39.25 2024 05 07</t>
  </si>
  <si>
    <t>Exhibit - VEC-DP -1 - ATY Power Cost Projections - Final</t>
  </si>
  <si>
    <t>This document is being submitted electronically via ePUC.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</si>
</sst>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8" formatCode="&quot;$&quot;#,##0.00_);[Red]\(&quot;$&quot;#,##0.00\)"/>
    <numFmt numFmtId="44" formatCode="_(&quot;$&quot;* #,##0.00_);_(&quot;$&quot;* \(#,##0.00\);_(&quot;$&quot;* &quot;-&quot;??_);_(@_)"/>
    <numFmt numFmtId="164" formatCode="0.000"/>
    <numFmt numFmtId="165" formatCode="#,##0.000"/>
    <numFmt numFmtId="166" formatCode="&quot;$&quot;#,##0.00"/>
    <numFmt numFmtId="167" formatCode="&quot;$&quot;#,##0"/>
    <numFmt numFmtId="168" formatCode="&quot;$&quot;#,##0.000"/>
    <numFmt numFmtId="169" formatCode="#,##0.0000"/>
    <numFmt numFmtId="170" formatCode="#,##0.0"/>
    <numFmt numFmtId="171" formatCode="0.000_);[Red]\(0.000\)"/>
    <numFmt numFmtId="172" formatCode="0_);[Red]\(0\)"/>
    <numFmt numFmtId="173" formatCode="[$-409]mmm\-yy;@"/>
    <numFmt numFmtId="174" formatCode="0.0%"/>
    <numFmt numFmtId="175" formatCode="0.0"/>
    <numFmt numFmtId="176" formatCode="[$-409]dd\-mmm\-yy;@"/>
    <numFmt numFmtId="177" formatCode="[$-409]d\-mmm\-yy;@"/>
    <numFmt numFmtId="178" formatCode="#,##0.000_);\(#,##0.000\)"/>
    <numFmt numFmtId="179" formatCode="0.0000%"/>
    <numFmt numFmtId="180" formatCode="&quot;$&quot;#,##0.000_);\(&quot;$&quot;#,##0.000\)"/>
    <numFmt numFmtId="181" formatCode="_(&quot;$&quot;* #,##0_);_(&quot;$&quot;* \(#,##0\);_(&quot;$&quot;* &quot;-&quot;??_);_(@_)"/>
    <numFmt numFmtId="182" formatCode="&quot;$&quot;#,##0.0_);\(&quot;$&quot;#,##0.0\)"/>
  </numFmts>
  <fonts count="25" x14ac:knownFonts="1">
    <font>
      <sz val="8"/>
      <name val="Arial"/>
    </font>
    <font>
      <sz val="11"/>
      <color theme="1"/>
      <name val="Calibri"/>
      <family val="2"/>
      <scheme val="minor"/>
    </font>
    <font>
      <b/>
      <sz val="8"/>
      <color indexed="8"/>
      <name val="Arial"/>
      <family val="2"/>
    </font>
    <font>
      <sz val="8"/>
      <name val="Arial"/>
      <family val="2"/>
    </font>
    <font>
      <u/>
      <sz val="8"/>
      <name val="Arial"/>
      <family val="2"/>
    </font>
    <font>
      <sz val="10"/>
      <name val="Arial"/>
      <family val="2"/>
    </font>
    <font>
      <b/>
      <sz val="8"/>
      <name val="Arial"/>
      <family val="2"/>
    </font>
    <font>
      <sz val="10"/>
      <name val="Arial"/>
      <family val="2"/>
    </font>
    <font>
      <sz val="8"/>
      <color indexed="8"/>
      <name val="Arial"/>
      <family val="2"/>
    </font>
    <font>
      <sz val="8"/>
      <color indexed="81"/>
      <name val="Tahoma"/>
      <family val="2"/>
    </font>
    <font>
      <b/>
      <sz val="8"/>
      <color indexed="81"/>
      <name val="Tahoma"/>
      <family val="2"/>
    </font>
    <font>
      <b/>
      <u/>
      <sz val="8"/>
      <name val="Arial"/>
      <family val="2"/>
    </font>
    <font>
      <b/>
      <sz val="8"/>
      <color indexed="10"/>
      <name val="Arial"/>
      <family val="2"/>
    </font>
    <font>
      <sz val="10"/>
      <color indexed="81"/>
      <name val="Tahoma"/>
      <family val="2"/>
    </font>
    <font>
      <b/>
      <sz val="10"/>
      <color indexed="81"/>
      <name val="Tahoma"/>
      <family val="2"/>
    </font>
    <font>
      <b/>
      <sz val="8"/>
      <color indexed="8"/>
      <name val="Arial"/>
      <family val="2"/>
    </font>
    <font>
      <sz val="8"/>
      <name val="Arial"/>
      <family val="2"/>
    </font>
    <font>
      <sz val="9"/>
      <color indexed="81"/>
      <name val="Tahoma"/>
      <family val="2"/>
    </font>
    <font>
      <b/>
      <sz val="9"/>
      <color indexed="81"/>
      <name val="Tahoma"/>
      <family val="2"/>
    </font>
    <font>
      <sz val="8"/>
      <color theme="0"/>
      <name val="Arial"/>
      <family val="2"/>
    </font>
    <font>
      <sz val="8"/>
      <color rgb="FFFF0000"/>
      <name val="Arial"/>
      <family val="2"/>
    </font>
    <font>
      <sz val="10"/>
      <name val="Arial"/>
      <family val="2"/>
    </font>
    <font>
      <i/>
      <sz val="9"/>
      <color indexed="81"/>
      <name val="Tahoma"/>
      <family val="2"/>
    </font>
    <font>
      <sz val="8"/>
      <name val="Arial"/>
      <family val="2"/>
    </font>
    <font>
      <b/>
      <sz val="22"/>
      <color rgb="FFFF0000"/>
      <name val="Arial"/>
      <family val="2"/>
    </font>
  </fonts>
  <fills count="21">
    <fill>
      <patternFill patternType="none"/>
    </fill>
    <fill>
      <patternFill patternType="gray125"/>
    </fill>
    <fill>
      <patternFill patternType="solid">
        <fgColor indexed="9"/>
      </patternFill>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22"/>
        <bgColor indexed="64"/>
      </patternFill>
    </fill>
    <fill>
      <patternFill patternType="solid">
        <fgColor indexed="13"/>
        <bgColor indexed="64"/>
      </patternFill>
    </fill>
    <fill>
      <patternFill patternType="solid">
        <fgColor indexed="41"/>
        <bgColor indexed="64"/>
      </patternFill>
    </fill>
    <fill>
      <patternFill patternType="solid">
        <fgColor rgb="FF92D050"/>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rgb="FFCCFFCC"/>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FF99"/>
        <bgColor indexed="64"/>
      </patternFill>
    </fill>
    <fill>
      <patternFill patternType="solid">
        <fgColor rgb="FF00B0F0"/>
        <bgColor indexed="64"/>
      </patternFill>
    </fill>
    <fill>
      <patternFill patternType="solid">
        <fgColor theme="0" tint="-4.9989318521683403E-2"/>
        <bgColor indexed="64"/>
      </patternFill>
    </fill>
    <fill>
      <patternFill patternType="solid">
        <fgColor rgb="FF99FF99"/>
        <bgColor indexed="64"/>
      </patternFill>
    </fill>
  </fills>
  <borders count="13">
    <border>
      <left/>
      <right/>
      <top/>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right style="thin">
        <color indexed="64"/>
      </right>
      <top/>
      <bottom/>
      <diagonal/>
    </border>
    <border>
      <left style="thin">
        <color indexed="8"/>
      </left>
      <right style="thin">
        <color indexed="8"/>
      </right>
      <top style="thin">
        <color indexed="8"/>
      </top>
      <bottom/>
      <diagonal/>
    </border>
  </borders>
  <cellStyleXfs count="6">
    <xf numFmtId="0" fontId="0" fillId="2" borderId="0"/>
    <xf numFmtId="44" fontId="5" fillId="0" borderId="0" applyFont="0" applyFill="0" applyBorder="0" applyAlignment="0" applyProtection="0"/>
    <xf numFmtId="0" fontId="21" fillId="0" borderId="0"/>
    <xf numFmtId="0" fontId="1" fillId="0" borderId="0"/>
    <xf numFmtId="0" fontId="1" fillId="0" borderId="0"/>
    <xf numFmtId="9" fontId="23" fillId="0" borderId="0" applyFont="0" applyFill="0" applyBorder="0" applyAlignment="0" applyProtection="0"/>
  </cellStyleXfs>
  <cellXfs count="244">
    <xf numFmtId="0" fontId="0" fillId="2" borderId="0" xfId="0" applyNumberFormat="1"/>
    <xf numFmtId="0" fontId="0" fillId="2" borderId="1" xfId="0" applyNumberFormat="1" applyBorder="1"/>
    <xf numFmtId="0" fontId="0" fillId="2" borderId="2" xfId="0" applyNumberFormat="1" applyBorder="1"/>
    <xf numFmtId="0" fontId="0" fillId="2" borderId="3" xfId="0" applyNumberFormat="1" applyBorder="1"/>
    <xf numFmtId="0" fontId="0" fillId="2" borderId="4" xfId="0" applyNumberFormat="1" applyBorder="1"/>
    <xf numFmtId="0" fontId="2" fillId="2" borderId="0" xfId="0" applyNumberFormat="1" applyFont="1"/>
    <xf numFmtId="0" fontId="0" fillId="2" borderId="0" xfId="0" applyNumberFormat="1" applyFill="1"/>
    <xf numFmtId="0" fontId="0" fillId="2" borderId="0" xfId="0" applyNumberFormat="1" applyBorder="1"/>
    <xf numFmtId="37" fontId="0" fillId="2" borderId="0" xfId="0" applyNumberFormat="1"/>
    <xf numFmtId="3" fontId="0" fillId="2" borderId="0" xfId="0" applyNumberFormat="1"/>
    <xf numFmtId="166" fontId="0" fillId="2" borderId="0" xfId="0" applyNumberFormat="1"/>
    <xf numFmtId="37" fontId="0" fillId="3" borderId="0" xfId="0" applyNumberFormat="1" applyFill="1" applyBorder="1"/>
    <xf numFmtId="3" fontId="0" fillId="3" borderId="0" xfId="0" applyNumberFormat="1" applyFill="1"/>
    <xf numFmtId="37" fontId="0" fillId="3" borderId="0" xfId="0" applyNumberFormat="1" applyFill="1"/>
    <xf numFmtId="0" fontId="6" fillId="2" borderId="0" xfId="0" applyNumberFormat="1" applyFont="1"/>
    <xf numFmtId="0" fontId="0" fillId="2" borderId="0" xfId="0" applyNumberFormat="1" applyAlignment="1">
      <alignment horizontal="right"/>
    </xf>
    <xf numFmtId="167" fontId="0" fillId="2" borderId="0" xfId="0" applyNumberFormat="1"/>
    <xf numFmtId="3" fontId="3" fillId="3" borderId="0" xfId="0" applyNumberFormat="1" applyFont="1" applyFill="1" applyBorder="1" applyProtection="1">
      <protection locked="0"/>
    </xf>
    <xf numFmtId="1" fontId="0" fillId="2" borderId="0" xfId="0" applyNumberFormat="1"/>
    <xf numFmtId="17" fontId="4" fillId="2" borderId="0" xfId="0" applyNumberFormat="1" applyFont="1" applyAlignment="1">
      <alignment horizontal="right"/>
    </xf>
    <xf numFmtId="0" fontId="0" fillId="3" borderId="0" xfId="0" applyNumberFormat="1" applyFill="1"/>
    <xf numFmtId="167" fontId="0" fillId="3" borderId="0" xfId="0" applyNumberFormat="1" applyFill="1"/>
    <xf numFmtId="37" fontId="0" fillId="3" borderId="6" xfId="0" applyNumberFormat="1" applyFill="1" applyBorder="1"/>
    <xf numFmtId="5" fontId="0" fillId="3" borderId="6" xfId="0" applyNumberFormat="1" applyFill="1" applyBorder="1"/>
    <xf numFmtId="166" fontId="0" fillId="4" borderId="0" xfId="0" applyNumberFormat="1" applyFill="1"/>
    <xf numFmtId="0" fontId="0" fillId="4" borderId="0" xfId="0" applyNumberFormat="1" applyFill="1"/>
    <xf numFmtId="3" fontId="0" fillId="4" borderId="0" xfId="0" applyNumberFormat="1" applyFill="1"/>
    <xf numFmtId="167" fontId="0" fillId="4" borderId="0" xfId="0" applyNumberFormat="1" applyFill="1"/>
    <xf numFmtId="166" fontId="0" fillId="0" borderId="0" xfId="0" applyNumberFormat="1" applyFill="1"/>
    <xf numFmtId="0" fontId="3" fillId="5" borderId="0" xfId="0" applyNumberFormat="1" applyFont="1" applyFill="1"/>
    <xf numFmtId="0" fontId="0" fillId="5" borderId="0" xfId="0" applyNumberFormat="1" applyFill="1"/>
    <xf numFmtId="17" fontId="0" fillId="2" borderId="0" xfId="0" applyNumberFormat="1"/>
    <xf numFmtId="0" fontId="0" fillId="6" borderId="0" xfId="0" applyNumberFormat="1" applyFill="1"/>
    <xf numFmtId="17" fontId="4" fillId="3" borderId="0" xfId="0" applyNumberFormat="1" applyFont="1" applyFill="1" applyAlignment="1">
      <alignment horizontal="right"/>
    </xf>
    <xf numFmtId="0" fontId="0" fillId="7" borderId="0" xfId="0" applyNumberFormat="1" applyFill="1"/>
    <xf numFmtId="166" fontId="0" fillId="3" borderId="0" xfId="0" applyNumberFormat="1" applyFill="1" applyAlignment="1">
      <alignment horizontal="right"/>
    </xf>
    <xf numFmtId="166" fontId="3" fillId="3" borderId="0" xfId="0" applyNumberFormat="1" applyFont="1" applyFill="1" applyAlignment="1">
      <alignment horizontal="right"/>
    </xf>
    <xf numFmtId="3" fontId="3" fillId="3" borderId="0" xfId="0" applyNumberFormat="1" applyFont="1" applyFill="1" applyAlignment="1">
      <alignment horizontal="right"/>
    </xf>
    <xf numFmtId="0" fontId="6" fillId="3" borderId="0" xfId="0" applyNumberFormat="1" applyFont="1" applyFill="1"/>
    <xf numFmtId="0" fontId="11" fillId="2" borderId="0" xfId="0" applyNumberFormat="1" applyFont="1"/>
    <xf numFmtId="37" fontId="0" fillId="6" borderId="6" xfId="0" applyNumberFormat="1" applyFill="1" applyBorder="1"/>
    <xf numFmtId="5" fontId="0" fillId="3" borderId="0" xfId="0" applyNumberFormat="1" applyFill="1" applyBorder="1"/>
    <xf numFmtId="6" fontId="0" fillId="2" borderId="0" xfId="0" applyNumberFormat="1"/>
    <xf numFmtId="38" fontId="0" fillId="2" borderId="0" xfId="0" applyNumberFormat="1"/>
    <xf numFmtId="166" fontId="0" fillId="3" borderId="0" xfId="0" applyNumberFormat="1" applyFill="1"/>
    <xf numFmtId="10" fontId="0" fillId="4" borderId="0" xfId="0" applyNumberFormat="1" applyFill="1"/>
    <xf numFmtId="1" fontId="0" fillId="3" borderId="0" xfId="0" applyNumberFormat="1" applyFill="1"/>
    <xf numFmtId="168" fontId="0" fillId="4" borderId="0" xfId="0" applyNumberFormat="1" applyFill="1"/>
    <xf numFmtId="0" fontId="0" fillId="6" borderId="2" xfId="0" applyNumberFormat="1" applyFill="1" applyBorder="1"/>
    <xf numFmtId="0" fontId="0" fillId="6" borderId="1" xfId="0" applyNumberFormat="1" applyFill="1" applyBorder="1"/>
    <xf numFmtId="1" fontId="3" fillId="3" borderId="0" xfId="0" applyNumberFormat="1" applyFont="1" applyFill="1" applyAlignment="1">
      <alignment horizontal="right"/>
    </xf>
    <xf numFmtId="167" fontId="3" fillId="3" borderId="0" xfId="0" applyNumberFormat="1" applyFont="1" applyFill="1" applyAlignment="1">
      <alignment horizontal="right"/>
    </xf>
    <xf numFmtId="164" fontId="0" fillId="3" borderId="0" xfId="0" applyNumberFormat="1" applyFill="1"/>
    <xf numFmtId="10" fontId="0" fillId="3" borderId="0" xfId="0" applyNumberFormat="1" applyFill="1"/>
    <xf numFmtId="0" fontId="3" fillId="2" borderId="0" xfId="0" applyNumberFormat="1" applyFont="1"/>
    <xf numFmtId="167" fontId="0" fillId="6" borderId="0" xfId="0" applyNumberFormat="1" applyFill="1"/>
    <xf numFmtId="5" fontId="0" fillId="3" borderId="0" xfId="0" applyNumberFormat="1" applyFill="1"/>
    <xf numFmtId="0" fontId="12" fillId="2" borderId="0" xfId="0" applyNumberFormat="1" applyFont="1"/>
    <xf numFmtId="0" fontId="0" fillId="2" borderId="0" xfId="0"/>
    <xf numFmtId="3" fontId="0" fillId="7" borderId="0" xfId="0" applyNumberFormat="1" applyFill="1"/>
    <xf numFmtId="6" fontId="0" fillId="7" borderId="0" xfId="0" applyNumberFormat="1" applyFill="1"/>
    <xf numFmtId="172" fontId="0" fillId="3" borderId="0" xfId="0" applyNumberFormat="1" applyFill="1"/>
    <xf numFmtId="171" fontId="0" fillId="3" borderId="0" xfId="0" applyNumberFormat="1" applyFill="1"/>
    <xf numFmtId="6" fontId="0" fillId="3" borderId="0" xfId="0" applyNumberFormat="1" applyFill="1"/>
    <xf numFmtId="17" fontId="0" fillId="3" borderId="0" xfId="0" applyNumberFormat="1" applyFill="1"/>
    <xf numFmtId="3" fontId="0" fillId="6" borderId="0" xfId="0" applyNumberFormat="1" applyFill="1"/>
    <xf numFmtId="173" fontId="0" fillId="3" borderId="7" xfId="0" applyNumberFormat="1" applyFill="1" applyBorder="1" applyAlignment="1">
      <alignment horizontal="center"/>
    </xf>
    <xf numFmtId="0" fontId="2" fillId="2" borderId="0" xfId="0" applyNumberFormat="1" applyFont="1" applyBorder="1"/>
    <xf numFmtId="0" fontId="0" fillId="2" borderId="1" xfId="0" applyNumberFormat="1" applyFill="1" applyBorder="1"/>
    <xf numFmtId="0" fontId="0" fillId="2" borderId="8" xfId="0" applyNumberFormat="1" applyFill="1" applyBorder="1"/>
    <xf numFmtId="0" fontId="8" fillId="2" borderId="2" xfId="0" applyNumberFormat="1" applyFont="1" applyBorder="1"/>
    <xf numFmtId="0" fontId="8" fillId="2" borderId="9" xfId="0" applyNumberFormat="1" applyFont="1" applyBorder="1"/>
    <xf numFmtId="0" fontId="7" fillId="3" borderId="0" xfId="0" applyNumberFormat="1" applyFont="1" applyFill="1"/>
    <xf numFmtId="38" fontId="0" fillId="3" borderId="0" xfId="0" applyNumberFormat="1" applyFill="1"/>
    <xf numFmtId="173" fontId="0" fillId="3" borderId="0" xfId="0" applyNumberFormat="1" applyFill="1"/>
    <xf numFmtId="0" fontId="3" fillId="0" borderId="0" xfId="0" applyNumberFormat="1" applyFont="1" applyFill="1"/>
    <xf numFmtId="173" fontId="0" fillId="3" borderId="0" xfId="0" applyNumberFormat="1" applyFill="1" applyBorder="1" applyAlignment="1">
      <alignment horizontal="center"/>
    </xf>
    <xf numFmtId="0" fontId="8" fillId="3" borderId="0" xfId="0" applyNumberFormat="1" applyFont="1" applyFill="1" applyBorder="1"/>
    <xf numFmtId="0" fontId="0" fillId="3" borderId="0" xfId="0" applyNumberFormat="1" applyFill="1" applyBorder="1"/>
    <xf numFmtId="0" fontId="2" fillId="3" borderId="0" xfId="0" applyNumberFormat="1" applyFont="1" applyFill="1"/>
    <xf numFmtId="0" fontId="0" fillId="3" borderId="1" xfId="0" applyNumberFormat="1" applyFill="1" applyBorder="1"/>
    <xf numFmtId="0" fontId="6" fillId="3" borderId="0" xfId="0" applyNumberFormat="1" applyFont="1" applyFill="1" applyBorder="1"/>
    <xf numFmtId="37" fontId="0" fillId="3" borderId="10" xfId="0" applyNumberFormat="1" applyFill="1" applyBorder="1"/>
    <xf numFmtId="3" fontId="0" fillId="0" borderId="0" xfId="0" applyNumberFormat="1" applyFill="1"/>
    <xf numFmtId="14" fontId="0" fillId="2" borderId="0" xfId="0" applyNumberFormat="1"/>
    <xf numFmtId="174" fontId="0" fillId="4" borderId="0" xfId="0" applyNumberFormat="1" applyFill="1"/>
    <xf numFmtId="0" fontId="15" fillId="3" borderId="0" xfId="0" applyNumberFormat="1" applyFont="1" applyFill="1"/>
    <xf numFmtId="0" fontId="0" fillId="3" borderId="2" xfId="0" applyNumberFormat="1" applyFill="1" applyBorder="1"/>
    <xf numFmtId="167" fontId="0" fillId="5" borderId="0" xfId="0" applyNumberFormat="1" applyFill="1"/>
    <xf numFmtId="0" fontId="5" fillId="3" borderId="11" xfId="0" applyFont="1" applyFill="1" applyBorder="1" applyAlignment="1">
      <alignment horizontal="right"/>
    </xf>
    <xf numFmtId="6" fontId="0" fillId="8" borderId="0" xfId="0" applyNumberFormat="1" applyFill="1"/>
    <xf numFmtId="37" fontId="0" fillId="8" borderId="10" xfId="0" applyNumberFormat="1" applyFill="1" applyBorder="1"/>
    <xf numFmtId="37" fontId="0" fillId="8" borderId="5" xfId="0" applyNumberFormat="1" applyFill="1" applyBorder="1"/>
    <xf numFmtId="8" fontId="0" fillId="3" borderId="0" xfId="0" applyNumberFormat="1" applyFill="1"/>
    <xf numFmtId="5" fontId="0" fillId="8" borderId="5" xfId="0" applyNumberFormat="1" applyFill="1" applyBorder="1"/>
    <xf numFmtId="165" fontId="0" fillId="2" borderId="0" xfId="0" applyNumberFormat="1"/>
    <xf numFmtId="0" fontId="0" fillId="0" borderId="0" xfId="0" applyNumberFormat="1" applyFill="1"/>
    <xf numFmtId="10" fontId="0" fillId="0" borderId="0" xfId="0" applyNumberFormat="1" applyFill="1"/>
    <xf numFmtId="174" fontId="0" fillId="2" borderId="0" xfId="0" applyNumberFormat="1"/>
    <xf numFmtId="164" fontId="4" fillId="4" borderId="0" xfId="0" applyNumberFormat="1" applyFont="1" applyFill="1" applyAlignment="1">
      <alignment horizontal="right"/>
    </xf>
    <xf numFmtId="0" fontId="3" fillId="2" borderId="0" xfId="0" applyNumberFormat="1" applyFont="1" applyFill="1"/>
    <xf numFmtId="10" fontId="0" fillId="2" borderId="0" xfId="0" applyNumberFormat="1"/>
    <xf numFmtId="166" fontId="0" fillId="9" borderId="0" xfId="0" applyNumberFormat="1" applyFill="1"/>
    <xf numFmtId="170" fontId="0" fillId="4" borderId="0" xfId="0" applyNumberFormat="1" applyFill="1"/>
    <xf numFmtId="170" fontId="0" fillId="5" borderId="0" xfId="0" applyNumberFormat="1" applyFill="1"/>
    <xf numFmtId="164" fontId="0" fillId="5" borderId="0" xfId="0" applyNumberFormat="1" applyFill="1"/>
    <xf numFmtId="0" fontId="3" fillId="2" borderId="2" xfId="0" applyNumberFormat="1" applyFont="1" applyBorder="1"/>
    <xf numFmtId="5" fontId="0" fillId="12" borderId="6" xfId="0" applyNumberFormat="1" applyFill="1" applyBorder="1"/>
    <xf numFmtId="37" fontId="0" fillId="12" borderId="6" xfId="0" applyNumberFormat="1" applyFill="1" applyBorder="1"/>
    <xf numFmtId="0" fontId="3" fillId="3" borderId="0" xfId="0" applyNumberFormat="1" applyFont="1" applyFill="1"/>
    <xf numFmtId="3" fontId="0" fillId="12" borderId="0" xfId="0" applyNumberFormat="1" applyFill="1"/>
    <xf numFmtId="166" fontId="0" fillId="12" borderId="0" xfId="0" applyNumberFormat="1" applyFill="1"/>
    <xf numFmtId="0" fontId="0" fillId="12" borderId="0" xfId="0" applyNumberFormat="1" applyFill="1"/>
    <xf numFmtId="6" fontId="0" fillId="13" borderId="0" xfId="0" applyNumberFormat="1" applyFill="1"/>
    <xf numFmtId="38" fontId="0" fillId="13" borderId="0" xfId="0" applyNumberFormat="1" applyFill="1"/>
    <xf numFmtId="6" fontId="0" fillId="12" borderId="0" xfId="0" applyNumberFormat="1" applyFill="1"/>
    <xf numFmtId="3" fontId="0" fillId="14" borderId="0" xfId="0" applyNumberFormat="1" applyFill="1"/>
    <xf numFmtId="3" fontId="0" fillId="11" borderId="0" xfId="0" applyNumberFormat="1" applyFill="1"/>
    <xf numFmtId="166" fontId="0" fillId="11" borderId="0" xfId="0" applyNumberFormat="1" applyFill="1"/>
    <xf numFmtId="0" fontId="0" fillId="11" borderId="0" xfId="0" applyNumberFormat="1" applyFill="1"/>
    <xf numFmtId="7" fontId="16" fillId="14" borderId="0" xfId="1" applyNumberFormat="1" applyFont="1" applyFill="1"/>
    <xf numFmtId="167" fontId="0" fillId="15" borderId="0" xfId="0" applyNumberFormat="1" applyFill="1"/>
    <xf numFmtId="2" fontId="0" fillId="13" borderId="0" xfId="0" applyNumberFormat="1" applyFill="1"/>
    <xf numFmtId="2" fontId="0" fillId="14" borderId="0" xfId="0" applyNumberFormat="1" applyFill="1"/>
    <xf numFmtId="166" fontId="0" fillId="14" borderId="0" xfId="0" applyNumberFormat="1" applyFill="1"/>
    <xf numFmtId="1" fontId="0" fillId="14" borderId="0" xfId="0" applyNumberFormat="1" applyFill="1"/>
    <xf numFmtId="171" fontId="0" fillId="14" borderId="0" xfId="0" applyNumberFormat="1" applyFill="1"/>
    <xf numFmtId="166" fontId="0" fillId="13" borderId="0" xfId="0" applyNumberFormat="1" applyFill="1"/>
    <xf numFmtId="165" fontId="0" fillId="14" borderId="0" xfId="0" applyNumberFormat="1" applyFill="1"/>
    <xf numFmtId="169" fontId="0" fillId="14" borderId="0" xfId="0" applyNumberFormat="1" applyFill="1"/>
    <xf numFmtId="164" fontId="0" fillId="11" borderId="0" xfId="0" applyNumberFormat="1" applyFill="1"/>
    <xf numFmtId="0" fontId="0" fillId="14" borderId="0" xfId="0" applyNumberFormat="1" applyFill="1"/>
    <xf numFmtId="10" fontId="0" fillId="14" borderId="0" xfId="0" applyNumberFormat="1" applyFill="1"/>
    <xf numFmtId="165" fontId="3" fillId="2" borderId="0" xfId="0" applyNumberFormat="1" applyFont="1"/>
    <xf numFmtId="6" fontId="0" fillId="2" borderId="0" xfId="1" applyNumberFormat="1" applyFont="1" applyFill="1"/>
    <xf numFmtId="0" fontId="3" fillId="12" borderId="0" xfId="0" applyNumberFormat="1" applyFont="1" applyFill="1"/>
    <xf numFmtId="166" fontId="0" fillId="17" borderId="0" xfId="0" applyNumberFormat="1" applyFill="1"/>
    <xf numFmtId="167" fontId="0" fillId="17" borderId="0" xfId="0" applyNumberFormat="1" applyFill="1"/>
    <xf numFmtId="5" fontId="0" fillId="18" borderId="0" xfId="0" applyNumberFormat="1" applyFill="1"/>
    <xf numFmtId="0" fontId="0" fillId="18" borderId="0" xfId="0" applyNumberFormat="1" applyFill="1"/>
    <xf numFmtId="0" fontId="19" fillId="18" borderId="0" xfId="0" applyNumberFormat="1" applyFont="1" applyFill="1"/>
    <xf numFmtId="0" fontId="0" fillId="11" borderId="2" xfId="0" applyNumberFormat="1" applyFill="1" applyBorder="1"/>
    <xf numFmtId="0" fontId="0" fillId="11" borderId="1" xfId="0" applyNumberFormat="1" applyFill="1" applyBorder="1"/>
    <xf numFmtId="0" fontId="6" fillId="2" borderId="0" xfId="0" applyNumberFormat="1" applyFont="1" applyFill="1"/>
    <xf numFmtId="167" fontId="0" fillId="14" borderId="0" xfId="0" applyNumberFormat="1" applyFill="1"/>
    <xf numFmtId="5" fontId="0" fillId="11" borderId="0" xfId="0" applyNumberFormat="1" applyFill="1"/>
    <xf numFmtId="0" fontId="0" fillId="11" borderId="0" xfId="0" applyNumberFormat="1" applyFill="1" applyBorder="1"/>
    <xf numFmtId="0" fontId="3" fillId="11" borderId="0" xfId="0" applyNumberFormat="1" applyFont="1" applyFill="1"/>
    <xf numFmtId="8" fontId="0" fillId="11" borderId="0" xfId="0" applyNumberFormat="1" applyFill="1"/>
    <xf numFmtId="0" fontId="6" fillId="11" borderId="0" xfId="0" applyNumberFormat="1" applyFont="1" applyFill="1"/>
    <xf numFmtId="1" fontId="0" fillId="11" borderId="0" xfId="0" applyNumberFormat="1" applyFill="1"/>
    <xf numFmtId="0" fontId="11" fillId="11" borderId="0" xfId="0" applyNumberFormat="1" applyFont="1" applyFill="1"/>
    <xf numFmtId="0" fontId="3" fillId="2" borderId="1" xfId="0" applyNumberFormat="1" applyFont="1" applyBorder="1"/>
    <xf numFmtId="167" fontId="0" fillId="0" borderId="0" xfId="0" applyNumberFormat="1" applyFill="1"/>
    <xf numFmtId="0" fontId="3" fillId="2" borderId="3" xfId="0" applyNumberFormat="1" applyFont="1" applyBorder="1"/>
    <xf numFmtId="175" fontId="0" fillId="14" borderId="0" xfId="0" applyNumberFormat="1" applyFill="1"/>
    <xf numFmtId="170" fontId="0" fillId="14" borderId="0" xfId="0" applyNumberFormat="1" applyFill="1"/>
    <xf numFmtId="5" fontId="0" fillId="11" borderId="6" xfId="0" applyNumberFormat="1" applyFill="1" applyBorder="1"/>
    <xf numFmtId="3" fontId="3" fillId="12" borderId="0" xfId="0" applyNumberFormat="1" applyFont="1" applyFill="1" applyAlignment="1">
      <alignment horizontal="right"/>
    </xf>
    <xf numFmtId="8" fontId="0" fillId="14" borderId="0" xfId="0" applyNumberFormat="1" applyFill="1"/>
    <xf numFmtId="6" fontId="0" fillId="14" borderId="0" xfId="0" applyNumberFormat="1" applyFill="1"/>
    <xf numFmtId="167" fontId="0" fillId="13" borderId="0" xfId="0" applyNumberFormat="1" applyFill="1"/>
    <xf numFmtId="3" fontId="0" fillId="13" borderId="0" xfId="0" applyNumberFormat="1" applyFill="1"/>
    <xf numFmtId="0" fontId="0" fillId="11" borderId="0" xfId="0" applyFill="1"/>
    <xf numFmtId="38" fontId="0" fillId="11" borderId="0" xfId="0" applyNumberFormat="1" applyFill="1"/>
    <xf numFmtId="6" fontId="0" fillId="11" borderId="0" xfId="0" applyNumberFormat="1" applyFill="1"/>
    <xf numFmtId="8" fontId="0" fillId="2" borderId="0" xfId="0" applyNumberFormat="1"/>
    <xf numFmtId="164" fontId="0" fillId="14" borderId="0" xfId="0" applyNumberFormat="1" applyFill="1"/>
    <xf numFmtId="167" fontId="0" fillId="12" borderId="0" xfId="0" applyNumberFormat="1" applyFill="1"/>
    <xf numFmtId="9" fontId="0" fillId="14" borderId="0" xfId="0" applyNumberFormat="1" applyFill="1"/>
    <xf numFmtId="0" fontId="20" fillId="2" borderId="0" xfId="0" applyNumberFormat="1" applyFont="1"/>
    <xf numFmtId="176" fontId="0" fillId="14" borderId="0" xfId="0" applyNumberFormat="1" applyFill="1"/>
    <xf numFmtId="177" fontId="0" fillId="2" borderId="0" xfId="0" applyNumberFormat="1"/>
    <xf numFmtId="0" fontId="0" fillId="15" borderId="0" xfId="0" applyNumberFormat="1" applyFill="1"/>
    <xf numFmtId="165" fontId="0" fillId="11" borderId="0" xfId="0" applyNumberFormat="1" applyFill="1"/>
    <xf numFmtId="0" fontId="0" fillId="14" borderId="0" xfId="0" applyFill="1"/>
    <xf numFmtId="3" fontId="0" fillId="19" borderId="0" xfId="0" applyNumberFormat="1" applyFill="1"/>
    <xf numFmtId="10" fontId="0" fillId="19" borderId="0" xfId="0" applyNumberFormat="1" applyFill="1"/>
    <xf numFmtId="3" fontId="0" fillId="15" borderId="0" xfId="0" applyNumberFormat="1" applyFill="1"/>
    <xf numFmtId="38" fontId="0" fillId="15" borderId="0" xfId="0" applyNumberFormat="1" applyFill="1"/>
    <xf numFmtId="174" fontId="0" fillId="14" borderId="0" xfId="0" applyNumberFormat="1" applyFill="1"/>
    <xf numFmtId="6" fontId="0" fillId="15" borderId="0" xfId="0" applyNumberFormat="1" applyFill="1"/>
    <xf numFmtId="17" fontId="4" fillId="11" borderId="0" xfId="0" applyNumberFormat="1" applyFont="1" applyFill="1" applyAlignment="1">
      <alignment horizontal="right"/>
    </xf>
    <xf numFmtId="173" fontId="0" fillId="5" borderId="0" xfId="0" applyNumberFormat="1" applyFill="1"/>
    <xf numFmtId="17" fontId="0" fillId="7" borderId="0" xfId="0" applyNumberFormat="1" applyFill="1"/>
    <xf numFmtId="7" fontId="16" fillId="13" borderId="0" xfId="1" applyNumberFormat="1" applyFont="1" applyFill="1"/>
    <xf numFmtId="37" fontId="0" fillId="11" borderId="6" xfId="0" applyNumberFormat="1" applyFill="1" applyBorder="1"/>
    <xf numFmtId="17" fontId="0" fillId="0" borderId="0" xfId="0" applyNumberFormat="1" applyFill="1"/>
    <xf numFmtId="9" fontId="0" fillId="11" borderId="0" xfId="0" applyNumberFormat="1" applyFill="1"/>
    <xf numFmtId="9" fontId="3" fillId="11" borderId="0" xfId="0" applyNumberFormat="1" applyFont="1" applyFill="1"/>
    <xf numFmtId="179" fontId="0" fillId="15" borderId="0" xfId="0" applyNumberFormat="1" applyFill="1"/>
    <xf numFmtId="167" fontId="3" fillId="11" borderId="0" xfId="0" applyNumberFormat="1" applyFont="1" applyFill="1"/>
    <xf numFmtId="3" fontId="0" fillId="9" borderId="0" xfId="0" applyNumberFormat="1" applyFill="1"/>
    <xf numFmtId="6" fontId="0" fillId="0" borderId="0" xfId="0" applyNumberFormat="1" applyFill="1"/>
    <xf numFmtId="167" fontId="4" fillId="0" borderId="0" xfId="0" applyNumberFormat="1" applyFont="1" applyFill="1" applyAlignment="1">
      <alignment horizontal="right"/>
    </xf>
    <xf numFmtId="0" fontId="3" fillId="3" borderId="0" xfId="0" applyNumberFormat="1" applyFont="1" applyFill="1" applyBorder="1"/>
    <xf numFmtId="174" fontId="0" fillId="0" borderId="0" xfId="0" applyNumberFormat="1" applyFill="1"/>
    <xf numFmtId="2" fontId="0" fillId="11" borderId="0" xfId="0" applyNumberFormat="1" applyFill="1"/>
    <xf numFmtId="8" fontId="3" fillId="14" borderId="0" xfId="0" applyNumberFormat="1" applyFont="1" applyFill="1"/>
    <xf numFmtId="178" fontId="0" fillId="11" borderId="0" xfId="0" applyNumberFormat="1" applyFill="1"/>
    <xf numFmtId="180" fontId="0" fillId="11" borderId="0" xfId="0" applyNumberFormat="1" applyFill="1"/>
    <xf numFmtId="181" fontId="0" fillId="14" borderId="0" xfId="0" applyNumberFormat="1" applyFill="1"/>
    <xf numFmtId="0" fontId="3" fillId="3" borderId="2" xfId="0" applyNumberFormat="1" applyFont="1" applyFill="1" applyBorder="1"/>
    <xf numFmtId="3" fontId="3" fillId="11" borderId="0" xfId="0" applyNumberFormat="1" applyFont="1" applyFill="1" applyBorder="1" applyProtection="1">
      <protection locked="0"/>
    </xf>
    <xf numFmtId="38" fontId="0" fillId="14" borderId="0" xfId="0" applyNumberFormat="1" applyFill="1"/>
    <xf numFmtId="0" fontId="3" fillId="18" borderId="0" xfId="0" applyNumberFormat="1" applyFont="1" applyFill="1"/>
    <xf numFmtId="164" fontId="0" fillId="9" borderId="0" xfId="0" applyNumberFormat="1" applyFill="1"/>
    <xf numFmtId="0" fontId="0" fillId="9" borderId="0" xfId="0" applyNumberFormat="1" applyFill="1"/>
    <xf numFmtId="44" fontId="0" fillId="14" borderId="0" xfId="1" applyFont="1" applyFill="1"/>
    <xf numFmtId="181" fontId="0" fillId="11" borderId="6" xfId="0" applyNumberFormat="1" applyFill="1" applyBorder="1"/>
    <xf numFmtId="166" fontId="3" fillId="13" borderId="0" xfId="0" applyNumberFormat="1" applyFont="1" applyFill="1"/>
    <xf numFmtId="0" fontId="3" fillId="9" borderId="2" xfId="0" applyNumberFormat="1" applyFont="1" applyFill="1" applyBorder="1"/>
    <xf numFmtId="0" fontId="0" fillId="9" borderId="1" xfId="0" applyNumberFormat="1" applyFill="1" applyBorder="1"/>
    <xf numFmtId="0" fontId="3" fillId="16" borderId="2" xfId="0" applyNumberFormat="1" applyFont="1" applyFill="1" applyBorder="1"/>
    <xf numFmtId="0" fontId="0" fillId="16" borderId="1" xfId="0" applyNumberFormat="1" applyFill="1" applyBorder="1"/>
    <xf numFmtId="171" fontId="0" fillId="20" borderId="0" xfId="0" applyNumberFormat="1" applyFill="1"/>
    <xf numFmtId="38" fontId="0" fillId="0" borderId="0" xfId="0" applyNumberFormat="1" applyFill="1"/>
    <xf numFmtId="2" fontId="0" fillId="9" borderId="0" xfId="0" applyNumberFormat="1" applyFill="1"/>
    <xf numFmtId="9" fontId="0" fillId="14" borderId="0" xfId="5" applyFont="1" applyFill="1"/>
    <xf numFmtId="174" fontId="3" fillId="14" borderId="0" xfId="0" applyNumberFormat="1" applyFont="1" applyFill="1"/>
    <xf numFmtId="8" fontId="3" fillId="2" borderId="0" xfId="0" applyNumberFormat="1" applyFont="1"/>
    <xf numFmtId="0" fontId="3" fillId="3" borderId="1" xfId="0" applyNumberFormat="1" applyFont="1" applyFill="1" applyBorder="1"/>
    <xf numFmtId="0" fontId="3" fillId="13" borderId="0" xfId="0" applyNumberFormat="1" applyFont="1" applyFill="1"/>
    <xf numFmtId="181" fontId="0" fillId="11" borderId="0" xfId="0" applyNumberFormat="1" applyFill="1"/>
    <xf numFmtId="9" fontId="0" fillId="2" borderId="0" xfId="5" applyFont="1" applyFill="1"/>
    <xf numFmtId="6" fontId="0" fillId="9" borderId="0" xfId="0" applyNumberFormat="1" applyFill="1"/>
    <xf numFmtId="181" fontId="0" fillId="11" borderId="0" xfId="1" applyNumberFormat="1" applyFont="1" applyFill="1"/>
    <xf numFmtId="181" fontId="0" fillId="14" borderId="0" xfId="1" applyNumberFormat="1" applyFont="1" applyFill="1"/>
    <xf numFmtId="165" fontId="0" fillId="13" borderId="0" xfId="0" applyNumberFormat="1" applyFill="1"/>
    <xf numFmtId="181" fontId="0" fillId="2" borderId="0" xfId="1" applyNumberFormat="1" applyFont="1" applyFill="1"/>
    <xf numFmtId="3" fontId="24" fillId="15" borderId="0" xfId="0" applyNumberFormat="1" applyFont="1" applyFill="1"/>
    <xf numFmtId="171" fontId="0" fillId="9" borderId="0" xfId="0" applyNumberFormat="1" applyFill="1"/>
    <xf numFmtId="0" fontId="0" fillId="10" borderId="0" xfId="0" applyFill="1"/>
    <xf numFmtId="166" fontId="3" fillId="9" borderId="0" xfId="0" applyNumberFormat="1" applyFont="1" applyFill="1"/>
    <xf numFmtId="166" fontId="0" fillId="9" borderId="0" xfId="0" applyNumberFormat="1" applyFill="1" applyAlignment="1">
      <alignment horizontal="right"/>
    </xf>
    <xf numFmtId="169" fontId="0" fillId="9" borderId="0" xfId="0" applyNumberFormat="1" applyFill="1"/>
    <xf numFmtId="165" fontId="0" fillId="9" borderId="0" xfId="0" applyNumberFormat="1" applyFill="1"/>
    <xf numFmtId="8" fontId="0" fillId="9" borderId="0" xfId="0" applyNumberFormat="1" applyFill="1"/>
    <xf numFmtId="167" fontId="0" fillId="9" borderId="0" xfId="0" applyNumberFormat="1" applyFill="1"/>
    <xf numFmtId="7" fontId="0" fillId="3" borderId="0" xfId="0" applyNumberFormat="1" applyFill="1" applyBorder="1"/>
    <xf numFmtId="1" fontId="0" fillId="3" borderId="0" xfId="0" applyNumberFormat="1" applyFill="1" applyBorder="1"/>
    <xf numFmtId="182" fontId="0" fillId="3" borderId="0" xfId="0" applyNumberFormat="1" applyFill="1" applyBorder="1"/>
    <xf numFmtId="7" fontId="0" fillId="3" borderId="6" xfId="0" applyNumberFormat="1" applyFill="1" applyBorder="1"/>
    <xf numFmtId="1" fontId="0" fillId="3" borderId="12" xfId="0" applyNumberFormat="1" applyFill="1" applyBorder="1" applyAlignment="1">
      <alignment horizontal="center"/>
    </xf>
  </cellXfs>
  <cellStyles count="6">
    <cellStyle name="Currency" xfId="1" builtinId="4"/>
    <cellStyle name="Normal" xfId="0" builtinId="0"/>
    <cellStyle name="Normal 2" xfId="3" xr:uid="{00000000-0005-0000-0000-000003000000}"/>
    <cellStyle name="Normal 3" xfId="4" xr:uid="{00000000-0005-0000-0000-000004000000}"/>
    <cellStyle name="Normal 4" xfId="2" xr:uid="{00000000-0005-0000-0000-000005000000}"/>
    <cellStyle name="Percent" xfId="5"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FFF"/>
      <rgbColor rgb="0069FFFF"/>
      <rgbColor rgb="00E0FFE0"/>
      <rgbColor rgb="00FFFF80"/>
      <rgbColor rgb="00A6CAF0"/>
      <rgbColor rgb="00DD9CB3"/>
      <rgbColor rgb="00B38FEE"/>
      <rgbColor rgb="00E3E3E3"/>
      <rgbColor rgb="002A6FF9"/>
      <rgbColor rgb="003FB8CD"/>
      <rgbColor rgb="00488436"/>
      <rgbColor rgb="00958C41"/>
      <rgbColor rgb="008E5E42"/>
      <rgbColor rgb="00A0627A"/>
      <rgbColor rgb="00624FAC"/>
      <rgbColor rgb="00969696"/>
      <rgbColor rgb="001D2FBE"/>
      <rgbColor rgb="00286676"/>
      <rgbColor rgb="00004500"/>
      <rgbColor rgb="00453E01"/>
      <rgbColor rgb="006A2813"/>
      <rgbColor rgb="0085396A"/>
      <rgbColor rgb="004A3285"/>
      <rgbColor rgb="00424242"/>
    </indexedColors>
    <mruColors>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41"/>
  <sheetViews>
    <sheetView topLeftCell="A13" workbookViewId="0">
      <selection activeCell="C17" sqref="C17"/>
    </sheetView>
  </sheetViews>
  <sheetFormatPr defaultRowHeight="10.199999999999999" x14ac:dyDescent="0.2"/>
  <cols>
    <col min="1" max="1" width="20" bestFit="1" customWidth="1"/>
    <col min="2" max="2" width="24.140625" customWidth="1"/>
    <col min="3" max="3" width="13.28515625" bestFit="1" customWidth="1"/>
    <col min="4" max="8" width="11.85546875" bestFit="1" customWidth="1"/>
    <col min="9" max="9" width="13.7109375" customWidth="1"/>
    <col min="10" max="10" width="11.85546875" bestFit="1" customWidth="1"/>
    <col min="11" max="11" width="13.85546875" customWidth="1"/>
  </cols>
  <sheetData>
    <row r="2" spans="1:11" x14ac:dyDescent="0.2">
      <c r="A2" s="39"/>
      <c r="B2" s="39"/>
    </row>
    <row r="3" spans="1:11" x14ac:dyDescent="0.2">
      <c r="A3" s="84"/>
      <c r="B3" s="95"/>
      <c r="C3" s="18">
        <v>2013</v>
      </c>
      <c r="D3">
        <v>2014</v>
      </c>
      <c r="E3">
        <v>2015</v>
      </c>
      <c r="F3">
        <v>2016</v>
      </c>
      <c r="G3">
        <v>2017</v>
      </c>
      <c r="H3">
        <v>2018</v>
      </c>
      <c r="I3">
        <v>2019</v>
      </c>
      <c r="J3">
        <v>2020</v>
      </c>
      <c r="K3">
        <v>2021</v>
      </c>
    </row>
    <row r="4" spans="1:11" x14ac:dyDescent="0.2">
      <c r="A4" s="84"/>
      <c r="B4" s="95" t="s">
        <v>336</v>
      </c>
      <c r="C4" s="9" t="e">
        <f>+MWH!#REF!*1000</f>
        <v>#REF!</v>
      </c>
      <c r="D4" s="9" t="e">
        <f>+MWH!#REF!*1000</f>
        <v>#REF!</v>
      </c>
      <c r="E4" s="9" t="e">
        <f>+MWH!#REF!*1000</f>
        <v>#REF!</v>
      </c>
      <c r="F4" s="9" t="e">
        <f>+MWH!#REF!*1000</f>
        <v>#REF!</v>
      </c>
      <c r="G4" s="9" t="e">
        <f>+MWH!#REF!*1000</f>
        <v>#REF!</v>
      </c>
      <c r="H4" s="9" t="e">
        <f>+MWH!#REF!*1000</f>
        <v>#REF!</v>
      </c>
      <c r="I4" s="9" t="e">
        <f>+MWH!#REF!*1000</f>
        <v>#REF!</v>
      </c>
      <c r="J4" s="9" t="e">
        <f>+MWH!#REF!*1000</f>
        <v>#REF!</v>
      </c>
      <c r="K4" s="9" t="e">
        <f>+MWH!#REF!*1000</f>
        <v>#REF!</v>
      </c>
    </row>
    <row r="5" spans="1:11" x14ac:dyDescent="0.2">
      <c r="A5" s="84"/>
      <c r="B5" s="133" t="s">
        <v>341</v>
      </c>
      <c r="C5" s="43" t="e">
        <f>-MWH!#REF!*1000</f>
        <v>#REF!</v>
      </c>
      <c r="D5" s="43" t="e">
        <f>-MWH!#REF!*1000</f>
        <v>#REF!</v>
      </c>
      <c r="E5" s="43" t="e">
        <f>-MWH!#REF!*1000</f>
        <v>#REF!</v>
      </c>
      <c r="F5" s="43" t="e">
        <f>-MWH!#REF!*1000</f>
        <v>#REF!</v>
      </c>
      <c r="G5" s="43" t="e">
        <f>-MWH!#REF!*1000</f>
        <v>#REF!</v>
      </c>
      <c r="H5" s="43" t="e">
        <f>-MWH!#REF!*1000</f>
        <v>#REF!</v>
      </c>
      <c r="I5" s="43" t="e">
        <f>-MWH!#REF!*1000</f>
        <v>#REF!</v>
      </c>
      <c r="J5" s="43" t="e">
        <f>-MWH!#REF!*1000</f>
        <v>#REF!</v>
      </c>
      <c r="K5" s="43" t="e">
        <f>-MWH!#REF!*1000</f>
        <v>#REF!</v>
      </c>
    </row>
    <row r="6" spans="1:11" x14ac:dyDescent="0.2">
      <c r="A6" s="84"/>
      <c r="B6" s="133" t="s">
        <v>342</v>
      </c>
      <c r="C6" s="9" t="e">
        <f>+MWH!#REF!*1000</f>
        <v>#REF!</v>
      </c>
      <c r="D6" s="9" t="e">
        <f>+MWH!#REF!*1000</f>
        <v>#REF!</v>
      </c>
      <c r="E6" s="9" t="e">
        <f>+MWH!#REF!*1000</f>
        <v>#REF!</v>
      </c>
      <c r="F6" s="9" t="e">
        <f>+MWH!#REF!*1000</f>
        <v>#REF!</v>
      </c>
      <c r="G6" s="9" t="e">
        <f>+MWH!#REF!*1000</f>
        <v>#REF!</v>
      </c>
      <c r="H6" s="9" t="e">
        <f>+MWH!#REF!*1000</f>
        <v>#REF!</v>
      </c>
      <c r="I6" s="9" t="e">
        <f>+MWH!#REF!*1000</f>
        <v>#REF!</v>
      </c>
      <c r="J6" s="9" t="e">
        <f>+MWH!#REF!*1000</f>
        <v>#REF!</v>
      </c>
      <c r="K6" s="9" t="e">
        <f>+MWH!#REF!*1000</f>
        <v>#REF!</v>
      </c>
    </row>
    <row r="7" spans="1:11" x14ac:dyDescent="0.2">
      <c r="B7" s="95" t="s">
        <v>338</v>
      </c>
      <c r="C7" s="42" t="e">
        <f>+'$'!#REF!-'$'!#REF!</f>
        <v>#REF!</v>
      </c>
      <c r="D7" s="42" t="e">
        <f>+'$'!#REF!-'$'!#REF!</f>
        <v>#REF!</v>
      </c>
      <c r="E7" s="42" t="e">
        <f>+'$'!#REF!-'$'!#REF!</f>
        <v>#REF!</v>
      </c>
      <c r="F7" s="42" t="e">
        <f>+'$'!#REF!-'$'!#REF!</f>
        <v>#REF!</v>
      </c>
      <c r="G7" s="42" t="e">
        <f>+'$'!#REF!-'$'!#REF!</f>
        <v>#REF!</v>
      </c>
      <c r="H7" s="42" t="e">
        <f>+'$'!#REF!-'$'!#REF!</f>
        <v>#REF!</v>
      </c>
      <c r="I7" s="42" t="e">
        <f>+'$'!#REF!-'$'!#REF!</f>
        <v>#REF!</v>
      </c>
      <c r="J7" s="42" t="e">
        <f>+'$'!#REF!-'$'!#REF!</f>
        <v>#REF!</v>
      </c>
      <c r="K7" s="42" t="e">
        <f>+'$'!#REF!-'$'!#REF!</f>
        <v>#REF!</v>
      </c>
    </row>
    <row r="8" spans="1:11" x14ac:dyDescent="0.2">
      <c r="B8" s="95" t="s">
        <v>337</v>
      </c>
      <c r="C8" s="42" t="e">
        <f>-'$'!#REF!</f>
        <v>#REF!</v>
      </c>
      <c r="D8" s="42" t="e">
        <f>-'$'!#REF!</f>
        <v>#REF!</v>
      </c>
      <c r="E8" s="42" t="e">
        <f>-'$'!#REF!</f>
        <v>#REF!</v>
      </c>
      <c r="F8" s="42" t="e">
        <f>-'$'!#REF!</f>
        <v>#REF!</v>
      </c>
      <c r="G8" s="42" t="e">
        <f>-'$'!#REF!</f>
        <v>#REF!</v>
      </c>
      <c r="H8" s="42" t="e">
        <f>-'$'!#REF!</f>
        <v>#REF!</v>
      </c>
      <c r="I8" s="42" t="e">
        <f>-'$'!#REF!</f>
        <v>#REF!</v>
      </c>
      <c r="J8" s="42" t="e">
        <f>-'$'!#REF!</f>
        <v>#REF!</v>
      </c>
      <c r="K8" s="42" t="e">
        <f>-'$'!#REF!</f>
        <v>#REF!</v>
      </c>
    </row>
    <row r="9" spans="1:11" x14ac:dyDescent="0.2">
      <c r="B9" s="95" t="s">
        <v>339</v>
      </c>
      <c r="C9" s="42" t="e">
        <f>+'$'!#REF!</f>
        <v>#REF!</v>
      </c>
      <c r="D9" s="42" t="e">
        <f>+'$'!#REF!</f>
        <v>#REF!</v>
      </c>
      <c r="E9" s="42" t="e">
        <f>+'$'!#REF!</f>
        <v>#REF!</v>
      </c>
      <c r="F9" s="42" t="e">
        <f>+'$'!#REF!</f>
        <v>#REF!</v>
      </c>
      <c r="G9" s="42" t="e">
        <f>+'$'!#REF!</f>
        <v>#REF!</v>
      </c>
      <c r="H9" s="42" t="e">
        <f>+'$'!#REF!</f>
        <v>#REF!</v>
      </c>
      <c r="I9" s="42" t="e">
        <f>+'$'!#REF!</f>
        <v>#REF!</v>
      </c>
      <c r="J9" s="42" t="e">
        <f>+'$'!#REF!</f>
        <v>#REF!</v>
      </c>
      <c r="K9" s="42" t="e">
        <f>+'$'!#REF!</f>
        <v>#REF!</v>
      </c>
    </row>
    <row r="10" spans="1:11" x14ac:dyDescent="0.2">
      <c r="A10" s="84"/>
      <c r="B10" s="95" t="s">
        <v>340</v>
      </c>
      <c r="C10" s="134">
        <v>10000</v>
      </c>
      <c r="D10" s="134">
        <v>10000</v>
      </c>
      <c r="E10" s="134">
        <v>10000</v>
      </c>
      <c r="F10" s="134">
        <v>10000</v>
      </c>
      <c r="G10" s="134">
        <v>10000</v>
      </c>
      <c r="H10" s="134">
        <v>10000</v>
      </c>
      <c r="I10" s="134">
        <v>10000</v>
      </c>
      <c r="J10" s="134">
        <v>10000</v>
      </c>
      <c r="K10" s="134">
        <v>10000</v>
      </c>
    </row>
    <row r="11" spans="1:11" x14ac:dyDescent="0.2">
      <c r="A11" s="84"/>
      <c r="B11" s="95" t="s">
        <v>193</v>
      </c>
      <c r="C11" s="42" t="e">
        <f t="shared" ref="C11:I11" si="0">+SUM(C7:C10)</f>
        <v>#REF!</v>
      </c>
      <c r="D11" s="42" t="e">
        <f t="shared" si="0"/>
        <v>#REF!</v>
      </c>
      <c r="E11" s="42" t="e">
        <f t="shared" si="0"/>
        <v>#REF!</v>
      </c>
      <c r="F11" s="42" t="e">
        <f t="shared" si="0"/>
        <v>#REF!</v>
      </c>
      <c r="G11" s="42" t="e">
        <f t="shared" si="0"/>
        <v>#REF!</v>
      </c>
      <c r="H11" s="42" t="e">
        <f t="shared" si="0"/>
        <v>#REF!</v>
      </c>
      <c r="I11" s="42" t="e">
        <f t="shared" si="0"/>
        <v>#REF!</v>
      </c>
      <c r="J11" s="42" t="e">
        <f t="shared" ref="J11:K11" si="1">+SUM(J7:J10)</f>
        <v>#REF!</v>
      </c>
      <c r="K11" s="42" t="e">
        <f t="shared" si="1"/>
        <v>#REF!</v>
      </c>
    </row>
    <row r="12" spans="1:11" x14ac:dyDescent="0.2">
      <c r="A12" s="84"/>
      <c r="B12" s="95"/>
      <c r="C12" s="84"/>
      <c r="E12" s="42"/>
      <c r="F12" s="42"/>
      <c r="G12" s="42"/>
      <c r="H12" s="42"/>
      <c r="I12" s="42"/>
      <c r="J12" s="42"/>
      <c r="K12" s="42"/>
    </row>
    <row r="13" spans="1:11" x14ac:dyDescent="0.2">
      <c r="B13" s="95"/>
      <c r="C13" s="84"/>
      <c r="G13" s="42"/>
      <c r="H13" s="42"/>
      <c r="I13" s="42"/>
      <c r="J13" s="42"/>
      <c r="K13" s="42"/>
    </row>
    <row r="14" spans="1:11" x14ac:dyDescent="0.2">
      <c r="A14" s="84"/>
      <c r="B14" s="95"/>
      <c r="C14" s="84"/>
    </row>
    <row r="15" spans="1:11" x14ac:dyDescent="0.2">
      <c r="A15" s="84"/>
      <c r="B15" s="95"/>
      <c r="C15" s="84"/>
    </row>
    <row r="16" spans="1:11" x14ac:dyDescent="0.2">
      <c r="B16" s="170" t="s">
        <v>402</v>
      </c>
    </row>
    <row r="17" spans="1:3" x14ac:dyDescent="0.2">
      <c r="B17">
        <v>1</v>
      </c>
      <c r="C17" t="s">
        <v>403</v>
      </c>
    </row>
    <row r="18" spans="1:3" x14ac:dyDescent="0.2">
      <c r="A18" s="84"/>
      <c r="B18" s="18">
        <v>2</v>
      </c>
      <c r="C18" s="54" t="s">
        <v>404</v>
      </c>
    </row>
    <row r="19" spans="1:3" x14ac:dyDescent="0.2">
      <c r="B19">
        <v>3</v>
      </c>
      <c r="C19" s="54" t="s">
        <v>408</v>
      </c>
    </row>
    <row r="20" spans="1:3" x14ac:dyDescent="0.2">
      <c r="B20">
        <v>4</v>
      </c>
      <c r="C20" s="54" t="s">
        <v>411</v>
      </c>
    </row>
    <row r="21" spans="1:3" x14ac:dyDescent="0.2">
      <c r="B21">
        <v>5</v>
      </c>
      <c r="C21" s="54" t="s">
        <v>410</v>
      </c>
    </row>
    <row r="24" spans="1:3" x14ac:dyDescent="0.2">
      <c r="A24" s="84"/>
      <c r="B24" s="84"/>
    </row>
    <row r="29" spans="1:3" x14ac:dyDescent="0.2">
      <c r="A29" s="84"/>
      <c r="B29" s="84"/>
    </row>
    <row r="34" spans="1:2" x14ac:dyDescent="0.2">
      <c r="A34" s="84"/>
      <c r="B34" s="84"/>
    </row>
    <row r="38" spans="1:2" x14ac:dyDescent="0.2">
      <c r="A38" s="84"/>
      <c r="B38" s="84"/>
    </row>
    <row r="41" spans="1:2" x14ac:dyDescent="0.2">
      <c r="A41" s="84"/>
      <c r="B41" s="84"/>
    </row>
  </sheetData>
  <phoneticPr fontId="0" type="noConversion"/>
  <pageMargins left="0.75" right="0.75" top="1" bottom="1" header="0.5" footer="0.5"/>
  <pageSetup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35"/>
    <pageSetUpPr fitToPage="1"/>
  </sheetPr>
  <dimension ref="A1:Q325"/>
  <sheetViews>
    <sheetView tabSelected="1" zoomScale="130" zoomScaleNormal="130" workbookViewId="0">
      <pane xSplit="4" ySplit="6" topLeftCell="E7" activePane="bottomRight" state="frozen"/>
      <selection activeCell="FN47" sqref="AY47:FN47"/>
      <selection pane="topRight" activeCell="FN47" sqref="AY47:FN47"/>
      <selection pane="bottomLeft" activeCell="FN47" sqref="AY47:FN47"/>
      <selection pane="bottomRight" activeCell="F3" sqref="F3"/>
    </sheetView>
  </sheetViews>
  <sheetFormatPr defaultRowHeight="10.199999999999999" x14ac:dyDescent="0.2"/>
  <cols>
    <col min="3" max="3" width="46.85546875" customWidth="1"/>
    <col min="4" max="4" width="12.42578125" bestFit="1" customWidth="1"/>
    <col min="5" max="15" width="11.85546875" style="78" bestFit="1" customWidth="1"/>
    <col min="16" max="16" width="14.85546875" style="78" customWidth="1"/>
    <col min="17" max="17" width="12.7109375" style="78" customWidth="1"/>
  </cols>
  <sheetData>
    <row r="1" spans="1:17" x14ac:dyDescent="0.2">
      <c r="A1" s="14" t="s">
        <v>655</v>
      </c>
      <c r="C1" s="78"/>
      <c r="D1" s="78"/>
      <c r="E1" s="81" t="s">
        <v>656</v>
      </c>
    </row>
    <row r="2" spans="1:17" x14ac:dyDescent="0.2">
      <c r="C2" s="81" t="s">
        <v>221</v>
      </c>
      <c r="D2" s="78"/>
    </row>
    <row r="3" spans="1:17" x14ac:dyDescent="0.2">
      <c r="D3" s="80" t="s">
        <v>2</v>
      </c>
      <c r="E3" s="76"/>
      <c r="F3" s="76"/>
      <c r="G3" s="76"/>
      <c r="H3" s="76"/>
      <c r="I3" s="76"/>
      <c r="J3" s="76"/>
      <c r="K3" s="76"/>
      <c r="L3" s="76"/>
      <c r="M3" s="76"/>
      <c r="N3" s="76"/>
      <c r="O3" s="76"/>
      <c r="P3" s="76"/>
      <c r="Q3" s="76"/>
    </row>
    <row r="4" spans="1:17" x14ac:dyDescent="0.2">
      <c r="C4" s="77"/>
      <c r="D4" s="78"/>
      <c r="E4" s="76"/>
      <c r="F4" s="76"/>
      <c r="G4" s="76"/>
      <c r="H4" s="76"/>
      <c r="I4" s="76"/>
      <c r="J4" s="76"/>
      <c r="K4" s="76"/>
      <c r="L4" s="76"/>
      <c r="M4" s="76"/>
      <c r="N4" s="76"/>
      <c r="O4" s="76"/>
      <c r="P4" s="76"/>
      <c r="Q4" s="76"/>
    </row>
    <row r="5" spans="1:17" x14ac:dyDescent="0.2">
      <c r="C5" s="79"/>
      <c r="D5" s="20"/>
    </row>
    <row r="6" spans="1:17" x14ac:dyDescent="0.2">
      <c r="C6" s="79" t="s">
        <v>0</v>
      </c>
      <c r="D6" s="20"/>
      <c r="E6" s="66">
        <f>+'Detailed Assumps'!O2</f>
        <v>45673</v>
      </c>
      <c r="F6" s="66">
        <f>+'Detailed Assumps'!P2</f>
        <v>45704</v>
      </c>
      <c r="G6" s="66">
        <f>+'Detailed Assumps'!Q2</f>
        <v>45732</v>
      </c>
      <c r="H6" s="66">
        <f>+'Detailed Assumps'!R2</f>
        <v>45763</v>
      </c>
      <c r="I6" s="66">
        <f>+'Detailed Assumps'!S2</f>
        <v>45793</v>
      </c>
      <c r="J6" s="66">
        <f>+'Detailed Assumps'!T2</f>
        <v>45824</v>
      </c>
      <c r="K6" s="66">
        <f>+'Detailed Assumps'!U2</f>
        <v>45854</v>
      </c>
      <c r="L6" s="66">
        <f>+'Detailed Assumps'!V2</f>
        <v>45885</v>
      </c>
      <c r="M6" s="66">
        <f>+'Detailed Assumps'!W2</f>
        <v>45916</v>
      </c>
      <c r="N6" s="66">
        <f>+'Detailed Assumps'!X2</f>
        <v>45946</v>
      </c>
      <c r="O6" s="66">
        <f>+'Detailed Assumps'!Y2</f>
        <v>45977</v>
      </c>
      <c r="P6" s="66">
        <f>+'Detailed Assumps'!Z2</f>
        <v>46007</v>
      </c>
      <c r="Q6" s="243">
        <v>2025</v>
      </c>
    </row>
    <row r="7" spans="1:17" x14ac:dyDescent="0.2">
      <c r="C7" s="67" t="str">
        <f>+'Detailed Assumps'!A388</f>
        <v>Delvin Warner</v>
      </c>
      <c r="D7" s="68"/>
      <c r="E7" s="23">
        <f>+'Detailed Assumps'!O391</f>
        <v>455.08023409999998</v>
      </c>
      <c r="F7" s="23">
        <f>+'Detailed Assumps'!P391</f>
        <v>392.46332050000001</v>
      </c>
      <c r="G7" s="23">
        <f>+'Detailed Assumps'!Q391</f>
        <v>654.96700899999996</v>
      </c>
      <c r="H7" s="23">
        <f>+'Detailed Assumps'!R391</f>
        <v>625.20920690000003</v>
      </c>
      <c r="I7" s="23">
        <f>+'Detailed Assumps'!S391</f>
        <v>261.98680359999997</v>
      </c>
      <c r="J7" s="23">
        <f>+'Detailed Assumps'!T391</f>
        <v>357.31514730000004</v>
      </c>
      <c r="K7" s="23">
        <f>+'Detailed Assumps'!U391</f>
        <v>484.46883270000001</v>
      </c>
      <c r="L7" s="23">
        <f>+'Detailed Assumps'!V391</f>
        <v>201.58511099999998</v>
      </c>
      <c r="M7" s="23">
        <f>+'Detailed Assumps'!W391</f>
        <v>239.61307149999999</v>
      </c>
      <c r="N7" s="23">
        <f>+'Detailed Assumps'!X391</f>
        <v>325.2682835</v>
      </c>
      <c r="O7" s="23">
        <f>+'Detailed Assumps'!Y391</f>
        <v>452.27428750000001</v>
      </c>
      <c r="P7" s="23">
        <f>+'Detailed Assumps'!Z391</f>
        <v>277.41950989999998</v>
      </c>
      <c r="Q7" s="23">
        <f>SUM(E7:P7)</f>
        <v>4727.650817499999</v>
      </c>
    </row>
    <row r="8" spans="1:17" x14ac:dyDescent="0.2">
      <c r="C8" s="67" t="str">
        <f>+'Detailed Assumps'!A393</f>
        <v>Arlon Warner</v>
      </c>
      <c r="D8" s="68"/>
      <c r="E8" s="23">
        <f>+'Detailed Assumps'!O396</f>
        <v>204.6125797</v>
      </c>
      <c r="F8" s="23">
        <f>+'Detailed Assumps'!P396</f>
        <v>90.528698199999994</v>
      </c>
      <c r="G8" s="23">
        <f>+'Detailed Assumps'!Q396</f>
        <v>487.93934559999997</v>
      </c>
      <c r="H8" s="23">
        <f>+'Detailed Assumps'!R396</f>
        <v>643.89090399999998</v>
      </c>
      <c r="I8" s="23">
        <f>+'Detailed Assumps'!S396</f>
        <v>422.2211226</v>
      </c>
      <c r="J8" s="23">
        <f>+'Detailed Assumps'!T396</f>
        <v>640.34655040000007</v>
      </c>
      <c r="K8" s="23">
        <f>+'Detailed Assumps'!U396</f>
        <v>685.24169599999993</v>
      </c>
      <c r="L8" s="23">
        <f>+'Detailed Assumps'!V396</f>
        <v>740.03149540000004</v>
      </c>
      <c r="M8" s="23">
        <f>+'Detailed Assumps'!W396</f>
        <v>665.45238840000002</v>
      </c>
      <c r="N8" s="23">
        <f>+'Detailed Assumps'!X396</f>
        <v>668.25833499999999</v>
      </c>
      <c r="O8" s="23">
        <f>+'Detailed Assumps'!Y396</f>
        <v>920.94121039999993</v>
      </c>
      <c r="P8" s="23">
        <f>+'Detailed Assumps'!Z396</f>
        <v>791.42462260000002</v>
      </c>
      <c r="Q8" s="23">
        <f t="shared" ref="Q8:Q61" si="0">SUM(E8:P8)</f>
        <v>6960.8889483000003</v>
      </c>
    </row>
    <row r="9" spans="1:17" x14ac:dyDescent="0.2">
      <c r="C9" s="2" t="str">
        <f>+'Detailed Assumps'!A369</f>
        <v>Total SPEED $</v>
      </c>
      <c r="D9" s="1" t="s">
        <v>2</v>
      </c>
      <c r="E9" s="23">
        <f>+'Detailed Assumps'!O373</f>
        <v>0</v>
      </c>
      <c r="F9" s="23">
        <f>+'Detailed Assumps'!P373</f>
        <v>0</v>
      </c>
      <c r="G9" s="23">
        <f>+'Detailed Assumps'!Q373</f>
        <v>0</v>
      </c>
      <c r="H9" s="23">
        <f>+'Detailed Assumps'!R373</f>
        <v>0</v>
      </c>
      <c r="I9" s="23">
        <f>+'Detailed Assumps'!S373</f>
        <v>0</v>
      </c>
      <c r="J9" s="23">
        <f>+'Detailed Assumps'!T373</f>
        <v>0</v>
      </c>
      <c r="K9" s="23">
        <f>+'Detailed Assumps'!U373</f>
        <v>0</v>
      </c>
      <c r="L9" s="23">
        <f>+'Detailed Assumps'!V373</f>
        <v>0</v>
      </c>
      <c r="M9" s="23">
        <f>+'Detailed Assumps'!W373</f>
        <v>0</v>
      </c>
      <c r="N9" s="23">
        <f>+'Detailed Assumps'!X373</f>
        <v>0</v>
      </c>
      <c r="O9" s="23">
        <f>+'Detailed Assumps'!Y373</f>
        <v>0</v>
      </c>
      <c r="P9" s="23">
        <f>+'Detailed Assumps'!Z373</f>
        <v>0</v>
      </c>
      <c r="Q9" s="23">
        <f t="shared" si="0"/>
        <v>0</v>
      </c>
    </row>
    <row r="10" spans="1:17" x14ac:dyDescent="0.2">
      <c r="C10" s="2" t="str">
        <f>+'Detailed Assumps'!A399</f>
        <v>Encore - Alburgh</v>
      </c>
      <c r="D10" s="1"/>
      <c r="E10" s="23">
        <f>+'Detailed Assumps'!O404</f>
        <v>3867.0978671389998</v>
      </c>
      <c r="F10" s="23">
        <f>+'Detailed Assumps'!P404</f>
        <v>11601.293601417001</v>
      </c>
      <c r="G10" s="23">
        <f>+'Detailed Assumps'!Q404</f>
        <v>15790.649624150916</v>
      </c>
      <c r="H10" s="23">
        <f>+'Detailed Assumps'!R404</f>
        <v>17724.198557720418</v>
      </c>
      <c r="I10" s="23">
        <f>+'Detailed Assumps'!S404</f>
        <v>22558.070891644165</v>
      </c>
      <c r="J10" s="23">
        <f>+'Detailed Assumps'!T404</f>
        <v>20946.780113669582</v>
      </c>
      <c r="K10" s="23">
        <f>+'Detailed Assumps'!U404</f>
        <v>19657.747491289916</v>
      </c>
      <c r="L10" s="23">
        <f>+'Detailed Assumps'!V404</f>
        <v>20302.263802479749</v>
      </c>
      <c r="M10" s="23">
        <f>+'Detailed Assumps'!W404</f>
        <v>18368.714868910251</v>
      </c>
      <c r="N10" s="23">
        <f>+'Detailed Assumps'!X404</f>
        <v>10312.260979037334</v>
      </c>
      <c r="O10" s="23">
        <f>+'Detailed Assumps'!Y404</f>
        <v>8056.453889872917</v>
      </c>
      <c r="P10" s="23">
        <f>+'Detailed Assumps'!Z404</f>
        <v>3905.7688458103898</v>
      </c>
      <c r="Q10" s="23">
        <f t="shared" si="0"/>
        <v>173091.30053314162</v>
      </c>
    </row>
    <row r="11" spans="1:17" x14ac:dyDescent="0.2">
      <c r="C11" s="2" t="str">
        <f>+'Detailed Assumps'!A406</f>
        <v>Encore - Magee Hill</v>
      </c>
      <c r="D11" s="1"/>
      <c r="E11" s="23">
        <f>+'Detailed Assumps'!O410</f>
        <v>2166.3120440481152</v>
      </c>
      <c r="F11" s="23">
        <f>+'Detailed Assumps'!P410</f>
        <v>10744.840195761395</v>
      </c>
      <c r="G11" s="23">
        <f>+'Detailed Assumps'!Q410</f>
        <v>12972.905581302335</v>
      </c>
      <c r="H11" s="23">
        <f>+'Detailed Assumps'!R410</f>
        <v>18343.275275266282</v>
      </c>
      <c r="I11" s="23">
        <f>+'Detailed Assumps'!S410</f>
        <v>22956.5634759676</v>
      </c>
      <c r="J11" s="23">
        <f>+'Detailed Assumps'!T410</f>
        <v>23475.31566690635</v>
      </c>
      <c r="K11" s="23">
        <f>+'Detailed Assumps'!U410</f>
        <v>25456.367686475991</v>
      </c>
      <c r="L11" s="23">
        <f>+'Detailed Assumps'!V410</f>
        <v>23279.562398853897</v>
      </c>
      <c r="M11" s="23">
        <f>+'Detailed Assumps'!W410</f>
        <v>21841.626193233853</v>
      </c>
      <c r="N11" s="23">
        <f>+'Detailed Assumps'!X410</f>
        <v>12617.341419738179</v>
      </c>
      <c r="O11" s="23">
        <f>+'Detailed Assumps'!Y410</f>
        <v>7003.4006261431778</v>
      </c>
      <c r="P11" s="23">
        <f>+'Detailed Assumps'!Z410</f>
        <v>3322.5155147864602</v>
      </c>
      <c r="Q11" s="23">
        <f t="shared" si="0"/>
        <v>184180.02607848364</v>
      </c>
    </row>
    <row r="12" spans="1:17" x14ac:dyDescent="0.2">
      <c r="C12" s="2" t="str">
        <f>+'Detailed Assumps'!A412</f>
        <v>Bullrock - Grand Isle</v>
      </c>
      <c r="D12" s="1"/>
      <c r="E12" s="23">
        <f>+'Detailed Assumps'!O416</f>
        <v>15238.56</v>
      </c>
      <c r="F12" s="23">
        <f>+'Detailed Assumps'!P416</f>
        <v>52328.639999999999</v>
      </c>
      <c r="G12" s="23">
        <f>+'Detailed Assumps'!Q416</f>
        <v>69867.360000000001</v>
      </c>
      <c r="H12" s="23">
        <f>+'Detailed Assumps'!R416</f>
        <v>73605.119999999995</v>
      </c>
      <c r="I12" s="23">
        <f>+'Detailed Assumps'!S416</f>
        <v>104082.23999999999</v>
      </c>
      <c r="J12" s="23">
        <f>+'Detailed Assumps'!T416</f>
        <v>92581.439999999988</v>
      </c>
      <c r="K12" s="23">
        <f>+'Detailed Assumps'!U416</f>
        <v>94881.599999999991</v>
      </c>
      <c r="L12" s="23">
        <f>+'Detailed Assumps'!V416</f>
        <v>89706.239999999991</v>
      </c>
      <c r="M12" s="23">
        <f>+'Detailed Assumps'!W416</f>
        <v>81943.199999999997</v>
      </c>
      <c r="N12" s="23">
        <f>+'Detailed Assumps'!X416</f>
        <v>44565.599999999999</v>
      </c>
      <c r="O12" s="23">
        <f>+'Detailed Assumps'!Y416</f>
        <v>35077.440000000002</v>
      </c>
      <c r="P12" s="23">
        <f>+'Detailed Assumps'!Z416</f>
        <v>15238.56</v>
      </c>
      <c r="Q12" s="23">
        <f t="shared" si="0"/>
        <v>769116</v>
      </c>
    </row>
    <row r="13" spans="1:17" x14ac:dyDescent="0.2">
      <c r="C13" s="7" t="str">
        <f>+'Detailed Assumps'!A677</f>
        <v xml:space="preserve">Encore -Jericho - Gravel Pit </v>
      </c>
      <c r="D13" s="1"/>
      <c r="E13" s="23">
        <f>+'Detailed Assumps'!O423</f>
        <v>2145.4301999999998</v>
      </c>
      <c r="F13" s="23">
        <f>+'Detailed Assumps'!P423</f>
        <v>15699.631199999998</v>
      </c>
      <c r="G13" s="23">
        <f>+'Detailed Assumps'!Q423</f>
        <v>19170.767400000001</v>
      </c>
      <c r="H13" s="23">
        <f>+'Detailed Assumps'!R423</f>
        <v>20913.914400000001</v>
      </c>
      <c r="I13" s="23">
        <f>+'Detailed Assumps'!S423</f>
        <v>36388.223699999995</v>
      </c>
      <c r="J13" s="23">
        <f>+'Detailed Assumps'!T423</f>
        <v>34980.232499999998</v>
      </c>
      <c r="K13" s="23">
        <f>+'Detailed Assumps'!U423</f>
        <v>35131.690199999997</v>
      </c>
      <c r="L13" s="23">
        <f>+'Detailed Assumps'!V423</f>
        <v>35131.690199999997</v>
      </c>
      <c r="M13" s="23">
        <f>+'Detailed Assumps'!W423</f>
        <v>37265.451300000001</v>
      </c>
      <c r="N13" s="23">
        <f>+'Detailed Assumps'!X423</f>
        <v>10513.738799999999</v>
      </c>
      <c r="O13" s="23">
        <f>+'Detailed Assumps'!Y423</f>
        <v>10857.3156</v>
      </c>
      <c r="P13" s="23">
        <f>+'Detailed Assumps'!Z423</f>
        <v>5140.2986999999994</v>
      </c>
      <c r="Q13" s="23">
        <f t="shared" si="0"/>
        <v>263338.38420000003</v>
      </c>
    </row>
    <row r="14" spans="1:17" x14ac:dyDescent="0.2">
      <c r="C14" s="7" t="str">
        <f>+'Detailed Assumps'!A678</f>
        <v>Encore - Jericho - Landfill</v>
      </c>
      <c r="D14" s="1"/>
      <c r="E14" s="23">
        <f>+'Detailed Assumps'!O429</f>
        <v>1353.3948</v>
      </c>
      <c r="F14" s="23">
        <f>+'Detailed Assumps'!P429</f>
        <v>12898.535399999999</v>
      </c>
      <c r="G14" s="23">
        <f>+'Detailed Assumps'!Q429</f>
        <v>14912.7066</v>
      </c>
      <c r="H14" s="23">
        <f>+'Detailed Assumps'!R429</f>
        <v>10642.8042</v>
      </c>
      <c r="I14" s="23">
        <f>+'Detailed Assumps'!S429</f>
        <v>23862.724200000001</v>
      </c>
      <c r="J14" s="23">
        <f>+'Detailed Assumps'!T429</f>
        <v>27849.232799999998</v>
      </c>
      <c r="K14" s="23">
        <f>+'Detailed Assumps'!U429</f>
        <v>3599.6831999999999</v>
      </c>
      <c r="L14" s="23">
        <f>+'Detailed Assumps'!V429</f>
        <v>20708.9388</v>
      </c>
      <c r="M14" s="23">
        <f>+'Detailed Assumps'!W429</f>
        <v>16997.149799999999</v>
      </c>
      <c r="N14" s="23">
        <f>+'Detailed Assumps'!X429</f>
        <v>9704.0141999999996</v>
      </c>
      <c r="O14" s="23">
        <f>+'Detailed Assumps'!Y429</f>
        <v>5993.433</v>
      </c>
      <c r="P14" s="23">
        <f>+'Detailed Assumps'!Z429</f>
        <v>509.47199999999998</v>
      </c>
      <c r="Q14" s="23">
        <f t="shared" si="0"/>
        <v>149032.08900000001</v>
      </c>
    </row>
    <row r="15" spans="1:17" x14ac:dyDescent="0.2">
      <c r="C15" s="77" t="str">
        <f>+'Detailed Assumps'!A376</f>
        <v>Kingdom Community Wind</v>
      </c>
      <c r="D15" s="152" t="s">
        <v>2</v>
      </c>
      <c r="E15" s="23">
        <f>+'Detailed Assumps'!O382</f>
        <v>232123</v>
      </c>
      <c r="F15" s="23">
        <f>+'Detailed Assumps'!P382</f>
        <v>232123</v>
      </c>
      <c r="G15" s="23">
        <f>+'Detailed Assumps'!Q382</f>
        <v>232123</v>
      </c>
      <c r="H15" s="23">
        <f>+'Detailed Assumps'!R382</f>
        <v>232123</v>
      </c>
      <c r="I15" s="23">
        <f>+'Detailed Assumps'!S382</f>
        <v>232123</v>
      </c>
      <c r="J15" s="23">
        <f>+'Detailed Assumps'!T382</f>
        <v>232123</v>
      </c>
      <c r="K15" s="23">
        <f>+'Detailed Assumps'!U382</f>
        <v>232123</v>
      </c>
      <c r="L15" s="23">
        <f>+'Detailed Assumps'!V382</f>
        <v>232123</v>
      </c>
      <c r="M15" s="23">
        <f>+'Detailed Assumps'!W382</f>
        <v>232123</v>
      </c>
      <c r="N15" s="23">
        <f>+'Detailed Assumps'!X382</f>
        <v>228641</v>
      </c>
      <c r="O15" s="23">
        <f>+'Detailed Assumps'!Y382</f>
        <v>228641</v>
      </c>
      <c r="P15" s="23">
        <f>+'Detailed Assumps'!Z382</f>
        <v>228641</v>
      </c>
      <c r="Q15" s="23">
        <f t="shared" si="0"/>
        <v>2775030</v>
      </c>
    </row>
    <row r="16" spans="1:17" x14ac:dyDescent="0.2">
      <c r="C16" s="77" t="s">
        <v>365</v>
      </c>
      <c r="D16" s="152" t="s">
        <v>1</v>
      </c>
      <c r="E16" s="23">
        <f>+'Detailed Assumps'!O755</f>
        <v>-6319.8941924196952</v>
      </c>
      <c r="F16" s="23">
        <f>+'Detailed Assumps'!P755</f>
        <v>-6319.8941924196952</v>
      </c>
      <c r="G16" s="23">
        <f>+'Detailed Assumps'!Q755</f>
        <v>-6319.8941924196952</v>
      </c>
      <c r="H16" s="23">
        <f>+'Detailed Assumps'!R755</f>
        <v>-6319.5733718990487</v>
      </c>
      <c r="I16" s="23">
        <f>+'Detailed Assumps'!S755</f>
        <v>-6319.8941924196952</v>
      </c>
      <c r="J16" s="23">
        <f>+'Detailed Assumps'!T755</f>
        <v>-3768.386871427595</v>
      </c>
      <c r="K16" s="23">
        <f>+'Detailed Assumps'!U755</f>
        <v>-3768.3868714275945</v>
      </c>
      <c r="L16" s="23">
        <f>+'Detailed Assumps'!V755</f>
        <v>-3768.3868714275945</v>
      </c>
      <c r="M16" s="23">
        <f>+'Detailed Assumps'!W755</f>
        <v>-3768.386871427595</v>
      </c>
      <c r="N16" s="23">
        <f>+'Detailed Assumps'!X755</f>
        <v>-6273.3537285704515</v>
      </c>
      <c r="O16" s="23">
        <f>+'Detailed Assumps'!Y755</f>
        <v>-6273.3537285704524</v>
      </c>
      <c r="P16" s="23">
        <f>+'Detailed Assumps'!Z755</f>
        <v>-6273.3537285704515</v>
      </c>
      <c r="Q16" s="23">
        <f t="shared" si="0"/>
        <v>-65492.758812999564</v>
      </c>
    </row>
    <row r="17" spans="3:17" x14ac:dyDescent="0.2">
      <c r="C17" s="2" t="s">
        <v>236</v>
      </c>
      <c r="D17" s="1" t="s">
        <v>2</v>
      </c>
      <c r="E17" s="23">
        <f>+'Detailed Assumps'!O232</f>
        <v>120516.89840597415</v>
      </c>
      <c r="F17" s="23">
        <f>+'Detailed Assumps'!P232</f>
        <v>183584.33059475623</v>
      </c>
      <c r="G17" s="23">
        <f>+'Detailed Assumps'!Q232</f>
        <v>170392.48943090637</v>
      </c>
      <c r="H17" s="23">
        <f>+'Detailed Assumps'!R232</f>
        <v>104271.67884295595</v>
      </c>
      <c r="I17" s="23">
        <f>+'Detailed Assumps'!S232</f>
        <v>56148.589926233239</v>
      </c>
      <c r="J17" s="23">
        <f>+'Detailed Assumps'!T232</f>
        <v>62232.426457824906</v>
      </c>
      <c r="K17" s="23">
        <f>+'Detailed Assumps'!U232</f>
        <v>56029.652554963126</v>
      </c>
      <c r="L17" s="23">
        <f>+'Detailed Assumps'!V232</f>
        <v>90201.546276887326</v>
      </c>
      <c r="M17" s="23">
        <f>+'Detailed Assumps'!W232</f>
        <v>30715.248870927364</v>
      </c>
      <c r="N17" s="23">
        <f>+'Detailed Assumps'!X232</f>
        <v>80561.037201379731</v>
      </c>
      <c r="O17" s="23">
        <f>+'Detailed Assumps'!Y232</f>
        <v>122906.42019898111</v>
      </c>
      <c r="P17" s="23">
        <f>+'Detailed Assumps'!Z232</f>
        <v>153205.11499199958</v>
      </c>
      <c r="Q17" s="23">
        <f t="shared" si="0"/>
        <v>1230765.4337537889</v>
      </c>
    </row>
    <row r="18" spans="3:17" x14ac:dyDescent="0.2">
      <c r="C18" s="106" t="s">
        <v>367</v>
      </c>
      <c r="D18" s="1" t="s">
        <v>2</v>
      </c>
      <c r="E18" s="23">
        <f>+'Detailed Assumps'!O239</f>
        <v>47463.263500000001</v>
      </c>
      <c r="F18" s="23">
        <f>+'Detailed Assumps'!P239</f>
        <v>82179.719499999992</v>
      </c>
      <c r="G18" s="23">
        <f>+'Detailed Assumps'!Q239</f>
        <v>122646.345</v>
      </c>
      <c r="H18" s="23">
        <f>+'Detailed Assumps'!R239</f>
        <v>92793.680900000007</v>
      </c>
      <c r="I18" s="23">
        <f>+'Detailed Assumps'!S239</f>
        <v>55841.788800000009</v>
      </c>
      <c r="J18" s="23">
        <f>+'Detailed Assumps'!T239</f>
        <v>56702.005950000006</v>
      </c>
      <c r="K18" s="23">
        <f>+'Detailed Assumps'!U239</f>
        <v>37022.038012500001</v>
      </c>
      <c r="L18" s="23">
        <f>+'Detailed Assumps'!V239</f>
        <v>60558.877</v>
      </c>
      <c r="M18" s="23">
        <f>+'Detailed Assumps'!W239</f>
        <v>29423.837900000002</v>
      </c>
      <c r="N18" s="23">
        <f>+'Detailed Assumps'!X239</f>
        <v>78206.408800000005</v>
      </c>
      <c r="O18" s="23">
        <f>+'Detailed Assumps'!Y239</f>
        <v>83005.569000000003</v>
      </c>
      <c r="P18" s="23">
        <f>+'Detailed Assumps'!Z239</f>
        <v>76188.258320000008</v>
      </c>
      <c r="Q18" s="23">
        <f t="shared" si="0"/>
        <v>822031.79268250009</v>
      </c>
    </row>
    <row r="19" spans="3:17" x14ac:dyDescent="0.2">
      <c r="C19" s="106" t="s">
        <v>366</v>
      </c>
      <c r="D19" s="152" t="s">
        <v>1</v>
      </c>
      <c r="E19" s="23">
        <f>+'Detailed Assumps'!O754</f>
        <v>0</v>
      </c>
      <c r="F19" s="23">
        <f>+'Detailed Assumps'!P754</f>
        <v>0</v>
      </c>
      <c r="G19" s="23">
        <f>+'Detailed Assumps'!Q754</f>
        <v>0</v>
      </c>
      <c r="H19" s="23">
        <f>+'Detailed Assumps'!R754</f>
        <v>0</v>
      </c>
      <c r="I19" s="23">
        <f>+'Detailed Assumps'!S754</f>
        <v>0</v>
      </c>
      <c r="J19" s="23">
        <f>+'Detailed Assumps'!T754</f>
        <v>0</v>
      </c>
      <c r="K19" s="23">
        <f>+'Detailed Assumps'!U754</f>
        <v>0</v>
      </c>
      <c r="L19" s="23">
        <f>+'Detailed Assumps'!V754</f>
        <v>0</v>
      </c>
      <c r="M19" s="23">
        <f>+'Detailed Assumps'!W754</f>
        <v>0</v>
      </c>
      <c r="N19" s="23">
        <f>+'Detailed Assumps'!X754</f>
        <v>0</v>
      </c>
      <c r="O19" s="23">
        <f>+'Detailed Assumps'!Y754</f>
        <v>0</v>
      </c>
      <c r="P19" s="23">
        <f>+'Detailed Assumps'!Z754</f>
        <v>0</v>
      </c>
      <c r="Q19" s="23">
        <f t="shared" si="0"/>
        <v>0</v>
      </c>
    </row>
    <row r="20" spans="3:17" x14ac:dyDescent="0.2">
      <c r="C20" s="106" t="s">
        <v>633</v>
      </c>
      <c r="D20" s="1"/>
      <c r="E20" s="23">
        <f>+'Detailed Assumps'!O541</f>
        <v>519105.3988916126</v>
      </c>
      <c r="F20" s="23">
        <f>+'Detailed Assumps'!P541</f>
        <v>468518.57606459956</v>
      </c>
      <c r="G20" s="23">
        <f>+'Detailed Assumps'!Q541</f>
        <v>717383.98941168911</v>
      </c>
      <c r="H20" s="23">
        <f>+'Detailed Assumps'!R541</f>
        <v>293184.148304653</v>
      </c>
      <c r="I20" s="23">
        <f>+'Detailed Assumps'!S541</f>
        <v>172034.2966899625</v>
      </c>
      <c r="J20" s="23">
        <f>+'Detailed Assumps'!T541</f>
        <v>189232.82571392116</v>
      </c>
      <c r="K20" s="23">
        <f>+'Detailed Assumps'!U541</f>
        <v>97238.395421727677</v>
      </c>
      <c r="L20" s="23">
        <f>+'Detailed Assumps'!V541</f>
        <v>158129.03528644305</v>
      </c>
      <c r="M20" s="23">
        <f>+'Detailed Assumps'!W541</f>
        <v>84638.244050292007</v>
      </c>
      <c r="N20" s="23">
        <f>+'Detailed Assumps'!X541</f>
        <v>187624.456112101</v>
      </c>
      <c r="O20" s="23">
        <f>+'Detailed Assumps'!Y541</f>
        <v>488411.97061312135</v>
      </c>
      <c r="P20" s="23">
        <f>+'Detailed Assumps'!Z541</f>
        <v>357971.90772331582</v>
      </c>
      <c r="Q20" s="23">
        <f t="shared" si="0"/>
        <v>3733473.2442834391</v>
      </c>
    </row>
    <row r="21" spans="3:17" x14ac:dyDescent="0.2">
      <c r="C21" s="2" t="s">
        <v>274</v>
      </c>
      <c r="D21" s="1" t="s">
        <v>2</v>
      </c>
      <c r="E21" s="23">
        <f>+'Detailed Assumps'!O183</f>
        <v>733286.40000000002</v>
      </c>
      <c r="F21" s="23">
        <f>+'Detailed Assumps'!P183</f>
        <v>662323.19999999995</v>
      </c>
      <c r="G21" s="23">
        <f>+'Detailed Assumps'!Q183</f>
        <v>733286.40000000002</v>
      </c>
      <c r="H21" s="23">
        <f>+'Detailed Assumps'!R183</f>
        <v>709632</v>
      </c>
      <c r="I21" s="23">
        <f>+'Detailed Assumps'!S183</f>
        <v>733286.40000000002</v>
      </c>
      <c r="J21" s="23">
        <f>+'Detailed Assumps'!T183</f>
        <v>709632</v>
      </c>
      <c r="K21" s="23">
        <f>+'Detailed Assumps'!U183</f>
        <v>733286.40000000002</v>
      </c>
      <c r="L21" s="23">
        <f>+'Detailed Assumps'!V183</f>
        <v>733286.40000000002</v>
      </c>
      <c r="M21" s="23">
        <f>+'Detailed Assumps'!W183</f>
        <v>709632</v>
      </c>
      <c r="N21" s="23">
        <f>+'Detailed Assumps'!X183</f>
        <v>733286.40000000002</v>
      </c>
      <c r="O21" s="23">
        <f>+'Detailed Assumps'!Y183</f>
        <v>730920.96000000008</v>
      </c>
      <c r="P21" s="23">
        <f>+'Detailed Assumps'!Z183</f>
        <v>755284.99200000009</v>
      </c>
      <c r="Q21" s="23">
        <f t="shared" si="0"/>
        <v>8677143.5520000011</v>
      </c>
    </row>
    <row r="22" spans="3:17" ht="12" customHeight="1" x14ac:dyDescent="0.2">
      <c r="C22" s="2" t="s">
        <v>3</v>
      </c>
      <c r="D22" s="1" t="s">
        <v>2</v>
      </c>
      <c r="E22" s="23">
        <f>+'Detailed Assumps'!O205</f>
        <v>501701.30965346855</v>
      </c>
      <c r="F22" s="23">
        <f>+'Detailed Assumps'!P205</f>
        <v>455990.06313049153</v>
      </c>
      <c r="G22" s="23">
        <f>+'Detailed Assumps'!Q205</f>
        <v>304123.93154213345</v>
      </c>
      <c r="H22" s="23">
        <f>+'Detailed Assumps'!R205</f>
        <v>175232.55423480092</v>
      </c>
      <c r="I22" s="23">
        <f>+'Detailed Assumps'!S205</f>
        <v>231953.73435366532</v>
      </c>
      <c r="J22" s="23">
        <f>+'Detailed Assumps'!T205</f>
        <v>449778.28340563457</v>
      </c>
      <c r="K22" s="23">
        <f>+'Detailed Assumps'!U205</f>
        <v>762890.20707875001</v>
      </c>
      <c r="L22" s="23">
        <f>+'Detailed Assumps'!V205</f>
        <v>611805.32196778816</v>
      </c>
      <c r="M22" s="23">
        <f>+'Detailed Assumps'!W205</f>
        <v>242909.63453499554</v>
      </c>
      <c r="N22" s="23">
        <f>+'Detailed Assumps'!X205</f>
        <v>373971.75917730678</v>
      </c>
      <c r="O22" s="23">
        <f>+'Detailed Assumps'!Y205</f>
        <v>653346.73053202638</v>
      </c>
      <c r="P22" s="23">
        <f>+'Detailed Assumps'!Z205</f>
        <v>159046.80480524391</v>
      </c>
      <c r="Q22" s="23">
        <f t="shared" si="0"/>
        <v>4922750.3344163056</v>
      </c>
    </row>
    <row r="23" spans="3:17" ht="12" customHeight="1" x14ac:dyDescent="0.2">
      <c r="C23" s="106" t="s">
        <v>616</v>
      </c>
      <c r="D23" s="152" t="s">
        <v>599</v>
      </c>
      <c r="E23" s="23"/>
      <c r="F23" s="23"/>
      <c r="G23" s="23"/>
      <c r="H23" s="23"/>
      <c r="I23" s="23"/>
      <c r="J23" s="23"/>
      <c r="K23" s="23"/>
      <c r="L23" s="23"/>
      <c r="M23" s="23"/>
      <c r="N23" s="23"/>
      <c r="O23" s="23"/>
      <c r="P23" s="23"/>
      <c r="Q23" s="23">
        <f t="shared" si="0"/>
        <v>0</v>
      </c>
    </row>
    <row r="24" spans="3:17" x14ac:dyDescent="0.2">
      <c r="C24" s="2" t="s">
        <v>6</v>
      </c>
      <c r="D24" s="1" t="s">
        <v>2</v>
      </c>
      <c r="E24" s="23">
        <f>+'Detailed Assumps'!O340</f>
        <v>0</v>
      </c>
      <c r="F24" s="23">
        <f>+'Detailed Assumps'!P340</f>
        <v>0</v>
      </c>
      <c r="G24" s="23">
        <f>+'Detailed Assumps'!Q340</f>
        <v>0</v>
      </c>
      <c r="H24" s="23">
        <f>+'Detailed Assumps'!R340</f>
        <v>0</v>
      </c>
      <c r="I24" s="23">
        <f>+'Detailed Assumps'!S340</f>
        <v>0</v>
      </c>
      <c r="J24" s="23">
        <f>+'Detailed Assumps'!T340</f>
        <v>0</v>
      </c>
      <c r="K24" s="23">
        <f>+'Detailed Assumps'!U340</f>
        <v>0</v>
      </c>
      <c r="L24" s="23">
        <f>+'Detailed Assumps'!V340</f>
        <v>0</v>
      </c>
      <c r="M24" s="23">
        <f>+'Detailed Assumps'!W340</f>
        <v>0</v>
      </c>
      <c r="N24" s="23">
        <f>+'Detailed Assumps'!X340</f>
        <v>0</v>
      </c>
      <c r="O24" s="23">
        <f>+'Detailed Assumps'!Y340</f>
        <v>0</v>
      </c>
      <c r="P24" s="23">
        <f>+'Detailed Assumps'!Z340</f>
        <v>0</v>
      </c>
      <c r="Q24" s="23">
        <f t="shared" si="0"/>
        <v>0</v>
      </c>
    </row>
    <row r="25" spans="3:17" x14ac:dyDescent="0.2">
      <c r="C25" s="2" t="s">
        <v>268</v>
      </c>
      <c r="D25" s="1" t="s">
        <v>1</v>
      </c>
      <c r="E25" s="23">
        <f>+'Detailed Assumps'!O749</f>
        <v>0</v>
      </c>
      <c r="F25" s="23">
        <f>+'Detailed Assumps'!P749</f>
        <v>0</v>
      </c>
      <c r="G25" s="23">
        <f>+'Detailed Assumps'!Q749</f>
        <v>0</v>
      </c>
      <c r="H25" s="23">
        <f>+'Detailed Assumps'!R749</f>
        <v>0</v>
      </c>
      <c r="I25" s="23">
        <f>+'Detailed Assumps'!S749</f>
        <v>0</v>
      </c>
      <c r="J25" s="23">
        <f>+'Detailed Assumps'!T749</f>
        <v>0</v>
      </c>
      <c r="K25" s="23">
        <f>+'Detailed Assumps'!U749</f>
        <v>0</v>
      </c>
      <c r="L25" s="23">
        <f>+'Detailed Assumps'!V749</f>
        <v>0</v>
      </c>
      <c r="M25" s="23">
        <f>+'Detailed Assumps'!W749</f>
        <v>0</v>
      </c>
      <c r="N25" s="23">
        <f>+'Detailed Assumps'!X749</f>
        <v>0</v>
      </c>
      <c r="O25" s="23">
        <f>+'Detailed Assumps'!Y749</f>
        <v>0</v>
      </c>
      <c r="P25" s="23">
        <f>+'Detailed Assumps'!Z749</f>
        <v>0</v>
      </c>
      <c r="Q25" s="23">
        <f t="shared" si="0"/>
        <v>0</v>
      </c>
    </row>
    <row r="26" spans="3:17" x14ac:dyDescent="0.2">
      <c r="C26" s="106" t="s">
        <v>360</v>
      </c>
      <c r="D26" s="1" t="s">
        <v>2</v>
      </c>
      <c r="E26" s="23">
        <f>+'Detailed Assumps'!O356</f>
        <v>173078.18460066756</v>
      </c>
      <c r="F26" s="23">
        <f>+'Detailed Assumps'!P356</f>
        <v>192065.02538541611</v>
      </c>
      <c r="G26" s="23">
        <f>+'Detailed Assumps'!Q356</f>
        <v>336241.22793676914</v>
      </c>
      <c r="H26" s="23">
        <f>+'Detailed Assumps'!R356</f>
        <v>427845.92317064747</v>
      </c>
      <c r="I26" s="23">
        <f>+'Detailed Assumps'!S356</f>
        <v>411992.40897276986</v>
      </c>
      <c r="J26" s="23">
        <f>+'Detailed Assumps'!T356</f>
        <v>406609.51528596232</v>
      </c>
      <c r="K26" s="23">
        <f>+'Detailed Assumps'!U356</f>
        <v>392751.22382182674</v>
      </c>
      <c r="L26" s="23">
        <f>+'Detailed Assumps'!V356</f>
        <v>383666.44215830253</v>
      </c>
      <c r="M26" s="23">
        <f>+'Detailed Assumps'!W356</f>
        <v>362168.5617969865</v>
      </c>
      <c r="N26" s="23">
        <f>+'Detailed Assumps'!X356</f>
        <v>310945.12457343569</v>
      </c>
      <c r="O26" s="23">
        <f>+'Detailed Assumps'!Y356</f>
        <v>273383.70143287553</v>
      </c>
      <c r="P26" s="23">
        <f>+'Detailed Assumps'!Z356</f>
        <v>187372.70493944967</v>
      </c>
      <c r="Q26" s="23">
        <f t="shared" si="0"/>
        <v>3858120.0440751086</v>
      </c>
    </row>
    <row r="27" spans="3:17" x14ac:dyDescent="0.2">
      <c r="C27" s="106" t="s">
        <v>368</v>
      </c>
      <c r="D27" s="1"/>
      <c r="E27" s="23">
        <f>+'Detailed Assumps'!O750</f>
        <v>0</v>
      </c>
      <c r="F27" s="23">
        <f>+'Detailed Assumps'!P750</f>
        <v>0</v>
      </c>
      <c r="G27" s="23">
        <f>+'Detailed Assumps'!Q750</f>
        <v>0</v>
      </c>
      <c r="H27" s="23">
        <f>+'Detailed Assumps'!R750</f>
        <v>0</v>
      </c>
      <c r="I27" s="23">
        <f>+'Detailed Assumps'!S750</f>
        <v>0</v>
      </c>
      <c r="J27" s="23">
        <f>+'Detailed Assumps'!T750</f>
        <v>0</v>
      </c>
      <c r="K27" s="23">
        <f>+'Detailed Assumps'!U750</f>
        <v>0</v>
      </c>
      <c r="L27" s="23">
        <f>+'Detailed Assumps'!V750</f>
        <v>0</v>
      </c>
      <c r="M27" s="23">
        <f>+'Detailed Assumps'!W750</f>
        <v>0</v>
      </c>
      <c r="N27" s="23">
        <f>+'Detailed Assumps'!X750</f>
        <v>0</v>
      </c>
      <c r="O27" s="23">
        <f>+'Detailed Assumps'!Y750</f>
        <v>0</v>
      </c>
      <c r="P27" s="23">
        <f>+'Detailed Assumps'!Z750</f>
        <v>0</v>
      </c>
      <c r="Q27" s="23">
        <f t="shared" si="0"/>
        <v>0</v>
      </c>
    </row>
    <row r="28" spans="3:17" x14ac:dyDescent="0.2">
      <c r="C28" s="106" t="s">
        <v>359</v>
      </c>
      <c r="D28" s="1"/>
      <c r="E28" s="23">
        <f>+'Detailed Assumps'!O364</f>
        <v>94114.683001923928</v>
      </c>
      <c r="F28" s="23">
        <f>+'Detailed Assumps'!P364</f>
        <v>133832.89269108002</v>
      </c>
      <c r="G28" s="23">
        <f>+'Detailed Assumps'!Q364</f>
        <v>147738.89516408002</v>
      </c>
      <c r="H28" s="23">
        <f>+'Detailed Assumps'!R364</f>
        <v>121181.63673088001</v>
      </c>
      <c r="I28" s="23">
        <f>+'Detailed Assumps'!S364</f>
        <v>129674.4550442</v>
      </c>
      <c r="J28" s="23">
        <f>+'Detailed Assumps'!T364</f>
        <v>135016.33350149999</v>
      </c>
      <c r="K28" s="23">
        <f>+'Detailed Assumps'!U364</f>
        <v>145863.76650823999</v>
      </c>
      <c r="L28" s="23">
        <f>+'Detailed Assumps'!V364</f>
        <v>144930.50565312</v>
      </c>
      <c r="M28" s="23">
        <f>+'Detailed Assumps'!W364</f>
        <v>94906.158328960009</v>
      </c>
      <c r="N28" s="23">
        <f>+'Detailed Assumps'!X364</f>
        <v>100079.60657464</v>
      </c>
      <c r="O28" s="23">
        <f>+'Detailed Assumps'!Y364</f>
        <v>103915.42585732001</v>
      </c>
      <c r="P28" s="23">
        <f>+'Detailed Assumps'!Z364</f>
        <v>117807.79322334001</v>
      </c>
      <c r="Q28" s="23">
        <f t="shared" si="0"/>
        <v>1469062.1522792839</v>
      </c>
    </row>
    <row r="29" spans="3:17" x14ac:dyDescent="0.2">
      <c r="C29" s="106" t="s">
        <v>494</v>
      </c>
      <c r="D29" s="1" t="s">
        <v>2</v>
      </c>
      <c r="E29" s="23">
        <f>+'Detailed Assumps'!O328</f>
        <v>0</v>
      </c>
      <c r="F29" s="23">
        <f>+'Detailed Assumps'!P328</f>
        <v>0</v>
      </c>
      <c r="G29" s="23">
        <f>+'Detailed Assumps'!Q328</f>
        <v>0</v>
      </c>
      <c r="H29" s="23">
        <f>+'Detailed Assumps'!R328</f>
        <v>0</v>
      </c>
      <c r="I29" s="23">
        <f>+'Detailed Assumps'!S328</f>
        <v>0</v>
      </c>
      <c r="J29" s="23">
        <f>+'Detailed Assumps'!T328</f>
        <v>0</v>
      </c>
      <c r="K29" s="23">
        <f>+'Detailed Assumps'!U328</f>
        <v>0</v>
      </c>
      <c r="L29" s="23">
        <f>+'Detailed Assumps'!V328</f>
        <v>0</v>
      </c>
      <c r="M29" s="23">
        <f>+'Detailed Assumps'!W328</f>
        <v>0</v>
      </c>
      <c r="N29" s="23">
        <f>+'Detailed Assumps'!X328</f>
        <v>0</v>
      </c>
      <c r="O29" s="23">
        <f>+'Detailed Assumps'!Y328</f>
        <v>0</v>
      </c>
      <c r="P29" s="23">
        <f>+'Detailed Assumps'!Z328</f>
        <v>0</v>
      </c>
      <c r="Q29" s="23">
        <f t="shared" si="0"/>
        <v>0</v>
      </c>
    </row>
    <row r="30" spans="3:17" x14ac:dyDescent="0.2">
      <c r="C30" s="106" t="s">
        <v>495</v>
      </c>
      <c r="D30" s="1" t="s">
        <v>2</v>
      </c>
      <c r="E30" s="23">
        <f>+'Detailed Assumps'!O319</f>
        <v>121050.38249999999</v>
      </c>
      <c r="F30" s="23">
        <f>+'Detailed Assumps'!P319</f>
        <v>59361.727500000001</v>
      </c>
      <c r="G30" s="23">
        <f>+'Detailed Assumps'!Q319</f>
        <v>193951.86749999999</v>
      </c>
      <c r="H30" s="23">
        <f>+'Detailed Assumps'!R319</f>
        <v>185557.36499999999</v>
      </c>
      <c r="I30" s="23">
        <f>+'Detailed Assumps'!S319</f>
        <v>174331.03499999997</v>
      </c>
      <c r="J30" s="23">
        <f>+'Detailed Assumps'!T319</f>
        <v>112561.24500000001</v>
      </c>
      <c r="K30" s="23">
        <f>+'Detailed Assumps'!U319</f>
        <v>166570.155</v>
      </c>
      <c r="L30" s="23">
        <f>+'Detailed Assumps'!V319</f>
        <v>107353.82249999999</v>
      </c>
      <c r="M30" s="23">
        <f>+'Detailed Assumps'!W319</f>
        <v>84814.742249999996</v>
      </c>
      <c r="N30" s="23">
        <f>+'Detailed Assumps'!X319</f>
        <v>90531.56700000001</v>
      </c>
      <c r="O30" s="23">
        <f>+'Detailed Assumps'!Y319</f>
        <v>107430.4755</v>
      </c>
      <c r="P30" s="23">
        <f>+'Detailed Assumps'!Z319</f>
        <v>181056.56118749999</v>
      </c>
      <c r="Q30" s="23">
        <f t="shared" si="0"/>
        <v>1584570.9459374996</v>
      </c>
    </row>
    <row r="31" spans="3:17" x14ac:dyDescent="0.2">
      <c r="C31" s="2" t="s">
        <v>75</v>
      </c>
      <c r="D31" s="1" t="s">
        <v>2</v>
      </c>
      <c r="E31" s="23">
        <f>+'Detailed Assumps'!O274</f>
        <v>2715.6600000000003</v>
      </c>
      <c r="F31" s="23">
        <f>+'Detailed Assumps'!P274</f>
        <v>3605.2999999999997</v>
      </c>
      <c r="G31" s="23">
        <f>+'Detailed Assumps'!Q274</f>
        <v>2185.08</v>
      </c>
      <c r="H31" s="23">
        <f>+'Detailed Assumps'!R274</f>
        <v>1782.1299999999997</v>
      </c>
      <c r="I31" s="23">
        <f>+'Detailed Assumps'!S274</f>
        <v>2511.94</v>
      </c>
      <c r="J31" s="23">
        <f>+'Detailed Assumps'!T274</f>
        <v>2322.09</v>
      </c>
      <c r="K31" s="23">
        <f>+'Detailed Assumps'!U274</f>
        <v>3564.007852975496</v>
      </c>
      <c r="L31" s="23">
        <f>+'Detailed Assumps'!V274</f>
        <v>2121.2099407699902</v>
      </c>
      <c r="M31" s="23">
        <f>+'Detailed Assumps'!W274</f>
        <v>1739.44</v>
      </c>
      <c r="N31" s="23">
        <f>+'Detailed Assumps'!X274</f>
        <v>1596.71</v>
      </c>
      <c r="O31" s="23">
        <f>+'Detailed Assumps'!Y274</f>
        <v>2967.7200000000003</v>
      </c>
      <c r="P31" s="23">
        <f>+'Detailed Assumps'!Z274</f>
        <v>3488.18</v>
      </c>
      <c r="Q31" s="23">
        <f t="shared" si="0"/>
        <v>30599.467793745487</v>
      </c>
    </row>
    <row r="32" spans="3:17" x14ac:dyDescent="0.2">
      <c r="C32" s="2" t="s">
        <v>74</v>
      </c>
      <c r="D32" s="1" t="s">
        <v>2</v>
      </c>
      <c r="E32" s="23">
        <f>+'Detailed Assumps'!O288</f>
        <v>112069.99000000002</v>
      </c>
      <c r="F32" s="23">
        <f>+'Detailed Assumps'!P288</f>
        <v>134646.43000000002</v>
      </c>
      <c r="G32" s="23">
        <f>+'Detailed Assumps'!Q288</f>
        <v>87582.25</v>
      </c>
      <c r="H32" s="23">
        <f>+'Detailed Assumps'!R288</f>
        <v>82035.460000000006</v>
      </c>
      <c r="I32" s="23">
        <f>+'Detailed Assumps'!S288</f>
        <v>103989.92000000001</v>
      </c>
      <c r="J32" s="23">
        <f>+'Detailed Assumps'!T288</f>
        <v>85444.53</v>
      </c>
      <c r="K32" s="23">
        <f>+'Detailed Assumps'!U288</f>
        <v>103219.31302571445</v>
      </c>
      <c r="L32" s="23">
        <f>+'Detailed Assumps'!V288</f>
        <v>75538.277372708311</v>
      </c>
      <c r="M32" s="23">
        <f>+'Detailed Assumps'!W288</f>
        <v>54756.43</v>
      </c>
      <c r="N32" s="23">
        <f>+'Detailed Assumps'!X288</f>
        <v>52276.540000000008</v>
      </c>
      <c r="O32" s="23">
        <f>+'Detailed Assumps'!Y288</f>
        <v>105397.84</v>
      </c>
      <c r="P32" s="23">
        <f>+'Detailed Assumps'!Z288</f>
        <v>115868.44</v>
      </c>
      <c r="Q32" s="23">
        <f t="shared" si="0"/>
        <v>1112825.420398423</v>
      </c>
    </row>
    <row r="33" spans="1:17" x14ac:dyDescent="0.2">
      <c r="C33" s="106" t="s">
        <v>376</v>
      </c>
      <c r="D33" s="152" t="s">
        <v>307</v>
      </c>
      <c r="E33" s="157">
        <f>+'Detailed Assumps'!O443</f>
        <v>0</v>
      </c>
      <c r="F33" s="157">
        <f>+'Detailed Assumps'!P443</f>
        <v>0</v>
      </c>
      <c r="G33" s="157">
        <f>+'Detailed Assumps'!Q443</f>
        <v>0</v>
      </c>
      <c r="H33" s="157">
        <f>+'Detailed Assumps'!R443</f>
        <v>0</v>
      </c>
      <c r="I33" s="157">
        <f>+'Detailed Assumps'!S443</f>
        <v>0</v>
      </c>
      <c r="J33" s="157">
        <f>+'Detailed Assumps'!T443</f>
        <v>0</v>
      </c>
      <c r="K33" s="157">
        <f>+'Detailed Assumps'!U443</f>
        <v>0</v>
      </c>
      <c r="L33" s="157">
        <f>+'Detailed Assumps'!V443</f>
        <v>0</v>
      </c>
      <c r="M33" s="157">
        <f>+'Detailed Assumps'!W443</f>
        <v>0</v>
      </c>
      <c r="N33" s="157">
        <f>+'Detailed Assumps'!X443</f>
        <v>0</v>
      </c>
      <c r="O33" s="157">
        <f>+'Detailed Assumps'!Y443</f>
        <v>0</v>
      </c>
      <c r="P33" s="157">
        <f>+'Detailed Assumps'!Z443</f>
        <v>0</v>
      </c>
      <c r="Q33" s="23">
        <f t="shared" si="0"/>
        <v>0</v>
      </c>
    </row>
    <row r="34" spans="1:17" x14ac:dyDescent="0.2">
      <c r="C34" s="2" t="str">
        <f>+'Detailed Assumps'!A483</f>
        <v>EDF</v>
      </c>
      <c r="D34" s="1"/>
      <c r="E34" s="23">
        <f>+'Detailed Assumps'!O488</f>
        <v>0</v>
      </c>
      <c r="F34" s="23">
        <f>+'Detailed Assumps'!P488</f>
        <v>0</v>
      </c>
      <c r="G34" s="23">
        <f>+'Detailed Assumps'!Q488</f>
        <v>0</v>
      </c>
      <c r="H34" s="23">
        <f>+'Detailed Assumps'!R488</f>
        <v>0</v>
      </c>
      <c r="I34" s="23">
        <f>+'Detailed Assumps'!S488</f>
        <v>0</v>
      </c>
      <c r="J34" s="23">
        <f>+'Detailed Assumps'!T488</f>
        <v>0</v>
      </c>
      <c r="K34" s="23">
        <f>+'Detailed Assumps'!U488</f>
        <v>0</v>
      </c>
      <c r="L34" s="23">
        <f>+'Detailed Assumps'!V488</f>
        <v>0</v>
      </c>
      <c r="M34" s="23">
        <f>+'Detailed Assumps'!W488</f>
        <v>0</v>
      </c>
      <c r="N34" s="23">
        <f>+'Detailed Assumps'!X488</f>
        <v>0</v>
      </c>
      <c r="O34" s="23">
        <f>+'Detailed Assumps'!Y488</f>
        <v>0</v>
      </c>
      <c r="P34" s="23">
        <f>+'Detailed Assumps'!Z488</f>
        <v>0</v>
      </c>
      <c r="Q34" s="23">
        <f t="shared" si="0"/>
        <v>0</v>
      </c>
    </row>
    <row r="35" spans="1:17" x14ac:dyDescent="0.2">
      <c r="C35" s="163" t="s">
        <v>617</v>
      </c>
      <c r="D35" s="1"/>
      <c r="E35" s="23">
        <f>+'Detailed Assumps'!O614</f>
        <v>517555.15199999994</v>
      </c>
      <c r="F35" s="23">
        <f>+'Detailed Assumps'!P614</f>
        <v>516458.84800000006</v>
      </c>
      <c r="G35" s="23">
        <f>+'Detailed Assumps'!Q614</f>
        <v>353296.42199999996</v>
      </c>
      <c r="H35" s="23">
        <f>+'Detailed Assumps'!R614</f>
        <v>184777.05600000001</v>
      </c>
      <c r="I35" s="23">
        <f>+'Detailed Assumps'!S614</f>
        <v>154479.20000000001</v>
      </c>
      <c r="J35" s="23">
        <f>+'Detailed Assumps'!T614</f>
        <v>262514.97599999997</v>
      </c>
      <c r="K35" s="23">
        <f>+'Detailed Assumps'!U614</f>
        <v>415150.39199999999</v>
      </c>
      <c r="L35" s="23">
        <f>+'Detailed Assumps'!V614</f>
        <v>284590.55200000003</v>
      </c>
      <c r="M35" s="23">
        <f>+'Detailed Assumps'!W614</f>
        <v>206603.47200000001</v>
      </c>
      <c r="N35" s="23">
        <f>+'Detailed Assumps'!X614</f>
        <v>236353.17599999998</v>
      </c>
      <c r="O35" s="23">
        <f>+'Detailed Assumps'!Y614</f>
        <v>276262.37900000002</v>
      </c>
      <c r="P35" s="23">
        <f>+'Detailed Assumps'!Z614</f>
        <v>427209.73600000003</v>
      </c>
      <c r="Q35" s="23">
        <f t="shared" si="0"/>
        <v>3835251.3610000005</v>
      </c>
    </row>
    <row r="36" spans="1:17" x14ac:dyDescent="0.2">
      <c r="C36" s="106" t="s">
        <v>597</v>
      </c>
      <c r="D36" s="1"/>
      <c r="E36" s="23">
        <f>'Detailed Assumps'!O644</f>
        <v>0</v>
      </c>
      <c r="F36" s="23">
        <f>'Detailed Assumps'!P644</f>
        <v>0</v>
      </c>
      <c r="G36" s="23">
        <f>'Detailed Assumps'!Q644</f>
        <v>0</v>
      </c>
      <c r="H36" s="23">
        <f>'Detailed Assumps'!R644</f>
        <v>0</v>
      </c>
      <c r="I36" s="23">
        <f>'Detailed Assumps'!S644</f>
        <v>0</v>
      </c>
      <c r="J36" s="23">
        <f>'Detailed Assumps'!T644</f>
        <v>0</v>
      </c>
      <c r="K36" s="23">
        <f>'Detailed Assumps'!U644</f>
        <v>0</v>
      </c>
      <c r="L36" s="23">
        <f>'Detailed Assumps'!V644</f>
        <v>0</v>
      </c>
      <c r="M36" s="23">
        <f>'Detailed Assumps'!W644</f>
        <v>0</v>
      </c>
      <c r="N36" s="23">
        <f>'Detailed Assumps'!X644</f>
        <v>0</v>
      </c>
      <c r="O36" s="23">
        <f>'Detailed Assumps'!Y644</f>
        <v>0</v>
      </c>
      <c r="P36" s="23">
        <f>'Detailed Assumps'!Z644</f>
        <v>0</v>
      </c>
      <c r="Q36" s="23">
        <f t="shared" si="0"/>
        <v>0</v>
      </c>
    </row>
    <row r="37" spans="1:17" x14ac:dyDescent="0.2">
      <c r="C37" s="2" t="s">
        <v>209</v>
      </c>
      <c r="D37" s="1"/>
      <c r="E37" s="23">
        <f>+'Detailed Assumps'!O628</f>
        <v>0</v>
      </c>
      <c r="F37" s="23">
        <f>+'Detailed Assumps'!P628</f>
        <v>0</v>
      </c>
      <c r="G37" s="23">
        <f>+'Detailed Assumps'!Q628</f>
        <v>0</v>
      </c>
      <c r="H37" s="23">
        <f>+'Detailed Assumps'!R628</f>
        <v>0</v>
      </c>
      <c r="I37" s="23">
        <f>+'Detailed Assumps'!S628</f>
        <v>0</v>
      </c>
      <c r="J37" s="23">
        <f>+'Detailed Assumps'!T628</f>
        <v>0</v>
      </c>
      <c r="K37" s="23">
        <f>+'Detailed Assumps'!U628</f>
        <v>0</v>
      </c>
      <c r="L37" s="23">
        <f>+'Detailed Assumps'!V628</f>
        <v>0</v>
      </c>
      <c r="M37" s="23">
        <f>+'Detailed Assumps'!W628</f>
        <v>0</v>
      </c>
      <c r="N37" s="23">
        <f>+'Detailed Assumps'!X628</f>
        <v>0</v>
      </c>
      <c r="O37" s="23">
        <f>+'Detailed Assumps'!Y628</f>
        <v>0</v>
      </c>
      <c r="P37" s="23">
        <f>+'Detailed Assumps'!Z628</f>
        <v>0</v>
      </c>
      <c r="Q37" s="23">
        <f t="shared" si="0"/>
        <v>0</v>
      </c>
    </row>
    <row r="38" spans="1:17" x14ac:dyDescent="0.2">
      <c r="C38" s="2" t="s">
        <v>258</v>
      </c>
      <c r="D38" s="1"/>
      <c r="E38" s="23">
        <f>+'Detailed Assumps'!O550</f>
        <v>0</v>
      </c>
      <c r="F38" s="23">
        <f>+'Detailed Assumps'!P550</f>
        <v>0</v>
      </c>
      <c r="G38" s="23">
        <f>+'Detailed Assumps'!Q550</f>
        <v>0</v>
      </c>
      <c r="H38" s="23">
        <f>+'Detailed Assumps'!R550</f>
        <v>0</v>
      </c>
      <c r="I38" s="23">
        <f>+'Detailed Assumps'!S550</f>
        <v>0</v>
      </c>
      <c r="J38" s="23">
        <f>+'Detailed Assumps'!T550</f>
        <v>0</v>
      </c>
      <c r="K38" s="23">
        <f>+'Detailed Assumps'!U550</f>
        <v>0</v>
      </c>
      <c r="L38" s="23">
        <f>+'Detailed Assumps'!V550</f>
        <v>0</v>
      </c>
      <c r="M38" s="23">
        <f>+'Detailed Assumps'!W550</f>
        <v>0</v>
      </c>
      <c r="N38" s="23">
        <f>+'Detailed Assumps'!X550</f>
        <v>0</v>
      </c>
      <c r="O38" s="23">
        <f>+'Detailed Assumps'!Y550</f>
        <v>0</v>
      </c>
      <c r="P38" s="23">
        <f>+'Detailed Assumps'!Z550</f>
        <v>0</v>
      </c>
      <c r="Q38" s="23">
        <f t="shared" si="0"/>
        <v>0</v>
      </c>
    </row>
    <row r="39" spans="1:17" x14ac:dyDescent="0.2">
      <c r="A39" t="str">
        <f>+'$'!C39</f>
        <v>NextEra - Capacity</v>
      </c>
      <c r="B39" s="7" t="str">
        <f>+'$'!D39</f>
        <v>Demand</v>
      </c>
      <c r="C39" s="106" t="s">
        <v>378</v>
      </c>
      <c r="D39" s="152" t="s">
        <v>1</v>
      </c>
      <c r="E39" s="157">
        <f>+'Detailed Assumps'!O581</f>
        <v>0</v>
      </c>
      <c r="F39" s="157">
        <f>+'Detailed Assumps'!P581</f>
        <v>0</v>
      </c>
      <c r="G39" s="157">
        <f>+'Detailed Assumps'!Q581</f>
        <v>0</v>
      </c>
      <c r="H39" s="157">
        <f>+'Detailed Assumps'!R581</f>
        <v>0</v>
      </c>
      <c r="I39" s="157">
        <f>+'Detailed Assumps'!S581</f>
        <v>0</v>
      </c>
      <c r="J39" s="157">
        <f>+'Detailed Assumps'!T581</f>
        <v>0</v>
      </c>
      <c r="K39" s="157">
        <f>+'Detailed Assumps'!U581</f>
        <v>0</v>
      </c>
      <c r="L39" s="157">
        <f>+'Detailed Assumps'!V581</f>
        <v>0</v>
      </c>
      <c r="M39" s="157">
        <f>+'Detailed Assumps'!W581</f>
        <v>0</v>
      </c>
      <c r="N39" s="157">
        <f>+'Detailed Assumps'!X581</f>
        <v>0</v>
      </c>
      <c r="O39" s="157">
        <f>+'Detailed Assumps'!Y581</f>
        <v>0</v>
      </c>
      <c r="P39" s="157">
        <f>+'Detailed Assumps'!Z581</f>
        <v>0</v>
      </c>
      <c r="Q39" s="23">
        <f t="shared" si="0"/>
        <v>0</v>
      </c>
    </row>
    <row r="40" spans="1:17" x14ac:dyDescent="0.2">
      <c r="B40" s="7"/>
      <c r="C40" s="106" t="s">
        <v>299</v>
      </c>
      <c r="D40" s="1"/>
      <c r="E40" s="23">
        <f>+'Detailed Assumps'!O561</f>
        <v>551691.51124087616</v>
      </c>
      <c r="F40" s="23">
        <f>+'Detailed Assumps'!P561</f>
        <v>498302.01015304943</v>
      </c>
      <c r="G40" s="23">
        <f>+'Detailed Assumps'!Q561</f>
        <v>475820.44624801126</v>
      </c>
      <c r="H40" s="23">
        <f>+'Detailed Assumps'!R561</f>
        <v>436823.19071858231</v>
      </c>
      <c r="I40" s="23">
        <f>+'Detailed Assumps'!S561</f>
        <v>451383.96374253504</v>
      </c>
      <c r="J40" s="23">
        <f>+'Detailed Assumps'!T561</f>
        <v>485359.1007984248</v>
      </c>
      <c r="K40" s="23">
        <f>+'Detailed Assumps'!U561</f>
        <v>551691.51124087616</v>
      </c>
      <c r="L40" s="23">
        <f>+'Detailed Assumps'!V561</f>
        <v>551691.51124087616</v>
      </c>
      <c r="M40" s="23">
        <f>+'Detailed Assumps'!W561</f>
        <v>436823.19071858231</v>
      </c>
      <c r="N40" s="23">
        <f>+'Detailed Assumps'!X561</f>
        <v>451383.96374253504</v>
      </c>
      <c r="O40" s="23">
        <f>+'Detailed Assumps'!Y561</f>
        <v>461731.55012761254</v>
      </c>
      <c r="P40" s="23">
        <f>+'Detailed Assumps'!Z561</f>
        <v>551691.51124087616</v>
      </c>
      <c r="Q40" s="23">
        <f t="shared" si="0"/>
        <v>5904393.4612128371</v>
      </c>
    </row>
    <row r="41" spans="1:17" x14ac:dyDescent="0.2">
      <c r="B41" s="7"/>
      <c r="C41" s="106" t="s">
        <v>300</v>
      </c>
      <c r="D41" s="1"/>
      <c r="E41" s="23">
        <f>+'Detailed Assumps'!O568</f>
        <v>126503.37404223296</v>
      </c>
      <c r="F41" s="23">
        <f>+'Detailed Assumps'!P568</f>
        <v>126503.37404223296</v>
      </c>
      <c r="G41" s="23">
        <f>+'Detailed Assumps'!Q568</f>
        <v>126503.37404223296</v>
      </c>
      <c r="H41" s="23">
        <f>+'Detailed Assumps'!R568</f>
        <v>126503.37404223296</v>
      </c>
      <c r="I41" s="23">
        <f>+'Detailed Assumps'!S568</f>
        <v>126503.37404223296</v>
      </c>
      <c r="J41" s="23">
        <f>+'Detailed Assumps'!T568</f>
        <v>129161.20585744572</v>
      </c>
      <c r="K41" s="23">
        <f>+'Detailed Assumps'!U568</f>
        <v>129161.20585744572</v>
      </c>
      <c r="L41" s="23">
        <f>+'Detailed Assumps'!V568</f>
        <v>129161.20585744572</v>
      </c>
      <c r="M41" s="23">
        <f>+'Detailed Assumps'!W568</f>
        <v>129161.20585744572</v>
      </c>
      <c r="N41" s="23">
        <f>+'Detailed Assumps'!X568</f>
        <v>129161.20585744572</v>
      </c>
      <c r="O41" s="23">
        <f>+'Detailed Assumps'!Y568</f>
        <v>129161.20585744572</v>
      </c>
      <c r="P41" s="23">
        <f>+'Detailed Assumps'!Z568</f>
        <v>129161.20585744572</v>
      </c>
      <c r="Q41" s="23">
        <f t="shared" si="0"/>
        <v>1536645.311213285</v>
      </c>
    </row>
    <row r="42" spans="1:17" x14ac:dyDescent="0.2">
      <c r="B42" s="7"/>
      <c r="C42" s="2" t="str">
        <f>+'Detailed Assumps'!A632</f>
        <v>JP Morgan</v>
      </c>
      <c r="D42" s="1"/>
      <c r="E42" s="23">
        <f>+'Detailed Assumps'!O637</f>
        <v>0</v>
      </c>
      <c r="F42" s="23">
        <f>+'Detailed Assumps'!P637</f>
        <v>0</v>
      </c>
      <c r="G42" s="23">
        <f>+'Detailed Assumps'!Q637</f>
        <v>0</v>
      </c>
      <c r="H42" s="23">
        <f>+'Detailed Assumps'!R637</f>
        <v>0</v>
      </c>
      <c r="I42" s="23">
        <f>+'Detailed Assumps'!S637</f>
        <v>0</v>
      </c>
      <c r="J42" s="23">
        <f>+'Detailed Assumps'!T637</f>
        <v>0</v>
      </c>
      <c r="K42" s="23">
        <f>+'Detailed Assumps'!U637</f>
        <v>0</v>
      </c>
      <c r="L42" s="23">
        <f>+'Detailed Assumps'!V637</f>
        <v>0</v>
      </c>
      <c r="M42" s="23">
        <f>+'Detailed Assumps'!W637</f>
        <v>0</v>
      </c>
      <c r="N42" s="23">
        <f>+'Detailed Assumps'!X637</f>
        <v>0</v>
      </c>
      <c r="O42" s="23">
        <f>+'Detailed Assumps'!Y637</f>
        <v>0</v>
      </c>
      <c r="P42" s="23">
        <f>+'Detailed Assumps'!Z637</f>
        <v>0</v>
      </c>
      <c r="Q42" s="23">
        <f t="shared" si="0"/>
        <v>0</v>
      </c>
    </row>
    <row r="43" spans="1:17" x14ac:dyDescent="0.2">
      <c r="B43" s="7"/>
      <c r="C43" s="2" t="s">
        <v>272</v>
      </c>
      <c r="D43" s="1"/>
      <c r="E43" s="23">
        <f>+'Detailed Assumps'!O599</f>
        <v>0</v>
      </c>
      <c r="F43" s="23">
        <f>+'Detailed Assumps'!P599</f>
        <v>0</v>
      </c>
      <c r="G43" s="23">
        <f>+'Detailed Assumps'!Q599</f>
        <v>0</v>
      </c>
      <c r="H43" s="23">
        <f>+'Detailed Assumps'!R599</f>
        <v>0</v>
      </c>
      <c r="I43" s="23">
        <f>+'Detailed Assumps'!S599</f>
        <v>0</v>
      </c>
      <c r="J43" s="23">
        <f>+'Detailed Assumps'!T599</f>
        <v>0</v>
      </c>
      <c r="K43" s="23">
        <f>+'Detailed Assumps'!U599</f>
        <v>0</v>
      </c>
      <c r="L43" s="23">
        <f>+'Detailed Assumps'!V599</f>
        <v>0</v>
      </c>
      <c r="M43" s="23">
        <f>+'Detailed Assumps'!W599</f>
        <v>0</v>
      </c>
      <c r="N43" s="23">
        <f>+'Detailed Assumps'!X599</f>
        <v>0</v>
      </c>
      <c r="O43" s="23">
        <f>+'Detailed Assumps'!Y599</f>
        <v>0</v>
      </c>
      <c r="P43" s="23">
        <f>+'Detailed Assumps'!Z599</f>
        <v>0</v>
      </c>
      <c r="Q43" s="23">
        <f t="shared" si="0"/>
        <v>0</v>
      </c>
    </row>
    <row r="44" spans="1:17" x14ac:dyDescent="0.2">
      <c r="B44" s="7"/>
      <c r="C44" s="2" t="str">
        <f>+'Detailed Assumps'!A516</f>
        <v>Excelon - Energy</v>
      </c>
      <c r="D44" s="152" t="s">
        <v>2</v>
      </c>
      <c r="E44" s="23">
        <f>+'Detailed Assumps'!O533</f>
        <v>0</v>
      </c>
      <c r="F44" s="23">
        <f>+'Detailed Assumps'!P533</f>
        <v>0</v>
      </c>
      <c r="G44" s="23">
        <f>+'Detailed Assumps'!Q533</f>
        <v>0</v>
      </c>
      <c r="H44" s="23">
        <f>+'Detailed Assumps'!R533</f>
        <v>0</v>
      </c>
      <c r="I44" s="23">
        <f>+'Detailed Assumps'!S533</f>
        <v>0</v>
      </c>
      <c r="J44" s="23">
        <f>+'Detailed Assumps'!T533</f>
        <v>0</v>
      </c>
      <c r="K44" s="23">
        <f>+'Detailed Assumps'!U533</f>
        <v>0</v>
      </c>
      <c r="L44" s="23">
        <f>+'Detailed Assumps'!V533</f>
        <v>0</v>
      </c>
      <c r="M44" s="23">
        <f>+'Detailed Assumps'!W533</f>
        <v>0</v>
      </c>
      <c r="N44" s="23">
        <f>+'Detailed Assumps'!X533</f>
        <v>0</v>
      </c>
      <c r="O44" s="23">
        <f>+'Detailed Assumps'!Y533</f>
        <v>0</v>
      </c>
      <c r="P44" s="23">
        <f>+'Detailed Assumps'!Z533</f>
        <v>0</v>
      </c>
      <c r="Q44" s="23">
        <f t="shared" si="0"/>
        <v>0</v>
      </c>
    </row>
    <row r="45" spans="1:17" x14ac:dyDescent="0.2">
      <c r="A45" t="str">
        <f>+'$'!C45</f>
        <v>Excelon - Capacity</v>
      </c>
      <c r="B45" s="7" t="str">
        <f>+'$'!D45</f>
        <v>Demand</v>
      </c>
      <c r="C45" s="106" t="s">
        <v>377</v>
      </c>
      <c r="D45" s="152" t="s">
        <v>1</v>
      </c>
      <c r="E45" s="157">
        <f>+'Detailed Assumps'!O513</f>
        <v>0</v>
      </c>
      <c r="F45" s="157">
        <f>+'Detailed Assumps'!P513</f>
        <v>0</v>
      </c>
      <c r="G45" s="157">
        <f>+'Detailed Assumps'!Q513</f>
        <v>0</v>
      </c>
      <c r="H45" s="157">
        <f>+'Detailed Assumps'!R513</f>
        <v>0</v>
      </c>
      <c r="I45" s="157">
        <f>+'Detailed Assumps'!S513</f>
        <v>0</v>
      </c>
      <c r="J45" s="157">
        <f>+'Detailed Assumps'!T513</f>
        <v>0</v>
      </c>
      <c r="K45" s="157">
        <f>+'Detailed Assumps'!U513</f>
        <v>0</v>
      </c>
      <c r="L45" s="157">
        <f>+'Detailed Assumps'!V513</f>
        <v>0</v>
      </c>
      <c r="M45" s="157">
        <f>+'Detailed Assumps'!W513</f>
        <v>0</v>
      </c>
      <c r="N45" s="157">
        <f>+'Detailed Assumps'!X513</f>
        <v>0</v>
      </c>
      <c r="O45" s="157">
        <f>+'Detailed Assumps'!Y513</f>
        <v>0</v>
      </c>
      <c r="P45" s="157">
        <f>+'Detailed Assumps'!Z513</f>
        <v>0</v>
      </c>
      <c r="Q45" s="23">
        <f t="shared" si="0"/>
        <v>0</v>
      </c>
    </row>
    <row r="46" spans="1:17" x14ac:dyDescent="0.2">
      <c r="B46" s="7"/>
      <c r="C46" s="106" t="s">
        <v>582</v>
      </c>
      <c r="D46" s="152"/>
      <c r="E46" s="209">
        <f>'Detailed Assumps'!O476</f>
        <v>23750</v>
      </c>
      <c r="F46" s="209">
        <f>'Detailed Assumps'!P476</f>
        <v>23750</v>
      </c>
      <c r="G46" s="209">
        <f>'Detailed Assumps'!Q476</f>
        <v>23750</v>
      </c>
      <c r="H46" s="209">
        <f>'Detailed Assumps'!R476</f>
        <v>23750</v>
      </c>
      <c r="I46" s="209">
        <f>'Detailed Assumps'!S476</f>
        <v>23750</v>
      </c>
      <c r="J46" s="209">
        <f>'Detailed Assumps'!T476</f>
        <v>23750</v>
      </c>
      <c r="K46" s="209">
        <f>'Detailed Assumps'!U476</f>
        <v>23750</v>
      </c>
      <c r="L46" s="209">
        <f>'Detailed Assumps'!V476</f>
        <v>23750</v>
      </c>
      <c r="M46" s="209">
        <f>'Detailed Assumps'!W476</f>
        <v>23750</v>
      </c>
      <c r="N46" s="209">
        <f>'Detailed Assumps'!X476</f>
        <v>23750</v>
      </c>
      <c r="O46" s="209">
        <f>'Detailed Assumps'!Y476</f>
        <v>23750</v>
      </c>
      <c r="P46" s="209">
        <f>'Detailed Assumps'!Z476</f>
        <v>23750</v>
      </c>
      <c r="Q46" s="23">
        <f t="shared" si="0"/>
        <v>285000</v>
      </c>
    </row>
    <row r="47" spans="1:17" x14ac:dyDescent="0.2">
      <c r="B47" s="7"/>
      <c r="C47" s="106" t="s">
        <v>650</v>
      </c>
      <c r="D47" s="152"/>
      <c r="E47" s="157">
        <f>+'Detailed Assumps'!O756</f>
        <v>-11371.75</v>
      </c>
      <c r="F47" s="157">
        <f>+'Detailed Assumps'!P756</f>
        <v>-11371.75</v>
      </c>
      <c r="G47" s="157">
        <f>+'Detailed Assumps'!Q756</f>
        <v>-11371.75</v>
      </c>
      <c r="H47" s="157">
        <f>+'Detailed Assumps'!R756</f>
        <v>-11371.75</v>
      </c>
      <c r="I47" s="157">
        <f>+'Detailed Assumps'!S756</f>
        <v>-11371.75</v>
      </c>
      <c r="J47" s="157">
        <f>+'Detailed Assumps'!T756</f>
        <v>-11794.96</v>
      </c>
      <c r="K47" s="157">
        <f>+'Detailed Assumps'!U756</f>
        <v>-11795.84</v>
      </c>
      <c r="L47" s="157">
        <f>+'Detailed Assumps'!V756</f>
        <v>-11795.84</v>
      </c>
      <c r="M47" s="157">
        <f>+'Detailed Assumps'!W756</f>
        <v>-11795.84</v>
      </c>
      <c r="N47" s="157">
        <f>+'Detailed Assumps'!X756</f>
        <v>-11795.84</v>
      </c>
      <c r="O47" s="157">
        <f>+'Detailed Assumps'!Y756</f>
        <v>-11795.84</v>
      </c>
      <c r="P47" s="157">
        <f>+'Detailed Assumps'!Z756</f>
        <v>-11795.84</v>
      </c>
      <c r="Q47" s="23">
        <f t="shared" si="0"/>
        <v>-139428.74999999997</v>
      </c>
    </row>
    <row r="48" spans="1:17" x14ac:dyDescent="0.2">
      <c r="B48" s="7"/>
      <c r="C48" s="106" t="s">
        <v>490</v>
      </c>
      <c r="D48" s="152" t="s">
        <v>2</v>
      </c>
      <c r="E48" s="157"/>
      <c r="F48" s="157"/>
      <c r="G48" s="157"/>
      <c r="H48" s="157"/>
      <c r="I48" s="157"/>
      <c r="J48" s="157"/>
      <c r="K48" s="157"/>
      <c r="L48" s="157"/>
      <c r="M48" s="157"/>
      <c r="N48" s="157"/>
      <c r="O48" s="157"/>
      <c r="P48" s="157"/>
      <c r="Q48" s="23">
        <f t="shared" si="0"/>
        <v>0</v>
      </c>
    </row>
    <row r="49" spans="3:17" x14ac:dyDescent="0.2">
      <c r="C49" s="2" t="s">
        <v>618</v>
      </c>
      <c r="D49" s="1" t="s">
        <v>2</v>
      </c>
      <c r="E49" s="23">
        <f>+'Detailed Assumps'!O738+'Detailed Assumps'!O740+'Detailed Assumps'!O741+'Detailed Assumps'!O742+'Detailed Assumps'!O743+'$'!E92</f>
        <v>437597.65025868302</v>
      </c>
      <c r="F49" s="23">
        <f>+'Detailed Assumps'!P738+'Detailed Assumps'!P740+'Detailed Assumps'!P741+'Detailed Assumps'!P742+'Detailed Assumps'!P743+'$'!F92</f>
        <v>-62238.351644403418</v>
      </c>
      <c r="G49" s="23">
        <f>+'Detailed Assumps'!Q738+'Detailed Assumps'!Q740+'Detailed Assumps'!Q741+'Detailed Assumps'!Q742+'Detailed Assumps'!Q743+'$'!G92</f>
        <v>-239971.41705645423</v>
      </c>
      <c r="H49" s="23">
        <f>+'Detailed Assumps'!R738+'Detailed Assumps'!R740+'Detailed Assumps'!R741+'Detailed Assumps'!R742+'Detailed Assumps'!R743+'$'!H92</f>
        <v>-273540.7065876922</v>
      </c>
      <c r="I49" s="23">
        <f>+'Detailed Assumps'!S738+'Detailed Assumps'!S740+'Detailed Assumps'!S741+'Detailed Assumps'!S742+'Detailed Assumps'!S743+'$'!I92</f>
        <v>-283157.92429174943</v>
      </c>
      <c r="J49" s="23">
        <f>+'Detailed Assumps'!T738+'Detailed Assumps'!T740+'Detailed Assumps'!T741+'Detailed Assumps'!T742+'Detailed Assumps'!T743+'$'!J92</f>
        <v>-390113.05223154626</v>
      </c>
      <c r="K49" s="23">
        <f>+'Detailed Assumps'!U738+'Detailed Assumps'!U740+'Detailed Assumps'!U741+'Detailed Assumps'!U742+'Detailed Assumps'!U743+'$'!K92</f>
        <v>-657022.61457246006</v>
      </c>
      <c r="L49" s="23">
        <f>+'Detailed Assumps'!V738+'Detailed Assumps'!V740+'Detailed Assumps'!V741+'Detailed Assumps'!V742+'Detailed Assumps'!V743+'$'!L92</f>
        <v>-531895.01833683136</v>
      </c>
      <c r="M49" s="23">
        <f>+'Detailed Assumps'!W738+'Detailed Assumps'!W740+'Detailed Assumps'!W741+'Detailed Assumps'!W742+'Detailed Assumps'!W743+'$'!M92</f>
        <v>-17067.458830899675</v>
      </c>
      <c r="N49" s="23">
        <f>+'Detailed Assumps'!X738+'Detailed Assumps'!X740+'Detailed Assumps'!X741+'Detailed Assumps'!X742+'Detailed Assumps'!X743+'$'!N92</f>
        <v>-307150.67671303829</v>
      </c>
      <c r="O49" s="23">
        <f>+'Detailed Assumps'!Y738+'Detailed Assumps'!Y740+'Detailed Assumps'!Y741+'Detailed Assumps'!Y742+'Detailed Assumps'!Y743+'$'!O92</f>
        <v>-370198.29109741439</v>
      </c>
      <c r="P49" s="23">
        <f>+'Detailed Assumps'!Z738+'Detailed Assumps'!Z740+'Detailed Assumps'!Z741+'Detailed Assumps'!Z742+'Detailed Assumps'!Z743+'$'!P92</f>
        <v>425118.03461158107</v>
      </c>
      <c r="Q49" s="23">
        <f t="shared" si="0"/>
        <v>-2269639.8264922253</v>
      </c>
    </row>
    <row r="50" spans="3:17" x14ac:dyDescent="0.2">
      <c r="C50" s="2" t="s">
        <v>619</v>
      </c>
      <c r="D50" s="1" t="s">
        <v>154</v>
      </c>
      <c r="E50" s="23">
        <f>+'Detailed Assumps'!O873</f>
        <v>9253.0569999999989</v>
      </c>
      <c r="F50" s="23">
        <f>+'Detailed Assumps'!P873</f>
        <v>5011.4101896551729</v>
      </c>
      <c r="G50" s="23">
        <f>+'Detailed Assumps'!Q873</f>
        <v>4207.2560000000003</v>
      </c>
      <c r="H50" s="23">
        <f>+'Detailed Assumps'!R873</f>
        <v>3480.5</v>
      </c>
      <c r="I50" s="23">
        <f>+'Detailed Assumps'!S873</f>
        <v>2387.92</v>
      </c>
      <c r="J50" s="23">
        <f>+'Detailed Assumps'!T873</f>
        <v>3100.23</v>
      </c>
      <c r="K50" s="23">
        <f>+'Detailed Assumps'!U873</f>
        <v>7303.8689999999997</v>
      </c>
      <c r="L50" s="23">
        <f>+'Detailed Assumps'!V873</f>
        <v>6113.1660000000002</v>
      </c>
      <c r="M50" s="23">
        <f>+'Detailed Assumps'!W873</f>
        <v>6272.1</v>
      </c>
      <c r="N50" s="23">
        <f>+'Detailed Assumps'!X873</f>
        <v>6145.2959999999994</v>
      </c>
      <c r="O50" s="23">
        <f>+'Detailed Assumps'!Y873</f>
        <v>6607.9529999999995</v>
      </c>
      <c r="P50" s="23">
        <f>+'Detailed Assumps'!Z873</f>
        <v>9971.4449999999997</v>
      </c>
      <c r="Q50" s="23">
        <f t="shared" si="0"/>
        <v>69854.202189655174</v>
      </c>
    </row>
    <row r="51" spans="3:17" x14ac:dyDescent="0.2">
      <c r="C51" s="2" t="s">
        <v>620</v>
      </c>
      <c r="D51" s="1" t="s">
        <v>156</v>
      </c>
      <c r="E51" s="23">
        <f>+'Detailed Assumps'!O882</f>
        <v>1770.92</v>
      </c>
      <c r="F51" s="23">
        <f>+'Detailed Assumps'!P882</f>
        <v>376.79775862068965</v>
      </c>
      <c r="G51" s="23">
        <f>+'Detailed Assumps'!Q882</f>
        <v>728.98</v>
      </c>
      <c r="H51" s="23">
        <f>+'Detailed Assumps'!R882</f>
        <v>835.32</v>
      </c>
      <c r="I51" s="23">
        <f>+'Detailed Assumps'!S882</f>
        <v>691.24</v>
      </c>
      <c r="J51" s="23">
        <f>+'Detailed Assumps'!T882</f>
        <v>601.06499999999994</v>
      </c>
      <c r="K51" s="23">
        <f>+'Detailed Assumps'!U882</f>
        <v>700.37100000000009</v>
      </c>
      <c r="L51" s="23">
        <f>+'Detailed Assumps'!V882</f>
        <v>446.62400000000002</v>
      </c>
      <c r="M51" s="23">
        <f>+'Detailed Assumps'!W882</f>
        <v>527.85</v>
      </c>
      <c r="N51" s="23">
        <f>+'Detailed Assumps'!X882</f>
        <v>1174.836</v>
      </c>
      <c r="O51" s="23">
        <f>+'Detailed Assumps'!Y882</f>
        <v>2276.424</v>
      </c>
      <c r="P51" s="23">
        <f>+'Detailed Assumps'!Z882</f>
        <v>1833.3150000000001</v>
      </c>
      <c r="Q51" s="23">
        <f t="shared" si="0"/>
        <v>11963.74275862069</v>
      </c>
    </row>
    <row r="52" spans="3:17" x14ac:dyDescent="0.2">
      <c r="C52" s="2" t="s">
        <v>621</v>
      </c>
      <c r="D52" s="1" t="s">
        <v>155</v>
      </c>
      <c r="E52" s="23">
        <f>+'Detailed Assumps'!O883</f>
        <v>7172.2260000000006</v>
      </c>
      <c r="F52" s="23">
        <f>+'Detailed Assumps'!P883</f>
        <v>150.71910344827586</v>
      </c>
      <c r="G52" s="23">
        <f>+'Detailed Assumps'!Q883</f>
        <v>3290.8240000000001</v>
      </c>
      <c r="H52" s="23">
        <f>+'Detailed Assumps'!R883</f>
        <v>3550.1099999999997</v>
      </c>
      <c r="I52" s="23">
        <f>+'Detailed Assumps'!S883</f>
        <v>3958.92</v>
      </c>
      <c r="J52" s="23">
        <f>+'Detailed Assumps'!T883</f>
        <v>1834.8300000000002</v>
      </c>
      <c r="K52" s="23">
        <f>+'Detailed Assumps'!U883</f>
        <v>3701.9610000000002</v>
      </c>
      <c r="L52" s="23">
        <f>+'Detailed Assumps'!V883</f>
        <v>1339.8720000000001</v>
      </c>
      <c r="M52" s="23">
        <f>+'Detailed Assumps'!W883</f>
        <v>1676.7</v>
      </c>
      <c r="N52" s="23">
        <f>+'Detailed Assumps'!X883</f>
        <v>5663.3119999999999</v>
      </c>
      <c r="O52" s="23">
        <f>+'Detailed Assumps'!Y883</f>
        <v>8283.6540000000005</v>
      </c>
      <c r="P52" s="23">
        <f>+'Detailed Assumps'!Z883</f>
        <v>6304.8149999999996</v>
      </c>
      <c r="Q52" s="23">
        <f t="shared" si="0"/>
        <v>46927.943103448284</v>
      </c>
    </row>
    <row r="53" spans="3:17" x14ac:dyDescent="0.2">
      <c r="C53" s="2" t="s">
        <v>622</v>
      </c>
      <c r="D53" s="1" t="s">
        <v>157</v>
      </c>
      <c r="E53" s="23">
        <f>+'Detailed Assumps'!O894</f>
        <v>18196.202999999998</v>
      </c>
      <c r="F53" s="23">
        <f>+'Detailed Assumps'!P894</f>
        <v>16277.663172413791</v>
      </c>
      <c r="G53" s="23">
        <f>+'Detailed Assumps'!Q894</f>
        <v>17328.896000000001</v>
      </c>
      <c r="H53" s="23">
        <f>+'Detailed Assumps'!R894</f>
        <v>13434.73</v>
      </c>
      <c r="I53" s="23">
        <f>+'Detailed Assumps'!S894</f>
        <v>10619.960000000001</v>
      </c>
      <c r="J53" s="23">
        <f>+'Detailed Assumps'!T894</f>
        <v>12009.224960688249</v>
      </c>
      <c r="K53" s="23">
        <f>+'Detailed Assumps'!U894</f>
        <v>16508.744999999999</v>
      </c>
      <c r="L53" s="23">
        <f>+'Detailed Assumps'!V894</f>
        <v>20070.165999999997</v>
      </c>
      <c r="M53" s="23">
        <f>+'Detailed Assumps'!W894</f>
        <v>34403.4</v>
      </c>
      <c r="N53" s="23">
        <f>+'Detailed Assumps'!X894</f>
        <v>18255.144</v>
      </c>
      <c r="O53" s="23">
        <f>+'Detailed Assumps'!Y894</f>
        <v>19286.37</v>
      </c>
      <c r="P53" s="23">
        <f>+'Detailed Assumps'!Z894</f>
        <v>23430.66</v>
      </c>
      <c r="Q53" s="23">
        <f t="shared" si="0"/>
        <v>219821.16213310204</v>
      </c>
    </row>
    <row r="54" spans="3:17" x14ac:dyDescent="0.2">
      <c r="C54" s="2" t="s">
        <v>623</v>
      </c>
      <c r="D54" s="1" t="s">
        <v>59</v>
      </c>
      <c r="E54" s="23">
        <f>+'Detailed Assumps'!O814</f>
        <v>63363.909501631126</v>
      </c>
      <c r="F54" s="23">
        <f>+'Detailed Assumps'!P814</f>
        <v>33657.168943283446</v>
      </c>
      <c r="G54" s="23">
        <f>+'Detailed Assumps'!Q814</f>
        <v>19911.518202257084</v>
      </c>
      <c r="H54" s="23">
        <f>+'Detailed Assumps'!R814</f>
        <v>11853.024283836861</v>
      </c>
      <c r="I54" s="23">
        <f>+'Detailed Assumps'!S814</f>
        <v>9022.2137065391798</v>
      </c>
      <c r="J54" s="23">
        <f>+'Detailed Assumps'!T814</f>
        <v>32961.067235870927</v>
      </c>
      <c r="K54" s="23">
        <f>+'Detailed Assumps'!U814</f>
        <v>35887.475149985075</v>
      </c>
      <c r="L54" s="23">
        <f>+'Detailed Assumps'!V814</f>
        <v>31280.758440108752</v>
      </c>
      <c r="M54" s="23">
        <f>+'Detailed Assumps'!W814</f>
        <v>31358.333391238677</v>
      </c>
      <c r="N54" s="23">
        <f>+'Detailed Assumps'!X814</f>
        <v>23901.496353097074</v>
      </c>
      <c r="O54" s="23">
        <f>+'Detailed Assumps'!Y814</f>
        <v>41132.56481392197</v>
      </c>
      <c r="P54" s="23">
        <f>+'Detailed Assumps'!Z814</f>
        <v>63877.533323076146</v>
      </c>
      <c r="Q54" s="23">
        <f t="shared" si="0"/>
        <v>398207.06334484636</v>
      </c>
    </row>
    <row r="55" spans="3:17" x14ac:dyDescent="0.2">
      <c r="C55" s="2" t="s">
        <v>624</v>
      </c>
      <c r="D55" s="1" t="s">
        <v>60</v>
      </c>
      <c r="E55" s="23">
        <f>+'Detailed Assumps'!O867</f>
        <v>25605.873675037004</v>
      </c>
      <c r="F55" s="23">
        <f>+'Detailed Assumps'!P867</f>
        <v>43978.097467577747</v>
      </c>
      <c r="G55" s="23">
        <f>+'Detailed Assumps'!Q867</f>
        <v>6526.1570355467666</v>
      </c>
      <c r="H55" s="23">
        <f>+'Detailed Assumps'!R867</f>
        <v>33857.41249338317</v>
      </c>
      <c r="I55" s="23">
        <f>+'Detailed Assumps'!S867</f>
        <v>253.78556899599744</v>
      </c>
      <c r="J55" s="23">
        <f>+'Detailed Assumps'!T867</f>
        <v>31492.347748705812</v>
      </c>
      <c r="K55" s="23">
        <f>+'Detailed Assumps'!U867</f>
        <v>4959.1589593371727</v>
      </c>
      <c r="L55" s="23">
        <f>+'Detailed Assumps'!V867</f>
        <v>4700.7309424901978</v>
      </c>
      <c r="M55" s="23">
        <f>+'Detailed Assumps'!W867</f>
        <v>1372.0839196296483</v>
      </c>
      <c r="N55" s="23">
        <f>+'Detailed Assumps'!X867</f>
        <v>308.92970731085603</v>
      </c>
      <c r="O55" s="23">
        <f>+'Detailed Assumps'!Y867</f>
        <v>24690.654431999727</v>
      </c>
      <c r="P55" s="23">
        <f>+'Detailed Assumps'!Z867</f>
        <v>21426.535584415313</v>
      </c>
      <c r="Q55" s="23">
        <f t="shared" si="0"/>
        <v>199171.76753442941</v>
      </c>
    </row>
    <row r="56" spans="3:17" x14ac:dyDescent="0.2">
      <c r="C56" s="2" t="s">
        <v>625</v>
      </c>
      <c r="D56" s="1" t="s">
        <v>57</v>
      </c>
      <c r="E56" s="23">
        <f>+'Detailed Assumps'!O941</f>
        <v>-16643.87</v>
      </c>
      <c r="F56" s="23">
        <f>+'Detailed Assumps'!P941</f>
        <v>-11321.47</v>
      </c>
      <c r="G56" s="23">
        <f>+'Detailed Assumps'!Q941</f>
        <v>-5406.59</v>
      </c>
      <c r="H56" s="23">
        <f>+'Detailed Assumps'!R941</f>
        <v>3906.69</v>
      </c>
      <c r="I56" s="23">
        <f>+'Detailed Assumps'!S941</f>
        <v>-11394.69</v>
      </c>
      <c r="J56" s="23">
        <f>+'Detailed Assumps'!T941</f>
        <v>-3136.94</v>
      </c>
      <c r="K56" s="23">
        <f>+'Detailed Assumps'!U941</f>
        <v>-5840.63</v>
      </c>
      <c r="L56" s="23">
        <f>+'Detailed Assumps'!V941</f>
        <v>-4417.37</v>
      </c>
      <c r="M56" s="23">
        <f>+'Detailed Assumps'!W941</f>
        <v>-4079.88</v>
      </c>
      <c r="N56" s="23">
        <f>+'Detailed Assumps'!X941</f>
        <v>-4752.72</v>
      </c>
      <c r="O56" s="23">
        <f>+'Detailed Assumps'!Y941</f>
        <v>-6961.55</v>
      </c>
      <c r="P56" s="23">
        <f>+'Detailed Assumps'!Z941</f>
        <v>-10311.299999999999</v>
      </c>
      <c r="Q56" s="23">
        <f t="shared" si="0"/>
        <v>-80360.319999999992</v>
      </c>
    </row>
    <row r="57" spans="3:17" x14ac:dyDescent="0.2">
      <c r="C57" s="2" t="s">
        <v>626</v>
      </c>
      <c r="D57" s="1" t="s">
        <v>58</v>
      </c>
      <c r="E57" s="23">
        <v>0</v>
      </c>
      <c r="F57" s="23">
        <v>0</v>
      </c>
      <c r="G57" s="23">
        <v>0</v>
      </c>
      <c r="H57" s="23">
        <v>0</v>
      </c>
      <c r="I57" s="23">
        <v>0</v>
      </c>
      <c r="J57" s="23">
        <v>0</v>
      </c>
      <c r="K57" s="23">
        <v>0</v>
      </c>
      <c r="L57" s="23">
        <v>0</v>
      </c>
      <c r="M57" s="23">
        <v>0</v>
      </c>
      <c r="N57" s="23">
        <v>0</v>
      </c>
      <c r="O57" s="23">
        <v>0</v>
      </c>
      <c r="P57" s="23">
        <v>0</v>
      </c>
      <c r="Q57" s="23">
        <f t="shared" si="0"/>
        <v>0</v>
      </c>
    </row>
    <row r="58" spans="3:17" x14ac:dyDescent="0.2">
      <c r="C58" s="2" t="s">
        <v>627</v>
      </c>
      <c r="D58" s="1" t="s">
        <v>4</v>
      </c>
      <c r="E58" s="23">
        <f>+'Detailed Assumps'!O753</f>
        <v>88096.015142006101</v>
      </c>
      <c r="F58" s="23">
        <f>+'Detailed Assumps'!P753</f>
        <v>88096.015142006116</v>
      </c>
      <c r="G58" s="23">
        <f>+'Detailed Assumps'!Q753</f>
        <v>88096.015142006101</v>
      </c>
      <c r="H58" s="23">
        <f>+'Detailed Assumps'!R753</f>
        <v>88084.887198255019</v>
      </c>
      <c r="I58" s="23">
        <f>+'Detailed Assumps'!S753</f>
        <v>88096.015142006101</v>
      </c>
      <c r="J58" s="23">
        <f>+'Detailed Assumps'!T753</f>
        <v>113966.00081863163</v>
      </c>
      <c r="K58" s="23">
        <f>+'Detailed Assumps'!U753</f>
        <v>113966.38285003763</v>
      </c>
      <c r="L58" s="23">
        <f>+'Detailed Assumps'!V753</f>
        <v>113966.38285003763</v>
      </c>
      <c r="M58" s="23">
        <f>+'Detailed Assumps'!W753</f>
        <v>113966.38285003765</v>
      </c>
      <c r="N58" s="23">
        <f>+'Detailed Assumps'!X753</f>
        <v>113966.38285003763</v>
      </c>
      <c r="O58" s="23">
        <f>+'Detailed Assumps'!Y753</f>
        <v>113966.38285003765</v>
      </c>
      <c r="P58" s="23">
        <f>+'Detailed Assumps'!Z753</f>
        <v>113966.38285003763</v>
      </c>
      <c r="Q58" s="23">
        <f t="shared" si="0"/>
        <v>1238233.2456851371</v>
      </c>
    </row>
    <row r="59" spans="3:17" x14ac:dyDescent="0.2">
      <c r="C59" s="2" t="s">
        <v>628</v>
      </c>
      <c r="D59" s="1" t="s">
        <v>5</v>
      </c>
      <c r="E59" s="23">
        <f>+'Detailed Assumps'!O930</f>
        <v>-4187.54</v>
      </c>
      <c r="F59" s="23">
        <f>+'Detailed Assumps'!P930</f>
        <v>5105.22</v>
      </c>
      <c r="G59" s="23">
        <f>+'Detailed Assumps'!Q930</f>
        <v>4738.47</v>
      </c>
      <c r="H59" s="23">
        <f>+'Detailed Assumps'!R930</f>
        <v>5251.75</v>
      </c>
      <c r="I59" s="23">
        <f>+'Detailed Assumps'!S930</f>
        <v>5036.4399999999996</v>
      </c>
      <c r="J59" s="23">
        <f>+'Detailed Assumps'!T930</f>
        <v>3309.9</v>
      </c>
      <c r="K59" s="23">
        <f>+'Detailed Assumps'!U930</f>
        <v>5275.22</v>
      </c>
      <c r="L59" s="23">
        <f>+'Detailed Assumps'!V930</f>
        <v>3972.58</v>
      </c>
      <c r="M59" s="23">
        <f>+'Detailed Assumps'!W930</f>
        <v>4376.04</v>
      </c>
      <c r="N59" s="23">
        <f>+'Detailed Assumps'!X930</f>
        <v>3460.3</v>
      </c>
      <c r="O59" s="23">
        <f>+'Detailed Assumps'!Y930</f>
        <v>4346.7299999999996</v>
      </c>
      <c r="P59" s="23">
        <f>+'Detailed Assumps'!Z930</f>
        <v>-16011.32</v>
      </c>
      <c r="Q59" s="23">
        <f t="shared" si="0"/>
        <v>24673.79</v>
      </c>
    </row>
    <row r="60" spans="3:17" x14ac:dyDescent="0.2">
      <c r="C60" s="106" t="s">
        <v>632</v>
      </c>
      <c r="D60" s="1"/>
      <c r="E60" s="23">
        <f>'Detailed Assumps'!O907</f>
        <v>0</v>
      </c>
      <c r="F60" s="23">
        <f>'Detailed Assumps'!P907</f>
        <v>0</v>
      </c>
      <c r="G60" s="23">
        <f>'Detailed Assumps'!Q907</f>
        <v>0</v>
      </c>
      <c r="H60" s="23">
        <f>'Detailed Assumps'!R907</f>
        <v>0</v>
      </c>
      <c r="I60" s="23">
        <f>'Detailed Assumps'!S907</f>
        <v>0</v>
      </c>
      <c r="J60" s="23">
        <f>'Detailed Assumps'!T907</f>
        <v>0</v>
      </c>
      <c r="K60" s="23">
        <f>'Detailed Assumps'!U907</f>
        <v>0</v>
      </c>
      <c r="L60" s="23">
        <f>'Detailed Assumps'!V907</f>
        <v>0</v>
      </c>
      <c r="M60" s="23">
        <f>'Detailed Assumps'!W907</f>
        <v>0</v>
      </c>
      <c r="N60" s="23">
        <f>'Detailed Assumps'!X907</f>
        <v>0</v>
      </c>
      <c r="O60" s="23">
        <f>'Detailed Assumps'!Y907</f>
        <v>0</v>
      </c>
      <c r="P60" s="23">
        <f>'Detailed Assumps'!Z907</f>
        <v>0</v>
      </c>
      <c r="Q60" s="23">
        <f t="shared" si="0"/>
        <v>0</v>
      </c>
    </row>
    <row r="61" spans="3:17" x14ac:dyDescent="0.2">
      <c r="C61" s="106" t="s">
        <v>645</v>
      </c>
      <c r="D61" s="1"/>
      <c r="E61" s="23">
        <f>'Detailed Assumps'!O908</f>
        <v>104669.77</v>
      </c>
      <c r="F61" s="23">
        <f>'Detailed Assumps'!P908</f>
        <v>97030.16</v>
      </c>
      <c r="G61" s="23">
        <f>'Detailed Assumps'!Q908</f>
        <v>0</v>
      </c>
      <c r="H61" s="23">
        <f>'Detailed Assumps'!R908</f>
        <v>0</v>
      </c>
      <c r="I61" s="23">
        <f>'Detailed Assumps'!S908</f>
        <v>0</v>
      </c>
      <c r="J61" s="23">
        <f>'Detailed Assumps'!T908</f>
        <v>0</v>
      </c>
      <c r="K61" s="23">
        <f>'Detailed Assumps'!U908</f>
        <v>0</v>
      </c>
      <c r="L61" s="23">
        <f>'Detailed Assumps'!V908</f>
        <v>0</v>
      </c>
      <c r="M61" s="23">
        <f>'Detailed Assumps'!W908</f>
        <v>0</v>
      </c>
      <c r="N61" s="23">
        <f>'Detailed Assumps'!X908</f>
        <v>0</v>
      </c>
      <c r="O61" s="23">
        <f>'Detailed Assumps'!Y908</f>
        <v>0</v>
      </c>
      <c r="P61" s="23">
        <f>'Detailed Assumps'!Z908</f>
        <v>0</v>
      </c>
      <c r="Q61" s="23">
        <f t="shared" si="0"/>
        <v>201699.93</v>
      </c>
    </row>
    <row r="62" spans="3:17" x14ac:dyDescent="0.2">
      <c r="C62" s="106" t="s">
        <v>369</v>
      </c>
      <c r="D62" s="1"/>
      <c r="E62" s="107"/>
      <c r="F62" s="107"/>
      <c r="G62" s="107"/>
      <c r="H62" s="107"/>
      <c r="I62" s="107"/>
      <c r="J62" s="107"/>
      <c r="K62" s="107"/>
      <c r="L62" s="107"/>
      <c r="M62" s="107"/>
      <c r="N62" s="107"/>
      <c r="O62" s="107"/>
      <c r="P62" s="107"/>
      <c r="Q62" s="23">
        <f t="shared" ref="Q62:Q107" si="1">SUM(E62:P62)</f>
        <v>0</v>
      </c>
    </row>
    <row r="63" spans="3:17" x14ac:dyDescent="0.2">
      <c r="C63" s="211" t="str">
        <f>+'Detailed Assumps'!A1078</f>
        <v>Tier 1 High Value RECs - Contracted - MA</v>
      </c>
      <c r="D63" s="212"/>
      <c r="E63" s="23">
        <f>+'Detailed Assumps'!O1074</f>
        <v>-124916.66666666667</v>
      </c>
      <c r="F63" s="23">
        <f>+'Detailed Assumps'!P1074</f>
        <v>-124916.66666666667</v>
      </c>
      <c r="G63" s="23">
        <f>+'Detailed Assumps'!Q1074</f>
        <v>-124916.66666666667</v>
      </c>
      <c r="H63" s="23">
        <f>+'Detailed Assumps'!R1074</f>
        <v>-124916.66666666667</v>
      </c>
      <c r="I63" s="23">
        <f>+'Detailed Assumps'!S1074</f>
        <v>-124916.66666666667</v>
      </c>
      <c r="J63" s="23">
        <f>+'Detailed Assumps'!T1074</f>
        <v>-124916.66666666667</v>
      </c>
      <c r="K63" s="23">
        <f>+'Detailed Assumps'!U1074</f>
        <v>-124916.66666666667</v>
      </c>
      <c r="L63" s="23">
        <f>+'Detailed Assumps'!V1074</f>
        <v>-124916.66666666667</v>
      </c>
      <c r="M63" s="23">
        <f>+'Detailed Assumps'!W1074</f>
        <v>-124916.66666666667</v>
      </c>
      <c r="N63" s="23">
        <f>+'Detailed Assumps'!X1074</f>
        <v>-124916.66666666667</v>
      </c>
      <c r="O63" s="23">
        <f>+'Detailed Assumps'!Y1074</f>
        <v>-124916.66666666667</v>
      </c>
      <c r="P63" s="23">
        <f>+'Detailed Assumps'!Z1074</f>
        <v>-124916.66666666667</v>
      </c>
      <c r="Q63" s="23">
        <f t="shared" si="1"/>
        <v>-1499000.0000000002</v>
      </c>
    </row>
    <row r="64" spans="3:17" x14ac:dyDescent="0.2">
      <c r="C64" s="211" t="str">
        <f>+'Detailed Assumps'!A1079</f>
        <v>Tier 1 High Value RECs - Contracted - CT</v>
      </c>
      <c r="D64" s="212"/>
      <c r="E64" s="23">
        <f>+'Detailed Assumps'!O1075</f>
        <v>0</v>
      </c>
      <c r="F64" s="23">
        <f>+'Detailed Assumps'!P1075</f>
        <v>0</v>
      </c>
      <c r="G64" s="23">
        <f>+'Detailed Assumps'!Q1075</f>
        <v>0</v>
      </c>
      <c r="H64" s="23">
        <f>+'Detailed Assumps'!R1075</f>
        <v>0</v>
      </c>
      <c r="I64" s="23">
        <f>+'Detailed Assumps'!S1075</f>
        <v>0</v>
      </c>
      <c r="J64" s="23">
        <f>+'Detailed Assumps'!T1075</f>
        <v>0</v>
      </c>
      <c r="K64" s="23">
        <f>+'Detailed Assumps'!U1075</f>
        <v>0</v>
      </c>
      <c r="L64" s="23">
        <f>+'Detailed Assumps'!V1075</f>
        <v>0</v>
      </c>
      <c r="M64" s="23">
        <f>+'Detailed Assumps'!W1075</f>
        <v>0</v>
      </c>
      <c r="N64" s="23">
        <f>+'Detailed Assumps'!X1075</f>
        <v>0</v>
      </c>
      <c r="O64" s="23">
        <f>+'Detailed Assumps'!Y1075</f>
        <v>0</v>
      </c>
      <c r="P64" s="23">
        <f>+'Detailed Assumps'!Z1075</f>
        <v>0</v>
      </c>
      <c r="Q64" s="23">
        <f t="shared" si="1"/>
        <v>0</v>
      </c>
    </row>
    <row r="65" spans="3:17" x14ac:dyDescent="0.2">
      <c r="C65" s="211" t="str">
        <f>'Detailed Assumps'!A1083</f>
        <v>Tier 2 High Value RECs - Contracted - MA</v>
      </c>
      <c r="D65" s="212"/>
      <c r="E65" s="23">
        <f>'Detailed Assumps'!O1083</f>
        <v>0</v>
      </c>
      <c r="F65" s="23">
        <f>'Detailed Assumps'!P1083</f>
        <v>0</v>
      </c>
      <c r="G65" s="23">
        <f>'Detailed Assumps'!Q1083</f>
        <v>0</v>
      </c>
      <c r="H65" s="23">
        <f>'Detailed Assumps'!R1083</f>
        <v>0</v>
      </c>
      <c r="I65" s="23">
        <f>'Detailed Assumps'!S1083</f>
        <v>0</v>
      </c>
      <c r="J65" s="23">
        <f>'Detailed Assumps'!T1083</f>
        <v>0</v>
      </c>
      <c r="K65" s="23">
        <f>'Detailed Assumps'!U1083</f>
        <v>0</v>
      </c>
      <c r="L65" s="23">
        <f>'Detailed Assumps'!V1083</f>
        <v>0</v>
      </c>
      <c r="M65" s="23">
        <f>'Detailed Assumps'!W1083</f>
        <v>0</v>
      </c>
      <c r="N65" s="23">
        <f>'Detailed Assumps'!X1083</f>
        <v>0</v>
      </c>
      <c r="O65" s="23">
        <f>'Detailed Assumps'!Y1083</f>
        <v>0</v>
      </c>
      <c r="P65" s="23">
        <f>'Detailed Assumps'!Z1083</f>
        <v>0</v>
      </c>
      <c r="Q65" s="23">
        <f t="shared" si="1"/>
        <v>0</v>
      </c>
    </row>
    <row r="66" spans="3:17" x14ac:dyDescent="0.2">
      <c r="C66" s="211" t="str">
        <f>+'Detailed Assumps'!A1098</f>
        <v>Tier 1 High Value RECs - Proxy for Uncontracted Sales - MA</v>
      </c>
      <c r="D66" s="212"/>
      <c r="E66" s="23">
        <f>+'Detailed Assumps'!O1098</f>
        <v>0</v>
      </c>
      <c r="F66" s="23">
        <f>+'Detailed Assumps'!P1098</f>
        <v>0</v>
      </c>
      <c r="G66" s="23">
        <f>+'Detailed Assumps'!Q1098</f>
        <v>0</v>
      </c>
      <c r="H66" s="23">
        <f>+'Detailed Assumps'!R1098</f>
        <v>0</v>
      </c>
      <c r="I66" s="23">
        <f>+'Detailed Assumps'!S1098</f>
        <v>0</v>
      </c>
      <c r="J66" s="23">
        <f>+'Detailed Assumps'!T1098</f>
        <v>0</v>
      </c>
      <c r="K66" s="23">
        <f>+'Detailed Assumps'!U1098</f>
        <v>0</v>
      </c>
      <c r="L66" s="23">
        <f>+'Detailed Assumps'!V1098</f>
        <v>0</v>
      </c>
      <c r="M66" s="23">
        <f>+'Detailed Assumps'!W1098</f>
        <v>0</v>
      </c>
      <c r="N66" s="23">
        <f>+'Detailed Assumps'!X1098</f>
        <v>0</v>
      </c>
      <c r="O66" s="23">
        <f>+'Detailed Assumps'!Y1098</f>
        <v>0</v>
      </c>
      <c r="P66" s="23">
        <f>+'Detailed Assumps'!Z1098</f>
        <v>-1157733.98325</v>
      </c>
      <c r="Q66" s="23">
        <f t="shared" si="1"/>
        <v>-1157733.98325</v>
      </c>
    </row>
    <row r="67" spans="3:17" x14ac:dyDescent="0.2">
      <c r="C67" s="211" t="str">
        <f>+'Detailed Assumps'!A1099</f>
        <v>Tier 1 High Value RECs - Proxy for Uncontracted Sales - CT</v>
      </c>
      <c r="D67" s="212"/>
      <c r="E67" s="23">
        <f>+'Detailed Assumps'!O1099</f>
        <v>0</v>
      </c>
      <c r="F67" s="23">
        <f>+'Detailed Assumps'!P1099</f>
        <v>0</v>
      </c>
      <c r="G67" s="23">
        <f>+'Detailed Assumps'!Q1099</f>
        <v>0</v>
      </c>
      <c r="H67" s="23">
        <f>+'Detailed Assumps'!R1099</f>
        <v>0</v>
      </c>
      <c r="I67" s="23">
        <f>+'Detailed Assumps'!S1099</f>
        <v>0</v>
      </c>
      <c r="J67" s="23">
        <f>+'Detailed Assumps'!T1099</f>
        <v>0</v>
      </c>
      <c r="K67" s="23">
        <f>+'Detailed Assumps'!U1099</f>
        <v>0</v>
      </c>
      <c r="L67" s="23">
        <f>+'Detailed Assumps'!V1099</f>
        <v>0</v>
      </c>
      <c r="M67" s="23">
        <f>+'Detailed Assumps'!W1099</f>
        <v>0</v>
      </c>
      <c r="N67" s="23">
        <f>+'Detailed Assumps'!X1099</f>
        <v>0</v>
      </c>
      <c r="O67" s="23">
        <f>+'Detailed Assumps'!Y1099</f>
        <v>0</v>
      </c>
      <c r="P67" s="23">
        <f>+'Detailed Assumps'!Z1099</f>
        <v>-431172.9818442149</v>
      </c>
      <c r="Q67" s="23">
        <f t="shared" si="1"/>
        <v>-431172.9818442149</v>
      </c>
    </row>
    <row r="68" spans="3:17" x14ac:dyDescent="0.2">
      <c r="C68" s="211" t="str">
        <f>+'Detailed Assumps'!A1101</f>
        <v>Proxy Sale of Excess Tier 1 Low-Value</v>
      </c>
      <c r="D68" s="212"/>
      <c r="E68" s="23">
        <f>+'Detailed Assumps'!O1101</f>
        <v>0</v>
      </c>
      <c r="F68" s="23">
        <f>+'Detailed Assumps'!P1101</f>
        <v>0</v>
      </c>
      <c r="G68" s="23">
        <f>+'Detailed Assumps'!Q1101</f>
        <v>0</v>
      </c>
      <c r="H68" s="23">
        <f>+'Detailed Assumps'!R1101</f>
        <v>0</v>
      </c>
      <c r="I68" s="23">
        <f>+'Detailed Assumps'!S1101</f>
        <v>0</v>
      </c>
      <c r="J68" s="23">
        <f>+'Detailed Assumps'!T1101</f>
        <v>0</v>
      </c>
      <c r="K68" s="23">
        <f>+'Detailed Assumps'!U1101</f>
        <v>0</v>
      </c>
      <c r="L68" s="23">
        <f>+'Detailed Assumps'!V1101</f>
        <v>0</v>
      </c>
      <c r="M68" s="23">
        <f>+'Detailed Assumps'!W1101</f>
        <v>0</v>
      </c>
      <c r="N68" s="23">
        <f>+'Detailed Assumps'!X1101</f>
        <v>0</v>
      </c>
      <c r="O68" s="23">
        <f>+'Detailed Assumps'!Y1101</f>
        <v>0</v>
      </c>
      <c r="P68" s="23">
        <f>+'Detailed Assumps'!Z1101</f>
        <v>-95000</v>
      </c>
      <c r="Q68" s="23">
        <f t="shared" si="1"/>
        <v>-95000</v>
      </c>
    </row>
    <row r="69" spans="3:17" x14ac:dyDescent="0.2">
      <c r="C69" s="211" t="str">
        <f>+'Detailed Assumps'!A1102</f>
        <v>Proxy Sale of Excess Tier 2</v>
      </c>
      <c r="D69" s="212"/>
      <c r="E69" s="23">
        <f>+'Detailed Assumps'!O1102</f>
        <v>0</v>
      </c>
      <c r="F69" s="23">
        <f>+'Detailed Assumps'!P1102</f>
        <v>0</v>
      </c>
      <c r="G69" s="23">
        <f>+'Detailed Assumps'!Q1102</f>
        <v>0</v>
      </c>
      <c r="H69" s="23">
        <f>+'Detailed Assumps'!R1102</f>
        <v>0</v>
      </c>
      <c r="I69" s="23">
        <f>+'Detailed Assumps'!S1102</f>
        <v>0</v>
      </c>
      <c r="J69" s="23">
        <f>+'Detailed Assumps'!T1102</f>
        <v>0</v>
      </c>
      <c r="K69" s="23">
        <f>+'Detailed Assumps'!U1102</f>
        <v>0</v>
      </c>
      <c r="L69" s="23">
        <f>+'Detailed Assumps'!V1102</f>
        <v>0</v>
      </c>
      <c r="M69" s="23">
        <f>+'Detailed Assumps'!W1102</f>
        <v>0</v>
      </c>
      <c r="N69" s="23">
        <f>+'Detailed Assumps'!X1102</f>
        <v>0</v>
      </c>
      <c r="O69" s="23">
        <f>+'Detailed Assumps'!Y1102</f>
        <v>0</v>
      </c>
      <c r="P69" s="23">
        <f>+'Detailed Assumps'!Z1102</f>
        <v>-1044391.2960000001</v>
      </c>
      <c r="Q69" s="23">
        <f t="shared" si="1"/>
        <v>-1044391.2960000001</v>
      </c>
    </row>
    <row r="70" spans="3:17" x14ac:dyDescent="0.2">
      <c r="C70" s="211" t="s">
        <v>643</v>
      </c>
      <c r="D70" s="212"/>
      <c r="E70" s="23">
        <f>+'Detailed Assumps'!O1103</f>
        <v>0</v>
      </c>
      <c r="F70" s="23">
        <f>+'Detailed Assumps'!P1103</f>
        <v>0</v>
      </c>
      <c r="G70" s="23">
        <f>+'Detailed Assumps'!Q1103</f>
        <v>0</v>
      </c>
      <c r="H70" s="23">
        <f>+'Detailed Assumps'!R1103</f>
        <v>0</v>
      </c>
      <c r="I70" s="23">
        <f>+'Detailed Assumps'!S1103</f>
        <v>0</v>
      </c>
      <c r="J70" s="23">
        <f>+'Detailed Assumps'!T1103</f>
        <v>0</v>
      </c>
      <c r="K70" s="23">
        <f>+'Detailed Assumps'!U1103</f>
        <v>0</v>
      </c>
      <c r="L70" s="23">
        <f>+'Detailed Assumps'!V1103</f>
        <v>0</v>
      </c>
      <c r="M70" s="23">
        <f>+'Detailed Assumps'!W1103</f>
        <v>0</v>
      </c>
      <c r="N70" s="23">
        <f>+'Detailed Assumps'!X1103</f>
        <v>0</v>
      </c>
      <c r="O70" s="23">
        <f>+'Detailed Assumps'!Y1103</f>
        <v>0</v>
      </c>
      <c r="P70" s="23">
        <f>+'Detailed Assumps'!Z1103</f>
        <v>574003.73275862087</v>
      </c>
      <c r="Q70" s="242">
        <f t="shared" si="1"/>
        <v>574003.73275862087</v>
      </c>
    </row>
    <row r="71" spans="3:17" x14ac:dyDescent="0.2">
      <c r="C71" s="213" t="str">
        <f>+'Detailed Assumps'!A1091</f>
        <v>Tier 1 High Value RECs -MA - Proxy Purchase to Fulfill Contract Shortfall</v>
      </c>
      <c r="D71" s="214"/>
      <c r="E71" s="23">
        <f>+'Detailed Assumps'!O1091</f>
        <v>0</v>
      </c>
      <c r="F71" s="23">
        <f>+'Detailed Assumps'!P1091</f>
        <v>0</v>
      </c>
      <c r="G71" s="23">
        <f>+'Detailed Assumps'!Q1091</f>
        <v>0</v>
      </c>
      <c r="H71" s="23">
        <f>+'Detailed Assumps'!R1091</f>
        <v>0</v>
      </c>
      <c r="I71" s="23">
        <f>+'Detailed Assumps'!S1091</f>
        <v>0</v>
      </c>
      <c r="J71" s="23">
        <f>+'Detailed Assumps'!T1091</f>
        <v>0</v>
      </c>
      <c r="K71" s="23">
        <f>+'Detailed Assumps'!U1091</f>
        <v>0</v>
      </c>
      <c r="L71" s="23">
        <f>+'Detailed Assumps'!V1091</f>
        <v>0</v>
      </c>
      <c r="M71" s="23">
        <f>+'Detailed Assumps'!W1091</f>
        <v>0</v>
      </c>
      <c r="N71" s="23">
        <f>+'Detailed Assumps'!X1091</f>
        <v>0</v>
      </c>
      <c r="O71" s="23">
        <f>+'Detailed Assumps'!Y1091</f>
        <v>0</v>
      </c>
      <c r="P71" s="23">
        <f>+'Detailed Assumps'!Z1091</f>
        <v>0</v>
      </c>
      <c r="Q71" s="242">
        <f t="shared" si="1"/>
        <v>0</v>
      </c>
    </row>
    <row r="72" spans="3:17" x14ac:dyDescent="0.2">
      <c r="C72" s="213" t="str">
        <f>+'Detailed Assumps'!A1092</f>
        <v>Tier 1 High Value RECs -CT - Proxy Purchase to Fulfill Contract Shortfall</v>
      </c>
      <c r="D72" s="214"/>
      <c r="E72" s="23">
        <f>+'Detailed Assumps'!O1092</f>
        <v>0</v>
      </c>
      <c r="F72" s="23">
        <f>+'Detailed Assumps'!P1092</f>
        <v>0</v>
      </c>
      <c r="G72" s="23">
        <f>+'Detailed Assumps'!Q1092</f>
        <v>0</v>
      </c>
      <c r="H72" s="23">
        <f>+'Detailed Assumps'!R1092</f>
        <v>0</v>
      </c>
      <c r="I72" s="23">
        <f>+'Detailed Assumps'!S1092</f>
        <v>0</v>
      </c>
      <c r="J72" s="23">
        <f>+'Detailed Assumps'!T1092</f>
        <v>0</v>
      </c>
      <c r="K72" s="23">
        <f>+'Detailed Assumps'!U1092</f>
        <v>0</v>
      </c>
      <c r="L72" s="23">
        <f>+'Detailed Assumps'!V1092</f>
        <v>0</v>
      </c>
      <c r="M72" s="23">
        <f>+'Detailed Assumps'!W1092</f>
        <v>0</v>
      </c>
      <c r="N72" s="23">
        <f>+'Detailed Assumps'!X1092</f>
        <v>0</v>
      </c>
      <c r="O72" s="23">
        <f>+'Detailed Assumps'!Y1092</f>
        <v>0</v>
      </c>
      <c r="P72" s="23">
        <f>+'Detailed Assumps'!Z1092</f>
        <v>0</v>
      </c>
      <c r="Q72" s="242">
        <f t="shared" si="1"/>
        <v>0</v>
      </c>
    </row>
    <row r="73" spans="3:17" x14ac:dyDescent="0.2">
      <c r="C73" s="213" t="str">
        <f>+'Detailed Assumps'!A1093</f>
        <v>Tier 1 Low-Value - Proxy Purchase to meet VT RES</v>
      </c>
      <c r="D73" s="214"/>
      <c r="E73" s="23">
        <f>+'Detailed Assumps'!O1093</f>
        <v>0</v>
      </c>
      <c r="F73" s="23">
        <f>+'Detailed Assumps'!P1093</f>
        <v>0</v>
      </c>
      <c r="G73" s="23">
        <f>+'Detailed Assumps'!Q1093</f>
        <v>0</v>
      </c>
      <c r="H73" s="23">
        <f>+'Detailed Assumps'!R1093</f>
        <v>0</v>
      </c>
      <c r="I73" s="23">
        <f>+'Detailed Assumps'!S1093</f>
        <v>0</v>
      </c>
      <c r="J73" s="23">
        <f>+'Detailed Assumps'!T1093</f>
        <v>0</v>
      </c>
      <c r="K73" s="23">
        <f>+'Detailed Assumps'!U1093</f>
        <v>0</v>
      </c>
      <c r="L73" s="23">
        <f>+'Detailed Assumps'!V1093</f>
        <v>0</v>
      </c>
      <c r="M73" s="23">
        <f>+'Detailed Assumps'!W1093</f>
        <v>0</v>
      </c>
      <c r="N73" s="23">
        <f>+'Detailed Assumps'!X1093</f>
        <v>0</v>
      </c>
      <c r="O73" s="23">
        <f>+'Detailed Assumps'!Y1093</f>
        <v>0</v>
      </c>
      <c r="P73" s="23">
        <f>+'Detailed Assumps'!Z1093</f>
        <v>142833.68568205822</v>
      </c>
      <c r="Q73" s="242">
        <f t="shared" si="1"/>
        <v>142833.68568205822</v>
      </c>
    </row>
    <row r="74" spans="3:17" x14ac:dyDescent="0.2">
      <c r="C74" s="213" t="str">
        <f>+'Detailed Assumps'!A1094</f>
        <v>Tier 2 - Proxy Purchase to meet VT RES</v>
      </c>
      <c r="D74" s="214"/>
      <c r="E74" s="23">
        <f>+'Detailed Assumps'!O1094</f>
        <v>0</v>
      </c>
      <c r="F74" s="23">
        <f>+'Detailed Assumps'!P1094</f>
        <v>0</v>
      </c>
      <c r="G74" s="23">
        <f>+'Detailed Assumps'!Q1094</f>
        <v>0</v>
      </c>
      <c r="H74" s="23">
        <f>+'Detailed Assumps'!R1094</f>
        <v>0</v>
      </c>
      <c r="I74" s="23">
        <f>+'Detailed Assumps'!S1094</f>
        <v>0</v>
      </c>
      <c r="J74" s="23">
        <f>+'Detailed Assumps'!T1094</f>
        <v>0</v>
      </c>
      <c r="K74" s="23">
        <f>+'Detailed Assumps'!U1094</f>
        <v>0</v>
      </c>
      <c r="L74" s="23">
        <f>+'Detailed Assumps'!V1094</f>
        <v>0</v>
      </c>
      <c r="M74" s="23">
        <f>+'Detailed Assumps'!W1094</f>
        <v>0</v>
      </c>
      <c r="N74" s="23">
        <f>+'Detailed Assumps'!X1094</f>
        <v>0</v>
      </c>
      <c r="O74" s="23">
        <f>+'Detailed Assumps'!Y1094</f>
        <v>0</v>
      </c>
      <c r="P74" s="23">
        <f>+'Detailed Assumps'!Z1094</f>
        <v>0</v>
      </c>
      <c r="Q74" s="23">
        <f t="shared" si="1"/>
        <v>0</v>
      </c>
    </row>
    <row r="75" spans="3:17" x14ac:dyDescent="0.2">
      <c r="C75" s="213" t="str">
        <f>+'Detailed Assumps'!A445</f>
        <v>GDF Suez ME Class II RECs</v>
      </c>
      <c r="D75" s="214"/>
      <c r="E75" s="23">
        <f>+'Detailed Assumps'!O448</f>
        <v>0</v>
      </c>
      <c r="F75" s="23">
        <f>+'Detailed Assumps'!P448</f>
        <v>0</v>
      </c>
      <c r="G75" s="23">
        <f>+'Detailed Assumps'!Q448</f>
        <v>0</v>
      </c>
      <c r="H75" s="23">
        <f>+'Detailed Assumps'!R448</f>
        <v>0</v>
      </c>
      <c r="I75" s="23">
        <f>+'Detailed Assumps'!S448</f>
        <v>0</v>
      </c>
      <c r="J75" s="23">
        <f>+'Detailed Assumps'!T448</f>
        <v>0</v>
      </c>
      <c r="K75" s="23">
        <f>+'Detailed Assumps'!U448</f>
        <v>0</v>
      </c>
      <c r="L75" s="23">
        <f>+'Detailed Assumps'!V448</f>
        <v>0</v>
      </c>
      <c r="M75" s="23">
        <f>+'Detailed Assumps'!W448</f>
        <v>0</v>
      </c>
      <c r="N75" s="23">
        <f>+'Detailed Assumps'!X448</f>
        <v>0</v>
      </c>
      <c r="O75" s="23">
        <f>+'Detailed Assumps'!Y448</f>
        <v>0</v>
      </c>
      <c r="P75" s="23">
        <f>+'Detailed Assumps'!Z448</f>
        <v>0</v>
      </c>
      <c r="Q75" s="23">
        <f t="shared" si="1"/>
        <v>0</v>
      </c>
    </row>
    <row r="76" spans="3:17" x14ac:dyDescent="0.2">
      <c r="C76" s="213" t="str">
        <f>+'Detailed Assumps'!A450</f>
        <v>Great River RECs</v>
      </c>
      <c r="D76" s="214"/>
      <c r="E76" s="23">
        <f>+'Detailed Assumps'!O453</f>
        <v>0</v>
      </c>
      <c r="F76" s="23">
        <f>+'Detailed Assumps'!P453</f>
        <v>0</v>
      </c>
      <c r="G76" s="23">
        <f>+'Detailed Assumps'!Q453</f>
        <v>0</v>
      </c>
      <c r="H76" s="23">
        <f>+'Detailed Assumps'!R453</f>
        <v>0</v>
      </c>
      <c r="I76" s="23">
        <f>+'Detailed Assumps'!S453</f>
        <v>0</v>
      </c>
      <c r="J76" s="23">
        <f>+'Detailed Assumps'!T453</f>
        <v>0</v>
      </c>
      <c r="K76" s="23">
        <f>+'Detailed Assumps'!U453</f>
        <v>0</v>
      </c>
      <c r="L76" s="23">
        <f>+'Detailed Assumps'!V453</f>
        <v>0</v>
      </c>
      <c r="M76" s="23">
        <f>+'Detailed Assumps'!W453</f>
        <v>0</v>
      </c>
      <c r="N76" s="23">
        <f>+'Detailed Assumps'!X453</f>
        <v>0</v>
      </c>
      <c r="O76" s="23">
        <f>+'Detailed Assumps'!Y453</f>
        <v>0</v>
      </c>
      <c r="P76" s="23">
        <f>+'Detailed Assumps'!Z453</f>
        <v>0</v>
      </c>
      <c r="Q76" s="23">
        <f t="shared" si="1"/>
        <v>0</v>
      </c>
    </row>
    <row r="77" spans="3:17" x14ac:dyDescent="0.2">
      <c r="C77" s="213" t="str">
        <f>+'Detailed Assumps'!A455</f>
        <v>STX RECs</v>
      </c>
      <c r="D77" s="214"/>
      <c r="E77" s="23">
        <f>+'Detailed Assumps'!O458</f>
        <v>0</v>
      </c>
      <c r="F77" s="23">
        <f>+'Detailed Assumps'!P458</f>
        <v>0</v>
      </c>
      <c r="G77" s="23">
        <f>+'Detailed Assumps'!Q458</f>
        <v>0</v>
      </c>
      <c r="H77" s="23">
        <f>+'Detailed Assumps'!R458</f>
        <v>0</v>
      </c>
      <c r="I77" s="23">
        <f>+'Detailed Assumps'!S458</f>
        <v>0</v>
      </c>
      <c r="J77" s="23">
        <f>+'Detailed Assumps'!T458</f>
        <v>0</v>
      </c>
      <c r="K77" s="23">
        <f>+'Detailed Assumps'!U458</f>
        <v>0</v>
      </c>
      <c r="L77" s="23">
        <f>+'Detailed Assumps'!V458</f>
        <v>0</v>
      </c>
      <c r="M77" s="23">
        <f>+'Detailed Assumps'!W458</f>
        <v>0</v>
      </c>
      <c r="N77" s="23">
        <f>+'Detailed Assumps'!X458</f>
        <v>0</v>
      </c>
      <c r="O77" s="23">
        <f>+'Detailed Assumps'!Y458</f>
        <v>0</v>
      </c>
      <c r="P77" s="23">
        <f>+'Detailed Assumps'!Z458</f>
        <v>0</v>
      </c>
      <c r="Q77" s="23">
        <f t="shared" si="1"/>
        <v>0</v>
      </c>
    </row>
    <row r="78" spans="3:17" x14ac:dyDescent="0.2">
      <c r="C78" s="211" t="s">
        <v>615</v>
      </c>
      <c r="D78" s="212"/>
      <c r="E78" s="23">
        <f>+'Detailed Assumps'!O1179</f>
        <v>0</v>
      </c>
      <c r="F78" s="23">
        <f>+'Detailed Assumps'!P1179</f>
        <v>0</v>
      </c>
      <c r="G78" s="23">
        <f>+'Detailed Assumps'!Q1179</f>
        <v>0</v>
      </c>
      <c r="H78" s="23">
        <f>+'Detailed Assumps'!R1179</f>
        <v>0</v>
      </c>
      <c r="I78" s="23">
        <f>+'Detailed Assumps'!S1179</f>
        <v>0</v>
      </c>
      <c r="J78" s="23">
        <f>+'Detailed Assumps'!T1179</f>
        <v>0</v>
      </c>
      <c r="K78" s="23">
        <f>+'Detailed Assumps'!U1179</f>
        <v>0</v>
      </c>
      <c r="L78" s="23">
        <f>+'Detailed Assumps'!V1179</f>
        <v>0</v>
      </c>
      <c r="M78" s="23">
        <f>+'Detailed Assumps'!W1179</f>
        <v>0</v>
      </c>
      <c r="N78" s="23">
        <f>+'Detailed Assumps'!X1179</f>
        <v>0</v>
      </c>
      <c r="O78" s="23">
        <f>+'Detailed Assumps'!Y1179</f>
        <v>0</v>
      </c>
      <c r="P78" s="23">
        <f>+'Detailed Assumps'!Z1179</f>
        <v>0</v>
      </c>
      <c r="Q78" s="23">
        <f t="shared" si="1"/>
        <v>0</v>
      </c>
    </row>
    <row r="79" spans="3:17" x14ac:dyDescent="0.2">
      <c r="C79" s="87" t="s">
        <v>247</v>
      </c>
      <c r="D79" s="80" t="s">
        <v>1</v>
      </c>
      <c r="E79" s="23">
        <f>+'Detailed Assumps'!O654</f>
        <v>25750.716511429222</v>
      </c>
      <c r="F79" s="23">
        <f>+'Detailed Assumps'!P654</f>
        <v>25190.303701792269</v>
      </c>
      <c r="G79" s="23">
        <f>+'Detailed Assumps'!Q654</f>
        <v>25190.303701792269</v>
      </c>
      <c r="H79" s="23">
        <f>+'Detailed Assumps'!R654</f>
        <v>25531.195185748569</v>
      </c>
      <c r="I79" s="23">
        <f>+'Detailed Assumps'!S654</f>
        <v>26851.108350900955</v>
      </c>
      <c r="J79" s="23">
        <f>+'Detailed Assumps'!T654</f>
        <v>25190.303701792269</v>
      </c>
      <c r="K79" s="23">
        <f>+'Detailed Assumps'!U654</f>
        <v>37473.726850958454</v>
      </c>
      <c r="L79" s="23">
        <f>+'Detailed Assumps'!V654</f>
        <v>29507.929271314988</v>
      </c>
      <c r="M79" s="23">
        <f>+'Detailed Assumps'!W654</f>
        <v>25190.303701792269</v>
      </c>
      <c r="N79" s="23">
        <f>+'Detailed Assumps'!X654</f>
        <v>25190.303701792269</v>
      </c>
      <c r="O79" s="23">
        <f>+'Detailed Assumps'!Y654</f>
        <v>25190.303701792269</v>
      </c>
      <c r="P79" s="23">
        <f>+'Detailed Assumps'!Z654</f>
        <v>28210.009105127519</v>
      </c>
      <c r="Q79" s="23">
        <f t="shared" si="1"/>
        <v>324466.50748623331</v>
      </c>
    </row>
    <row r="80" spans="3:17" x14ac:dyDescent="0.2">
      <c r="C80" s="87" t="s">
        <v>269</v>
      </c>
      <c r="D80" s="80"/>
      <c r="E80" s="23">
        <f>+'Detailed Assumps'!O751</f>
        <v>32.369999999999997</v>
      </c>
      <c r="F80" s="23">
        <f>+'Detailed Assumps'!P751</f>
        <v>32.369999999999997</v>
      </c>
      <c r="G80" s="23">
        <f>+'Detailed Assumps'!Q751</f>
        <v>32.369999999999997</v>
      </c>
      <c r="H80" s="23">
        <f>+'Detailed Assumps'!R751</f>
        <v>32.369999999999997</v>
      </c>
      <c r="I80" s="23">
        <f>+'Detailed Assumps'!S751</f>
        <v>32.369999999999997</v>
      </c>
      <c r="J80" s="23">
        <f>+'Detailed Assumps'!T751</f>
        <v>33.07</v>
      </c>
      <c r="K80" s="23">
        <f>+'Detailed Assumps'!U751</f>
        <v>33.07</v>
      </c>
      <c r="L80" s="23">
        <f>+'Detailed Assumps'!V751</f>
        <v>33.07</v>
      </c>
      <c r="M80" s="23">
        <f>+'Detailed Assumps'!W751</f>
        <v>33.07</v>
      </c>
      <c r="N80" s="23">
        <f>+'Detailed Assumps'!X751</f>
        <v>33.07</v>
      </c>
      <c r="O80" s="23">
        <f>+'Detailed Assumps'!Y751</f>
        <v>33.07</v>
      </c>
      <c r="P80" s="23">
        <f>+'Detailed Assumps'!Z751</f>
        <v>33.07</v>
      </c>
      <c r="Q80" s="23">
        <f t="shared" si="1"/>
        <v>393.34</v>
      </c>
    </row>
    <row r="81" spans="1:17" x14ac:dyDescent="0.2">
      <c r="C81" s="87" t="s">
        <v>270</v>
      </c>
      <c r="D81" s="80"/>
      <c r="E81" s="23">
        <f>+'Detailed Assumps'!O752</f>
        <v>-17362.821098454999</v>
      </c>
      <c r="F81" s="23">
        <f>+'Detailed Assumps'!P752</f>
        <v>-17362.821098454999</v>
      </c>
      <c r="G81" s="23">
        <f>+'Detailed Assumps'!Q752</f>
        <v>-17362.821098454999</v>
      </c>
      <c r="H81" s="23">
        <f>+'Detailed Assumps'!R752</f>
        <v>-17362.821098454999</v>
      </c>
      <c r="I81" s="23">
        <f>+'Detailed Assumps'!S752</f>
        <v>-17362.821098454999</v>
      </c>
      <c r="J81" s="23">
        <f>+'Detailed Assumps'!T752</f>
        <v>-18984.988479109608</v>
      </c>
      <c r="K81" s="23">
        <f>+'Detailed Assumps'!U752</f>
        <v>-18984.988479109608</v>
      </c>
      <c r="L81" s="23">
        <f>+'Detailed Assumps'!V752</f>
        <v>-18984.988479109608</v>
      </c>
      <c r="M81" s="23">
        <f>+'Detailed Assumps'!W752</f>
        <v>-18984.988479109608</v>
      </c>
      <c r="N81" s="23">
        <f>+'Detailed Assumps'!X752</f>
        <v>-18984.988479109608</v>
      </c>
      <c r="O81" s="23">
        <f>+'Detailed Assumps'!Y752</f>
        <v>-18984.988479109608</v>
      </c>
      <c r="P81" s="23">
        <f>+'Detailed Assumps'!Z752</f>
        <v>-18984.988479109608</v>
      </c>
      <c r="Q81" s="23">
        <f t="shared" si="1"/>
        <v>-219709.02484604222</v>
      </c>
    </row>
    <row r="82" spans="1:17" x14ac:dyDescent="0.2">
      <c r="C82" s="202" t="s">
        <v>546</v>
      </c>
      <c r="D82" s="80"/>
      <c r="E82" s="23">
        <f>+'Detailed Assumps'!O60</f>
        <v>1082.26</v>
      </c>
      <c r="F82" s="23">
        <f>+'Detailed Assumps'!P60</f>
        <v>1277.07</v>
      </c>
      <c r="G82" s="23">
        <f>+'Detailed Assumps'!Q60</f>
        <v>1488</v>
      </c>
      <c r="H82" s="23">
        <f>+'Detailed Assumps'!R60</f>
        <v>1086.6600000000001</v>
      </c>
      <c r="I82" s="23">
        <f>+'Detailed Assumps'!S60</f>
        <v>1023.26</v>
      </c>
      <c r="J82" s="23">
        <f>+'Detailed Assumps'!T60</f>
        <v>1263.3900000000001</v>
      </c>
      <c r="K82" s="23">
        <f>+'Detailed Assumps'!U60</f>
        <v>1343.49</v>
      </c>
      <c r="L82" s="23">
        <f>+'Detailed Assumps'!V60</f>
        <v>1103.9100000000001</v>
      </c>
      <c r="M82" s="23">
        <f>+'Detailed Assumps'!W60</f>
        <v>1382.3</v>
      </c>
      <c r="N82" s="23">
        <f>+'Detailed Assumps'!X60</f>
        <v>1276.8699999999999</v>
      </c>
      <c r="O82" s="23">
        <f>+'Detailed Assumps'!Y60</f>
        <v>1104.54</v>
      </c>
      <c r="P82" s="23">
        <f>+'Detailed Assumps'!Z60</f>
        <v>1301.81</v>
      </c>
      <c r="Q82" s="23">
        <f t="shared" si="1"/>
        <v>14733.56</v>
      </c>
    </row>
    <row r="83" spans="1:17" x14ac:dyDescent="0.2">
      <c r="C83" s="202" t="s">
        <v>584</v>
      </c>
      <c r="D83" s="80"/>
      <c r="E83" s="23">
        <f>+'Detailed Assumps'!O62</f>
        <v>282.27</v>
      </c>
      <c r="F83" s="23">
        <f>+'Detailed Assumps'!P62</f>
        <v>211.66</v>
      </c>
      <c r="G83" s="23">
        <f>+'Detailed Assumps'!Q62</f>
        <v>270.77999999999997</v>
      </c>
      <c r="H83" s="23">
        <f>+'Detailed Assumps'!R62</f>
        <v>252.29</v>
      </c>
      <c r="I83" s="23">
        <f>+'Detailed Assumps'!S62</f>
        <v>242.19</v>
      </c>
      <c r="J83" s="23">
        <f>+'Detailed Assumps'!T62</f>
        <v>270.3</v>
      </c>
      <c r="K83" s="23">
        <f>+'Detailed Assumps'!U62</f>
        <v>239.06</v>
      </c>
      <c r="L83" s="23">
        <f>+'Detailed Assumps'!V62</f>
        <v>256.2</v>
      </c>
      <c r="M83" s="23">
        <f>+'Detailed Assumps'!W62</f>
        <v>248.47</v>
      </c>
      <c r="N83" s="23">
        <f>+'Detailed Assumps'!X62</f>
        <v>265.62</v>
      </c>
      <c r="O83" s="23">
        <f>+'Detailed Assumps'!Y62</f>
        <v>229.67</v>
      </c>
      <c r="P83" s="23">
        <f>+'Detailed Assumps'!Z62</f>
        <v>193.74</v>
      </c>
      <c r="Q83" s="23">
        <f t="shared" si="1"/>
        <v>2962.25</v>
      </c>
    </row>
    <row r="84" spans="1:17" x14ac:dyDescent="0.2">
      <c r="C84" s="87" t="s">
        <v>541</v>
      </c>
      <c r="D84" s="80" t="s">
        <v>542</v>
      </c>
      <c r="E84" s="23">
        <f>+'Detailed Assumps'!O658</f>
        <v>11583.33</v>
      </c>
      <c r="F84" s="23">
        <f>+'Detailed Assumps'!P658</f>
        <v>11583.33</v>
      </c>
      <c r="G84" s="23">
        <f>+'Detailed Assumps'!Q658</f>
        <v>11583.33</v>
      </c>
      <c r="H84" s="23">
        <f>+'Detailed Assumps'!R658</f>
        <v>11583.33</v>
      </c>
      <c r="I84" s="23">
        <f>+'Detailed Assumps'!S658</f>
        <v>11583.33</v>
      </c>
      <c r="J84" s="23">
        <f>+'Detailed Assumps'!T658</f>
        <v>11583.33</v>
      </c>
      <c r="K84" s="23">
        <f>+'Detailed Assumps'!U658</f>
        <v>11583.33</v>
      </c>
      <c r="L84" s="23">
        <f>+'Detailed Assumps'!V658</f>
        <v>11583.33</v>
      </c>
      <c r="M84" s="23">
        <f>+'Detailed Assumps'!W658</f>
        <v>11583.33</v>
      </c>
      <c r="N84" s="23">
        <f>+'Detailed Assumps'!X658</f>
        <v>11583.33</v>
      </c>
      <c r="O84" s="23">
        <f>+'Detailed Assumps'!Y658</f>
        <v>11583.33</v>
      </c>
      <c r="P84" s="23">
        <f>+'Detailed Assumps'!Z658</f>
        <v>11583.33</v>
      </c>
      <c r="Q84" s="23">
        <f t="shared" si="1"/>
        <v>138999.96</v>
      </c>
    </row>
    <row r="85" spans="1:17" x14ac:dyDescent="0.2">
      <c r="C85" s="202" t="s">
        <v>541</v>
      </c>
      <c r="D85" s="221" t="s">
        <v>637</v>
      </c>
      <c r="E85" s="23">
        <f>+'Detailed Assumps'!O660</f>
        <v>-4958.6400000000003</v>
      </c>
      <c r="F85" s="23">
        <f>+'Detailed Assumps'!P660</f>
        <v>-4293.1099999999997</v>
      </c>
      <c r="G85" s="23">
        <f>+'Detailed Assumps'!Q660</f>
        <v>-6331.23</v>
      </c>
      <c r="H85" s="23">
        <f>+'Detailed Assumps'!R660</f>
        <v>-4989.2700000000004</v>
      </c>
      <c r="I85" s="23">
        <f>+'Detailed Assumps'!S660</f>
        <v>-3386.18</v>
      </c>
      <c r="J85" s="23">
        <f>+'Detailed Assumps'!T660</f>
        <v>-7420.85</v>
      </c>
      <c r="K85" s="23">
        <f>+'Detailed Assumps'!U660</f>
        <v>-3849.17</v>
      </c>
      <c r="L85" s="23">
        <f>+'Detailed Assumps'!V660</f>
        <v>-3214.97</v>
      </c>
      <c r="M85" s="23">
        <f>+'Detailed Assumps'!W660</f>
        <v>-6138.28</v>
      </c>
      <c r="N85" s="23">
        <f>+'Detailed Assumps'!X660</f>
        <v>-4841.47</v>
      </c>
      <c r="O85" s="23">
        <f>+'Detailed Assumps'!Y660</f>
        <v>-3277.19</v>
      </c>
      <c r="P85" s="23">
        <f>+'Detailed Assumps'!Z660</f>
        <v>-9658.0499999999993</v>
      </c>
      <c r="Q85" s="23">
        <f t="shared" si="1"/>
        <v>-62358.41</v>
      </c>
    </row>
    <row r="86" spans="1:17" x14ac:dyDescent="0.2">
      <c r="C86" s="202" t="s">
        <v>607</v>
      </c>
      <c r="D86" s="80"/>
      <c r="E86" s="23">
        <f>'Detailed Assumps'!O662</f>
        <v>0</v>
      </c>
      <c r="F86" s="23">
        <f>'Detailed Assumps'!P662</f>
        <v>0</v>
      </c>
      <c r="G86" s="23">
        <f>'Detailed Assumps'!Q662</f>
        <v>0</v>
      </c>
      <c r="H86" s="23">
        <f>'Detailed Assumps'!R662</f>
        <v>0</v>
      </c>
      <c r="I86" s="23">
        <f>'Detailed Assumps'!S662</f>
        <v>0</v>
      </c>
      <c r="J86" s="23">
        <f>'Detailed Assumps'!T662</f>
        <v>0</v>
      </c>
      <c r="K86" s="23">
        <f>'Detailed Assumps'!U662</f>
        <v>0</v>
      </c>
      <c r="L86" s="23">
        <f>'Detailed Assumps'!V662</f>
        <v>0</v>
      </c>
      <c r="M86" s="23">
        <f>'Detailed Assumps'!W662</f>
        <v>0</v>
      </c>
      <c r="N86" s="23">
        <f>'Detailed Assumps'!X662</f>
        <v>0</v>
      </c>
      <c r="O86" s="23">
        <f>'Detailed Assumps'!Y662</f>
        <v>0</v>
      </c>
      <c r="P86" s="23">
        <f>'Detailed Assumps'!Z662</f>
        <v>0</v>
      </c>
      <c r="Q86" s="23">
        <f t="shared" si="1"/>
        <v>0</v>
      </c>
    </row>
    <row r="87" spans="1:17" x14ac:dyDescent="0.2">
      <c r="C87" s="202" t="s">
        <v>647</v>
      </c>
      <c r="D87" s="80"/>
      <c r="E87" s="23">
        <f>'Detailed Assumps'!O663</f>
        <v>3772.44</v>
      </c>
      <c r="F87" s="23">
        <f>'Detailed Assumps'!P663</f>
        <v>3772.44</v>
      </c>
      <c r="G87" s="23">
        <f>'Detailed Assumps'!Q663</f>
        <v>3772.44</v>
      </c>
      <c r="H87" s="23">
        <f>'Detailed Assumps'!R663</f>
        <v>3772.44</v>
      </c>
      <c r="I87" s="23">
        <f>'Detailed Assumps'!S663</f>
        <v>3772.44</v>
      </c>
      <c r="J87" s="23">
        <f>'Detailed Assumps'!T663</f>
        <v>3772.44</v>
      </c>
      <c r="K87" s="23">
        <f>'Detailed Assumps'!U663</f>
        <v>3772.44</v>
      </c>
      <c r="L87" s="23">
        <f>'Detailed Assumps'!V663</f>
        <v>3772.44</v>
      </c>
      <c r="M87" s="23">
        <f>'Detailed Assumps'!W663</f>
        <v>3772.44</v>
      </c>
      <c r="N87" s="23">
        <f>'Detailed Assumps'!X663</f>
        <v>3772.44</v>
      </c>
      <c r="O87" s="23">
        <f>'Detailed Assumps'!Y663</f>
        <v>3772.44</v>
      </c>
      <c r="P87" s="23">
        <f>'Detailed Assumps'!Z663</f>
        <v>3772.44</v>
      </c>
      <c r="Q87" s="23">
        <f t="shared" si="1"/>
        <v>45269.280000000006</v>
      </c>
    </row>
    <row r="88" spans="1:17" x14ac:dyDescent="0.2">
      <c r="C88" s="141" t="s">
        <v>352</v>
      </c>
      <c r="D88" s="142"/>
      <c r="E88" s="23">
        <f>+'Detailed Assumps'!O906</f>
        <v>0</v>
      </c>
      <c r="F88" s="23">
        <f>+'Detailed Assumps'!P906</f>
        <v>0</v>
      </c>
      <c r="G88" s="23">
        <f>+'Detailed Assumps'!Q906</f>
        <v>0</v>
      </c>
      <c r="H88" s="23">
        <f>+'Detailed Assumps'!R906</f>
        <v>0</v>
      </c>
      <c r="I88" s="23">
        <f>+'Detailed Assumps'!S906</f>
        <v>0</v>
      </c>
      <c r="J88" s="23">
        <f>+'Detailed Assumps'!T906</f>
        <v>0</v>
      </c>
      <c r="K88" s="23">
        <f>+'Detailed Assumps'!U906</f>
        <v>0</v>
      </c>
      <c r="L88" s="23">
        <f>+'Detailed Assumps'!V906</f>
        <v>0</v>
      </c>
      <c r="M88" s="23">
        <f>+'Detailed Assumps'!W906</f>
        <v>0</v>
      </c>
      <c r="N88" s="23">
        <f>+'Detailed Assumps'!X906</f>
        <v>0</v>
      </c>
      <c r="O88" s="23">
        <f>+'Detailed Assumps'!Y906</f>
        <v>0</v>
      </c>
      <c r="P88" s="23">
        <f>+'Detailed Assumps'!Z906</f>
        <v>0</v>
      </c>
      <c r="Q88" s="23">
        <f t="shared" si="1"/>
        <v>0</v>
      </c>
    </row>
    <row r="89" spans="1:17" x14ac:dyDescent="0.2">
      <c r="C89" s="48" t="str">
        <f>+'Detailed Assumps'!A1222</f>
        <v>REC Purchases to cover shortfall from previous calendar year</v>
      </c>
      <c r="D89" s="49"/>
      <c r="E89" s="23">
        <f>+'Detailed Assumps'!O1222</f>
        <v>0</v>
      </c>
      <c r="F89" s="23">
        <f>+'Detailed Assumps'!P1222</f>
        <v>0</v>
      </c>
      <c r="G89" s="23">
        <f>+'Detailed Assumps'!Q1222</f>
        <v>0</v>
      </c>
      <c r="H89" s="23">
        <f>+'Detailed Assumps'!R1222</f>
        <v>0</v>
      </c>
      <c r="I89" s="23">
        <f>+'Detailed Assumps'!S1222</f>
        <v>0</v>
      </c>
      <c r="J89" s="23">
        <f>+'Detailed Assumps'!T1222</f>
        <v>0</v>
      </c>
      <c r="K89" s="23">
        <f>+'Detailed Assumps'!U1222</f>
        <v>0</v>
      </c>
      <c r="L89" s="23">
        <f>+'Detailed Assumps'!V1222</f>
        <v>0</v>
      </c>
      <c r="M89" s="23">
        <f>+'Detailed Assumps'!W1222</f>
        <v>0</v>
      </c>
      <c r="N89" s="23">
        <f>+'Detailed Assumps'!X1222</f>
        <v>0</v>
      </c>
      <c r="O89" s="23">
        <f>+'Detailed Assumps'!Y1222</f>
        <v>0</v>
      </c>
      <c r="P89" s="23">
        <f>+'Detailed Assumps'!Z1222</f>
        <v>0</v>
      </c>
      <c r="Q89" s="23">
        <f t="shared" si="1"/>
        <v>0</v>
      </c>
    </row>
    <row r="90" spans="1:17" x14ac:dyDescent="0.2">
      <c r="C90" s="3" t="s">
        <v>7</v>
      </c>
      <c r="D90" s="4"/>
      <c r="E90" s="94">
        <f t="shared" ref="E90:P90" si="2">SUM(E7:E89)</f>
        <v>4514623.5246929862</v>
      </c>
      <c r="F90" s="94">
        <f t="shared" si="2"/>
        <v>3970926.7913543577</v>
      </c>
      <c r="G90" s="94">
        <f t="shared" si="2"/>
        <v>3936367.9849034818</v>
      </c>
      <c r="H90" s="94">
        <f t="shared" si="2"/>
        <v>3108003.5319251493</v>
      </c>
      <c r="I90" s="94">
        <f t="shared" si="2"/>
        <v>2976197.4032845623</v>
      </c>
      <c r="J90" s="94">
        <f t="shared" si="2"/>
        <v>3224521.8559659268</v>
      </c>
      <c r="K90" s="94">
        <f t="shared" si="2"/>
        <v>3446778.0707021398</v>
      </c>
      <c r="L90" s="94">
        <f t="shared" si="2"/>
        <v>3308131.9382119915</v>
      </c>
      <c r="M90" s="94">
        <f t="shared" si="2"/>
        <v>2950897.6769448295</v>
      </c>
      <c r="N90" s="94">
        <f t="shared" si="2"/>
        <v>2903357.0520809717</v>
      </c>
      <c r="O90" s="94">
        <f t="shared" si="2"/>
        <v>3579690.4135592906</v>
      </c>
      <c r="P90" s="94">
        <f t="shared" si="2"/>
        <v>1998540.4284286231</v>
      </c>
      <c r="Q90" s="23">
        <f t="shared" si="1"/>
        <v>39918036.672054306</v>
      </c>
    </row>
    <row r="91" spans="1:17" x14ac:dyDescent="0.2">
      <c r="C91" s="5"/>
      <c r="E91" s="20"/>
      <c r="F91" s="20"/>
      <c r="G91" s="20"/>
      <c r="H91" s="20"/>
      <c r="I91" s="20"/>
      <c r="J91" s="20"/>
      <c r="K91" s="20"/>
      <c r="L91" s="20"/>
      <c r="M91" s="20"/>
      <c r="N91" s="20"/>
      <c r="O91" s="20"/>
      <c r="P91" s="20"/>
      <c r="Q91" s="23">
        <f t="shared" si="1"/>
        <v>0</v>
      </c>
    </row>
    <row r="92" spans="1:17" x14ac:dyDescent="0.2">
      <c r="C92" s="20" t="s">
        <v>261</v>
      </c>
      <c r="D92" s="20"/>
      <c r="E92" s="56">
        <f>'ACCT 447 Est'!N50</f>
        <v>222409.30617600132</v>
      </c>
      <c r="F92" s="56">
        <f>'ACCT 447 Est'!O50</f>
        <v>199662.31108836154</v>
      </c>
      <c r="G92" s="56">
        <f>'ACCT 447 Est'!P50</f>
        <v>132705.5676013474</v>
      </c>
      <c r="H92" s="56">
        <f>'ACCT 447 Est'!Q50</f>
        <v>113340.94583409331</v>
      </c>
      <c r="I92" s="56">
        <f>'ACCT 447 Est'!R50</f>
        <v>99788.578178233103</v>
      </c>
      <c r="J92" s="56">
        <f>'ACCT 447 Est'!S50</f>
        <v>119510.47564612536</v>
      </c>
      <c r="K92" s="56">
        <f>'ACCT 447 Est'!T50</f>
        <v>164286.98964597593</v>
      </c>
      <c r="L92" s="56">
        <f>'ACCT 447 Est'!U50</f>
        <v>122515.04661147285</v>
      </c>
      <c r="M92" s="56">
        <f>'ACCT 447 Est'!V50</f>
        <v>103235.25850415112</v>
      </c>
      <c r="N92" s="56">
        <f>'ACCT 447 Est'!W50</f>
        <v>105870.85135365062</v>
      </c>
      <c r="O92" s="56">
        <f>'ACCT 447 Est'!X50</f>
        <v>137052.48466203216</v>
      </c>
      <c r="P92" s="56">
        <f>'ACCT 447 Est'!Y50</f>
        <v>196757.35798359214</v>
      </c>
      <c r="Q92" s="23">
        <f t="shared" si="1"/>
        <v>1717135.173285037</v>
      </c>
    </row>
    <row r="93" spans="1:17" x14ac:dyDescent="0.2">
      <c r="C93" s="20" t="s">
        <v>251</v>
      </c>
      <c r="D93" s="20"/>
      <c r="E93" s="56"/>
      <c r="F93" s="56"/>
      <c r="G93" s="56"/>
      <c r="H93" s="56"/>
      <c r="I93" s="56"/>
      <c r="J93" s="56"/>
      <c r="K93" s="56"/>
      <c r="L93" s="56"/>
      <c r="M93" s="56"/>
      <c r="N93" s="56"/>
      <c r="O93" s="56"/>
      <c r="P93" s="56"/>
      <c r="Q93" s="23">
        <f t="shared" si="1"/>
        <v>0</v>
      </c>
    </row>
    <row r="94" spans="1:17" x14ac:dyDescent="0.2">
      <c r="C94" s="20" t="s">
        <v>257</v>
      </c>
      <c r="D94" s="20"/>
      <c r="E94" s="90">
        <f t="shared" ref="E94:P94" si="3">+E93+E92</f>
        <v>222409.30617600132</v>
      </c>
      <c r="F94" s="90">
        <f t="shared" si="3"/>
        <v>199662.31108836154</v>
      </c>
      <c r="G94" s="90">
        <f t="shared" si="3"/>
        <v>132705.5676013474</v>
      </c>
      <c r="H94" s="90">
        <f t="shared" si="3"/>
        <v>113340.94583409331</v>
      </c>
      <c r="I94" s="90">
        <f t="shared" si="3"/>
        <v>99788.578178233103</v>
      </c>
      <c r="J94" s="90">
        <f t="shared" si="3"/>
        <v>119510.47564612536</v>
      </c>
      <c r="K94" s="90">
        <f t="shared" si="3"/>
        <v>164286.98964597593</v>
      </c>
      <c r="L94" s="90">
        <f t="shared" si="3"/>
        <v>122515.04661147285</v>
      </c>
      <c r="M94" s="90">
        <f t="shared" si="3"/>
        <v>103235.25850415112</v>
      </c>
      <c r="N94" s="90">
        <f t="shared" si="3"/>
        <v>105870.85135365062</v>
      </c>
      <c r="O94" s="90">
        <f t="shared" si="3"/>
        <v>137052.48466203216</v>
      </c>
      <c r="P94" s="90">
        <f t="shared" si="3"/>
        <v>196757.35798359214</v>
      </c>
      <c r="Q94" s="23">
        <f t="shared" si="1"/>
        <v>1717135.173285037</v>
      </c>
    </row>
    <row r="95" spans="1:17" x14ac:dyDescent="0.2">
      <c r="C95" s="20" t="s">
        <v>253</v>
      </c>
      <c r="D95" s="20"/>
      <c r="E95" s="56">
        <f t="shared" ref="E95:P95" si="4">+E90-E94</f>
        <v>4292214.218516985</v>
      </c>
      <c r="F95" s="56">
        <f t="shared" si="4"/>
        <v>3771264.4802659964</v>
      </c>
      <c r="G95" s="56">
        <f t="shared" si="4"/>
        <v>3803662.4173021344</v>
      </c>
      <c r="H95" s="56">
        <f t="shared" si="4"/>
        <v>2994662.586091056</v>
      </c>
      <c r="I95" s="56">
        <f t="shared" si="4"/>
        <v>2876408.8251063293</v>
      </c>
      <c r="J95" s="56">
        <f t="shared" si="4"/>
        <v>3105011.3803198016</v>
      </c>
      <c r="K95" s="56">
        <f t="shared" si="4"/>
        <v>3282491.0810561636</v>
      </c>
      <c r="L95" s="56">
        <f t="shared" si="4"/>
        <v>3185616.8916005185</v>
      </c>
      <c r="M95" s="56">
        <f t="shared" si="4"/>
        <v>2847662.4184406786</v>
      </c>
      <c r="N95" s="56">
        <f t="shared" si="4"/>
        <v>2797486.2007273212</v>
      </c>
      <c r="O95" s="56">
        <f t="shared" si="4"/>
        <v>3442637.9288972584</v>
      </c>
      <c r="P95" s="56">
        <f t="shared" si="4"/>
        <v>1801783.0704450309</v>
      </c>
      <c r="Q95" s="23">
        <f t="shared" si="1"/>
        <v>38200901.498769276</v>
      </c>
    </row>
    <row r="96" spans="1:17" x14ac:dyDescent="0.2">
      <c r="A96" s="20"/>
      <c r="B96" s="20"/>
      <c r="C96" s="20"/>
      <c r="D96" s="20"/>
      <c r="Q96" s="23">
        <f t="shared" si="1"/>
        <v>0</v>
      </c>
    </row>
    <row r="97" spans="1:17" s="119" customFormat="1" x14ac:dyDescent="0.2">
      <c r="A97" s="20"/>
      <c r="B97" s="20"/>
      <c r="E97" s="78"/>
      <c r="F97" s="78"/>
      <c r="G97" s="78"/>
      <c r="H97" s="78"/>
      <c r="I97" s="78"/>
      <c r="J97" s="78"/>
      <c r="K97" s="78"/>
      <c r="L97" s="78"/>
      <c r="M97" s="78"/>
      <c r="N97" s="78"/>
      <c r="O97" s="78"/>
      <c r="P97" s="78"/>
      <c r="Q97" s="23">
        <f t="shared" si="1"/>
        <v>0</v>
      </c>
    </row>
    <row r="98" spans="1:17" x14ac:dyDescent="0.2">
      <c r="A98" s="20"/>
      <c r="B98" s="20"/>
      <c r="C98" s="119"/>
      <c r="D98" s="119"/>
      <c r="E98" s="20"/>
      <c r="F98" s="20"/>
      <c r="G98" s="20"/>
      <c r="H98" s="20"/>
      <c r="I98" s="20"/>
      <c r="J98" s="20"/>
      <c r="K98" s="20"/>
      <c r="L98" s="20"/>
      <c r="M98" s="20"/>
      <c r="N98" s="20"/>
      <c r="O98" s="20"/>
      <c r="P98" s="20"/>
      <c r="Q98" s="23">
        <f t="shared" si="1"/>
        <v>0</v>
      </c>
    </row>
    <row r="99" spans="1:17" x14ac:dyDescent="0.2">
      <c r="A99" s="20"/>
      <c r="B99" s="20"/>
      <c r="C99" s="20"/>
      <c r="D99" s="20"/>
      <c r="E99" s="145"/>
      <c r="F99" s="145"/>
      <c r="G99" s="145"/>
      <c r="H99" s="145"/>
      <c r="I99" s="145"/>
      <c r="J99" s="145"/>
      <c r="K99" s="145"/>
      <c r="L99" s="145"/>
      <c r="M99" s="145"/>
      <c r="N99" s="145"/>
      <c r="O99" s="145"/>
      <c r="P99" s="145"/>
      <c r="Q99" s="23">
        <f t="shared" si="1"/>
        <v>0</v>
      </c>
    </row>
    <row r="100" spans="1:17" x14ac:dyDescent="0.2">
      <c r="A100" s="119"/>
      <c r="B100" s="119"/>
      <c r="C100" s="20"/>
      <c r="D100" s="20"/>
      <c r="E100" s="146"/>
      <c r="F100" s="146"/>
      <c r="G100" s="146"/>
      <c r="H100" s="146"/>
      <c r="I100" s="146"/>
      <c r="J100" s="146"/>
      <c r="K100" s="146"/>
      <c r="L100" s="146"/>
      <c r="M100" s="146"/>
      <c r="N100" s="146"/>
      <c r="O100" s="146"/>
      <c r="P100" s="146"/>
      <c r="Q100" s="23">
        <f t="shared" si="1"/>
        <v>0</v>
      </c>
    </row>
    <row r="101" spans="1:17" x14ac:dyDescent="0.2">
      <c r="A101" s="20"/>
      <c r="B101" s="20"/>
      <c r="C101" s="20"/>
      <c r="D101" s="20"/>
      <c r="E101" s="146"/>
      <c r="F101" s="146"/>
      <c r="G101" s="146"/>
      <c r="H101" s="146"/>
      <c r="I101" s="146"/>
      <c r="J101" s="146"/>
      <c r="K101" s="146"/>
      <c r="L101" s="146"/>
      <c r="M101" s="146"/>
      <c r="N101" s="146"/>
      <c r="O101" s="146"/>
      <c r="P101" s="146"/>
      <c r="Q101" s="23">
        <f t="shared" si="1"/>
        <v>0</v>
      </c>
    </row>
    <row r="102" spans="1:17" x14ac:dyDescent="0.2">
      <c r="A102" s="20"/>
      <c r="B102" s="20"/>
      <c r="C102" s="20"/>
      <c r="D102" s="20"/>
      <c r="E102" s="146"/>
      <c r="F102" s="146"/>
      <c r="G102" s="146"/>
      <c r="H102" s="146"/>
      <c r="I102" s="146"/>
      <c r="J102" s="146"/>
      <c r="K102" s="146"/>
      <c r="L102" s="146"/>
      <c r="M102" s="146"/>
      <c r="N102" s="146"/>
      <c r="O102" s="146"/>
      <c r="P102" s="146"/>
      <c r="Q102" s="23">
        <f t="shared" si="1"/>
        <v>0</v>
      </c>
    </row>
    <row r="103" spans="1:17" x14ac:dyDescent="0.2">
      <c r="A103" s="20"/>
      <c r="B103" s="20"/>
      <c r="C103" s="20"/>
      <c r="D103" s="20"/>
      <c r="E103" s="146"/>
      <c r="F103" s="146"/>
      <c r="G103" s="146"/>
      <c r="H103" s="146"/>
      <c r="I103" s="146"/>
      <c r="J103" s="146"/>
      <c r="K103" s="146"/>
      <c r="L103" s="146"/>
      <c r="M103" s="146"/>
      <c r="N103" s="146"/>
      <c r="O103" s="146"/>
      <c r="P103" s="146"/>
      <c r="Q103" s="23">
        <f t="shared" si="1"/>
        <v>0</v>
      </c>
    </row>
    <row r="104" spans="1:17" x14ac:dyDescent="0.2">
      <c r="A104" s="20"/>
      <c r="B104" s="20"/>
      <c r="C104" s="20"/>
      <c r="D104" s="20"/>
      <c r="Q104" s="23">
        <f t="shared" si="1"/>
        <v>0</v>
      </c>
    </row>
    <row r="105" spans="1:17" x14ac:dyDescent="0.2">
      <c r="A105" s="20"/>
      <c r="B105" s="140" t="s">
        <v>351</v>
      </c>
      <c r="C105" s="140"/>
      <c r="D105" s="139" t="s">
        <v>349</v>
      </c>
      <c r="E105" s="138">
        <f t="shared" ref="E105:P105" si="5">-E94</f>
        <v>-222409.30617600132</v>
      </c>
      <c r="F105" s="138">
        <f t="shared" si="5"/>
        <v>-199662.31108836154</v>
      </c>
      <c r="G105" s="138">
        <f t="shared" si="5"/>
        <v>-132705.5676013474</v>
      </c>
      <c r="H105" s="138">
        <f t="shared" si="5"/>
        <v>-113340.94583409331</v>
      </c>
      <c r="I105" s="138">
        <f t="shared" si="5"/>
        <v>-99788.578178233103</v>
      </c>
      <c r="J105" s="138">
        <f t="shared" si="5"/>
        <v>-119510.47564612536</v>
      </c>
      <c r="K105" s="138">
        <f t="shared" si="5"/>
        <v>-164286.98964597593</v>
      </c>
      <c r="L105" s="138">
        <f t="shared" si="5"/>
        <v>-122515.04661147285</v>
      </c>
      <c r="M105" s="138">
        <f t="shared" si="5"/>
        <v>-103235.25850415112</v>
      </c>
      <c r="N105" s="138">
        <f t="shared" si="5"/>
        <v>-105870.85135365062</v>
      </c>
      <c r="O105" s="138">
        <f t="shared" si="5"/>
        <v>-137052.48466203216</v>
      </c>
      <c r="P105" s="138">
        <f t="shared" si="5"/>
        <v>-196757.35798359214</v>
      </c>
      <c r="Q105" s="23">
        <f t="shared" si="1"/>
        <v>-1717135.173285037</v>
      </c>
    </row>
    <row r="106" spans="1:17" x14ac:dyDescent="0.2">
      <c r="A106" s="20"/>
      <c r="B106" s="20"/>
      <c r="C106" s="20"/>
      <c r="D106" s="205" t="s">
        <v>575</v>
      </c>
      <c r="E106" s="138">
        <f t="shared" ref="E106:O106" si="6">SUM(E63:E69,E78)</f>
        <v>-124916.66666666667</v>
      </c>
      <c r="F106" s="138">
        <f t="shared" si="6"/>
        <v>-124916.66666666667</v>
      </c>
      <c r="G106" s="138">
        <f t="shared" si="6"/>
        <v>-124916.66666666667</v>
      </c>
      <c r="H106" s="138">
        <f t="shared" si="6"/>
        <v>-124916.66666666667</v>
      </c>
      <c r="I106" s="138">
        <f t="shared" si="6"/>
        <v>-124916.66666666667</v>
      </c>
      <c r="J106" s="138">
        <f t="shared" si="6"/>
        <v>-124916.66666666667</v>
      </c>
      <c r="K106" s="138">
        <f t="shared" si="6"/>
        <v>-124916.66666666667</v>
      </c>
      <c r="L106" s="138">
        <f t="shared" si="6"/>
        <v>-124916.66666666667</v>
      </c>
      <c r="M106" s="138">
        <f t="shared" si="6"/>
        <v>-124916.66666666667</v>
      </c>
      <c r="N106" s="138">
        <f t="shared" si="6"/>
        <v>-124916.66666666667</v>
      </c>
      <c r="O106" s="138">
        <f t="shared" si="6"/>
        <v>-124916.66666666667</v>
      </c>
      <c r="P106" s="138">
        <f>SUM(P63:P69,P78)</f>
        <v>-2853214.9277608818</v>
      </c>
      <c r="Q106" s="23">
        <f>SUM(E106:P106)</f>
        <v>-4227298.2610942153</v>
      </c>
    </row>
    <row r="107" spans="1:17" x14ac:dyDescent="0.2">
      <c r="A107" s="20"/>
      <c r="B107" s="20"/>
      <c r="C107" s="20"/>
      <c r="D107" s="139" t="s">
        <v>350</v>
      </c>
      <c r="E107" s="138">
        <f t="shared" ref="E107:O107" si="7">+E90-E106</f>
        <v>4639540.1913596531</v>
      </c>
      <c r="F107" s="138">
        <f t="shared" si="7"/>
        <v>4095843.4580210242</v>
      </c>
      <c r="G107" s="138">
        <f t="shared" si="7"/>
        <v>4061284.6515701483</v>
      </c>
      <c r="H107" s="138">
        <f t="shared" si="7"/>
        <v>3232920.1985918158</v>
      </c>
      <c r="I107" s="138">
        <f t="shared" si="7"/>
        <v>3101114.0699512288</v>
      </c>
      <c r="J107" s="138">
        <f t="shared" si="7"/>
        <v>3349438.5226325933</v>
      </c>
      <c r="K107" s="138">
        <f t="shared" si="7"/>
        <v>3571694.7373688063</v>
      </c>
      <c r="L107" s="138">
        <f t="shared" si="7"/>
        <v>3433048.604878658</v>
      </c>
      <c r="M107" s="138">
        <f t="shared" si="7"/>
        <v>3075814.343611496</v>
      </c>
      <c r="N107" s="138">
        <f t="shared" si="7"/>
        <v>3028273.7187476382</v>
      </c>
      <c r="O107" s="138">
        <f t="shared" si="7"/>
        <v>3704607.0802259571</v>
      </c>
      <c r="P107" s="138">
        <f>+P90-P106</f>
        <v>4851755.3561895052</v>
      </c>
      <c r="Q107" s="23">
        <f t="shared" si="1"/>
        <v>44145334.933148518</v>
      </c>
    </row>
    <row r="108" spans="1:17" x14ac:dyDescent="0.2">
      <c r="A108" s="20"/>
      <c r="B108" s="20"/>
      <c r="C108" s="20"/>
      <c r="D108" s="20"/>
      <c r="P108" s="239"/>
    </row>
    <row r="109" spans="1:17" x14ac:dyDescent="0.2">
      <c r="A109" s="20"/>
      <c r="B109" s="20"/>
      <c r="C109" s="119"/>
      <c r="D109" s="119"/>
    </row>
    <row r="110" spans="1:17" x14ac:dyDescent="0.2">
      <c r="A110" s="20"/>
      <c r="B110" s="20"/>
      <c r="C110" s="119"/>
      <c r="D110" s="119"/>
      <c r="O110" s="195"/>
      <c r="P110" s="241"/>
      <c r="Q110" s="41"/>
    </row>
    <row r="111" spans="1:17" x14ac:dyDescent="0.2">
      <c r="A111" s="20"/>
      <c r="B111" s="20"/>
      <c r="C111" s="119"/>
      <c r="D111" s="119"/>
      <c r="P111" s="240"/>
    </row>
    <row r="112" spans="1:17" x14ac:dyDescent="0.2">
      <c r="A112" s="20"/>
      <c r="B112" s="20"/>
      <c r="C112" s="119"/>
      <c r="D112" s="119"/>
      <c r="P112" s="239"/>
    </row>
    <row r="113" spans="1:4" x14ac:dyDescent="0.2">
      <c r="A113" s="20"/>
      <c r="B113" s="20"/>
      <c r="C113" s="119"/>
      <c r="D113" s="119"/>
    </row>
    <row r="114" spans="1:4" x14ac:dyDescent="0.2">
      <c r="A114" s="20"/>
      <c r="B114" s="20"/>
      <c r="C114" s="20"/>
      <c r="D114" s="20"/>
    </row>
    <row r="115" spans="1:4" x14ac:dyDescent="0.2">
      <c r="A115" s="20"/>
      <c r="B115" s="20"/>
      <c r="C115" s="20"/>
      <c r="D115" s="20"/>
    </row>
    <row r="116" spans="1:4" x14ac:dyDescent="0.2">
      <c r="A116" s="20"/>
      <c r="B116" s="20"/>
      <c r="C116" s="20"/>
      <c r="D116" s="20"/>
    </row>
    <row r="117" spans="1:4" x14ac:dyDescent="0.2">
      <c r="A117" s="20"/>
      <c r="B117" s="20"/>
      <c r="C117" s="20"/>
      <c r="D117" s="20"/>
    </row>
    <row r="118" spans="1:4" x14ac:dyDescent="0.2">
      <c r="A118" s="20"/>
      <c r="B118" s="20"/>
      <c r="C118" s="20"/>
      <c r="D118" s="20"/>
    </row>
    <row r="119" spans="1:4" x14ac:dyDescent="0.2">
      <c r="A119" s="20"/>
      <c r="B119" s="20"/>
      <c r="C119" s="20"/>
      <c r="D119" s="20"/>
    </row>
    <row r="120" spans="1:4" x14ac:dyDescent="0.2">
      <c r="A120" s="20"/>
      <c r="B120" s="20"/>
      <c r="C120" s="20"/>
      <c r="D120" s="20"/>
    </row>
    <row r="121" spans="1:4" x14ac:dyDescent="0.2">
      <c r="A121" s="20"/>
      <c r="B121" s="20"/>
      <c r="C121" s="20"/>
      <c r="D121" s="20"/>
    </row>
    <row r="122" spans="1:4" x14ac:dyDescent="0.2">
      <c r="A122" s="20"/>
      <c r="B122" s="20"/>
      <c r="C122" s="20"/>
      <c r="D122" s="20"/>
    </row>
    <row r="123" spans="1:4" x14ac:dyDescent="0.2">
      <c r="A123" s="20"/>
      <c r="B123" s="20"/>
      <c r="C123" s="20"/>
      <c r="D123" s="20"/>
    </row>
    <row r="124" spans="1:4" x14ac:dyDescent="0.2">
      <c r="A124" s="20"/>
      <c r="B124" s="20"/>
      <c r="C124" s="20"/>
      <c r="D124" s="20"/>
    </row>
    <row r="125" spans="1:4" x14ac:dyDescent="0.2">
      <c r="A125" s="20"/>
      <c r="B125" s="20"/>
      <c r="C125" s="20"/>
      <c r="D125" s="20"/>
    </row>
    <row r="126" spans="1:4" x14ac:dyDescent="0.2">
      <c r="A126" s="20"/>
      <c r="B126" s="20"/>
      <c r="C126" s="20"/>
      <c r="D126" s="20"/>
    </row>
    <row r="127" spans="1:4" x14ac:dyDescent="0.2">
      <c r="A127" s="20"/>
      <c r="B127" s="20"/>
      <c r="C127" s="20"/>
      <c r="D127" s="20"/>
    </row>
    <row r="128" spans="1:4" x14ac:dyDescent="0.2">
      <c r="A128" s="20"/>
      <c r="B128" s="20"/>
      <c r="C128" s="20"/>
      <c r="D128" s="20"/>
    </row>
    <row r="129" spans="1:4" x14ac:dyDescent="0.2">
      <c r="A129" s="20"/>
      <c r="B129" s="20"/>
      <c r="C129" s="20"/>
      <c r="D129" s="20"/>
    </row>
    <row r="130" spans="1:4" x14ac:dyDescent="0.2">
      <c r="A130" s="20"/>
      <c r="B130" s="20"/>
      <c r="C130" s="20"/>
      <c r="D130" s="20"/>
    </row>
    <row r="131" spans="1:4" x14ac:dyDescent="0.2">
      <c r="A131" s="20"/>
      <c r="B131" s="20"/>
      <c r="C131" s="20"/>
      <c r="D131" s="20"/>
    </row>
    <row r="132" spans="1:4" x14ac:dyDescent="0.2">
      <c r="A132" s="20"/>
      <c r="B132" s="20"/>
      <c r="C132" s="20"/>
      <c r="D132" s="20"/>
    </row>
    <row r="133" spans="1:4" x14ac:dyDescent="0.2">
      <c r="A133" s="20"/>
      <c r="B133" s="20"/>
      <c r="C133" s="20"/>
      <c r="D133" s="20"/>
    </row>
    <row r="134" spans="1:4" x14ac:dyDescent="0.2">
      <c r="A134" s="20"/>
      <c r="B134" s="20"/>
      <c r="C134" s="20"/>
      <c r="D134" s="20"/>
    </row>
    <row r="135" spans="1:4" x14ac:dyDescent="0.2">
      <c r="A135" s="20"/>
      <c r="B135" s="20"/>
      <c r="C135" s="20"/>
      <c r="D135" s="20"/>
    </row>
    <row r="136" spans="1:4" x14ac:dyDescent="0.2">
      <c r="A136" s="20"/>
      <c r="B136" s="20"/>
      <c r="C136" s="20"/>
      <c r="D136" s="20"/>
    </row>
    <row r="137" spans="1:4" x14ac:dyDescent="0.2">
      <c r="A137" s="20"/>
      <c r="B137" s="20"/>
      <c r="C137" s="20"/>
      <c r="D137" s="20"/>
    </row>
    <row r="138" spans="1:4" x14ac:dyDescent="0.2">
      <c r="A138" s="20"/>
      <c r="B138" s="20"/>
      <c r="C138" s="20"/>
      <c r="D138" s="20"/>
    </row>
    <row r="139" spans="1:4" x14ac:dyDescent="0.2">
      <c r="A139" s="20"/>
      <c r="B139" s="20"/>
      <c r="C139" s="20"/>
      <c r="D139" s="20"/>
    </row>
    <row r="140" spans="1:4" x14ac:dyDescent="0.2">
      <c r="A140" s="20"/>
      <c r="B140" s="20"/>
      <c r="C140" s="20"/>
      <c r="D140" s="20"/>
    </row>
    <row r="141" spans="1:4" x14ac:dyDescent="0.2">
      <c r="A141" s="20"/>
      <c r="B141" s="20"/>
      <c r="C141" s="20"/>
      <c r="D141" s="20"/>
    </row>
    <row r="142" spans="1:4" x14ac:dyDescent="0.2">
      <c r="A142" s="20"/>
      <c r="B142" s="20"/>
      <c r="C142" s="20"/>
      <c r="D142" s="20"/>
    </row>
    <row r="143" spans="1:4" x14ac:dyDescent="0.2">
      <c r="A143" s="20"/>
      <c r="B143" s="20"/>
      <c r="C143" s="20"/>
      <c r="D143" s="20"/>
    </row>
    <row r="144" spans="1:4" x14ac:dyDescent="0.2">
      <c r="A144" s="20"/>
      <c r="B144" s="20"/>
      <c r="C144" s="20"/>
      <c r="D144" s="20"/>
    </row>
    <row r="145" spans="1:4" x14ac:dyDescent="0.2">
      <c r="A145" s="20"/>
      <c r="B145" s="20"/>
      <c r="C145" s="20"/>
      <c r="D145" s="20"/>
    </row>
    <row r="146" spans="1:4" x14ac:dyDescent="0.2">
      <c r="A146" s="20"/>
      <c r="B146" s="20"/>
      <c r="C146" s="20"/>
      <c r="D146" s="20"/>
    </row>
    <row r="147" spans="1:4" x14ac:dyDescent="0.2">
      <c r="A147" s="20"/>
      <c r="B147" s="20"/>
      <c r="C147" s="20"/>
      <c r="D147" s="20"/>
    </row>
    <row r="148" spans="1:4" x14ac:dyDescent="0.2">
      <c r="A148" s="20"/>
      <c r="B148" s="20"/>
      <c r="C148" s="20"/>
      <c r="D148" s="20"/>
    </row>
    <row r="149" spans="1:4" x14ac:dyDescent="0.2">
      <c r="A149" s="20"/>
      <c r="B149" s="20"/>
      <c r="C149" s="20"/>
      <c r="D149" s="20"/>
    </row>
    <row r="150" spans="1:4" x14ac:dyDescent="0.2">
      <c r="A150" s="20"/>
      <c r="B150" s="20"/>
      <c r="C150" s="20"/>
      <c r="D150" s="20"/>
    </row>
    <row r="151" spans="1:4" x14ac:dyDescent="0.2">
      <c r="A151" s="20"/>
      <c r="B151" s="20"/>
      <c r="C151" s="20"/>
      <c r="D151" s="20"/>
    </row>
    <row r="152" spans="1:4" x14ac:dyDescent="0.2">
      <c r="A152" s="20"/>
      <c r="B152" s="20"/>
      <c r="C152" s="20"/>
      <c r="D152" s="20"/>
    </row>
    <row r="153" spans="1:4" x14ac:dyDescent="0.2">
      <c r="A153" s="20"/>
      <c r="B153" s="20"/>
      <c r="C153" s="20"/>
      <c r="D153" s="20"/>
    </row>
    <row r="154" spans="1:4" x14ac:dyDescent="0.2">
      <c r="A154" s="20"/>
      <c r="B154" s="20"/>
      <c r="C154" s="20"/>
      <c r="D154" s="20"/>
    </row>
    <row r="155" spans="1:4" x14ac:dyDescent="0.2">
      <c r="A155" s="20"/>
      <c r="B155" s="20"/>
      <c r="C155" s="20"/>
      <c r="D155" s="20"/>
    </row>
    <row r="156" spans="1:4" x14ac:dyDescent="0.2">
      <c r="A156" s="20"/>
      <c r="B156" s="20"/>
      <c r="C156" s="20"/>
      <c r="D156" s="20"/>
    </row>
    <row r="157" spans="1:4" x14ac:dyDescent="0.2">
      <c r="A157" s="20"/>
      <c r="B157" s="20"/>
      <c r="C157" s="20"/>
      <c r="D157" s="20"/>
    </row>
    <row r="158" spans="1:4" x14ac:dyDescent="0.2">
      <c r="A158" s="20"/>
      <c r="B158" s="20"/>
      <c r="C158" s="20"/>
      <c r="D158" s="20"/>
    </row>
    <row r="159" spans="1:4" x14ac:dyDescent="0.2">
      <c r="A159" s="20"/>
      <c r="B159" s="20"/>
      <c r="C159" s="20"/>
      <c r="D159" s="20"/>
    </row>
    <row r="160" spans="1:4" x14ac:dyDescent="0.2">
      <c r="A160" s="20"/>
      <c r="B160" s="20"/>
      <c r="C160" s="20"/>
      <c r="D160" s="20"/>
    </row>
    <row r="161" spans="1:4" x14ac:dyDescent="0.2">
      <c r="A161" s="20"/>
      <c r="B161" s="20"/>
      <c r="C161" s="20"/>
      <c r="D161" s="20"/>
    </row>
    <row r="162" spans="1:4" x14ac:dyDescent="0.2">
      <c r="A162" s="20"/>
      <c r="B162" s="20"/>
      <c r="C162" s="20"/>
      <c r="D162" s="20"/>
    </row>
    <row r="163" spans="1:4" x14ac:dyDescent="0.2">
      <c r="A163" s="20"/>
      <c r="B163" s="20"/>
      <c r="C163" s="20"/>
      <c r="D163" s="20"/>
    </row>
    <row r="164" spans="1:4" x14ac:dyDescent="0.2">
      <c r="A164" s="20"/>
      <c r="B164" s="20"/>
      <c r="C164" s="20"/>
      <c r="D164" s="20"/>
    </row>
    <row r="165" spans="1:4" x14ac:dyDescent="0.2">
      <c r="A165" s="20"/>
      <c r="B165" s="20"/>
      <c r="C165" s="20"/>
      <c r="D165" s="20"/>
    </row>
    <row r="166" spans="1:4" x14ac:dyDescent="0.2">
      <c r="A166" s="20"/>
      <c r="B166" s="20"/>
      <c r="C166" s="20"/>
      <c r="D166" s="20"/>
    </row>
    <row r="167" spans="1:4" x14ac:dyDescent="0.2">
      <c r="A167" s="20"/>
      <c r="B167" s="20"/>
      <c r="C167" s="20"/>
      <c r="D167" s="20"/>
    </row>
    <row r="168" spans="1:4" x14ac:dyDescent="0.2">
      <c r="A168" s="20"/>
      <c r="B168" s="20"/>
      <c r="C168" s="20"/>
      <c r="D168" s="20"/>
    </row>
    <row r="169" spans="1:4" x14ac:dyDescent="0.2">
      <c r="A169" s="20"/>
      <c r="B169" s="20"/>
      <c r="C169" s="20"/>
      <c r="D169" s="20"/>
    </row>
    <row r="170" spans="1:4" x14ac:dyDescent="0.2">
      <c r="A170" s="20"/>
      <c r="B170" s="20"/>
      <c r="C170" s="20"/>
      <c r="D170" s="20"/>
    </row>
    <row r="171" spans="1:4" x14ac:dyDescent="0.2">
      <c r="A171" s="20"/>
      <c r="B171" s="20"/>
      <c r="C171" s="20"/>
      <c r="D171" s="20"/>
    </row>
    <row r="172" spans="1:4" x14ac:dyDescent="0.2">
      <c r="A172" s="20"/>
      <c r="B172" s="20"/>
      <c r="C172" s="20"/>
      <c r="D172" s="20"/>
    </row>
    <row r="173" spans="1:4" x14ac:dyDescent="0.2">
      <c r="A173" s="20"/>
      <c r="B173" s="20"/>
      <c r="C173" s="20"/>
      <c r="D173" s="20"/>
    </row>
    <row r="174" spans="1:4" x14ac:dyDescent="0.2">
      <c r="A174" s="20"/>
      <c r="B174" s="20"/>
      <c r="C174" s="20"/>
      <c r="D174" s="20"/>
    </row>
    <row r="175" spans="1:4" x14ac:dyDescent="0.2">
      <c r="A175" s="20"/>
      <c r="B175" s="20"/>
      <c r="C175" s="20"/>
      <c r="D175" s="20"/>
    </row>
    <row r="176" spans="1:4" x14ac:dyDescent="0.2">
      <c r="A176" s="20"/>
      <c r="B176" s="20"/>
      <c r="C176" s="20"/>
      <c r="D176" s="20"/>
    </row>
    <row r="177" spans="5:17" s="20" customFormat="1" x14ac:dyDescent="0.2">
      <c r="E177" s="78"/>
      <c r="F177" s="78"/>
      <c r="G177" s="78"/>
      <c r="H177" s="78"/>
      <c r="I177" s="78"/>
      <c r="J177" s="78"/>
      <c r="K177" s="78"/>
      <c r="L177" s="78"/>
      <c r="M177" s="78"/>
      <c r="N177" s="78"/>
      <c r="O177" s="78"/>
      <c r="P177" s="78"/>
      <c r="Q177" s="78"/>
    </row>
    <row r="178" spans="5:17" s="20" customFormat="1" x14ac:dyDescent="0.2">
      <c r="E178" s="78"/>
      <c r="F178" s="78"/>
      <c r="G178" s="78"/>
      <c r="H178" s="78"/>
      <c r="I178" s="78"/>
      <c r="J178" s="78"/>
      <c r="K178" s="78"/>
      <c r="L178" s="78"/>
      <c r="M178" s="78"/>
      <c r="N178" s="78"/>
      <c r="O178" s="78"/>
      <c r="P178" s="78"/>
      <c r="Q178" s="78"/>
    </row>
    <row r="179" spans="5:17" s="20" customFormat="1" x14ac:dyDescent="0.2">
      <c r="E179" s="78"/>
      <c r="F179" s="78"/>
      <c r="G179" s="78"/>
      <c r="H179" s="78"/>
      <c r="I179" s="78"/>
      <c r="J179" s="78"/>
      <c r="K179" s="78"/>
      <c r="L179" s="78"/>
      <c r="M179" s="78"/>
      <c r="N179" s="78"/>
      <c r="O179" s="78"/>
      <c r="P179" s="78"/>
      <c r="Q179" s="78"/>
    </row>
    <row r="180" spans="5:17" s="20" customFormat="1" x14ac:dyDescent="0.2">
      <c r="E180" s="78"/>
      <c r="F180" s="78"/>
      <c r="G180" s="78"/>
      <c r="H180" s="78"/>
      <c r="I180" s="78"/>
      <c r="J180" s="78"/>
      <c r="K180" s="78"/>
      <c r="L180" s="78"/>
      <c r="M180" s="78"/>
      <c r="N180" s="78"/>
      <c r="O180" s="78"/>
      <c r="P180" s="78"/>
      <c r="Q180" s="78"/>
    </row>
    <row r="181" spans="5:17" s="20" customFormat="1" x14ac:dyDescent="0.2">
      <c r="E181" s="78"/>
      <c r="F181" s="78"/>
      <c r="G181" s="78"/>
      <c r="H181" s="78"/>
      <c r="I181" s="78"/>
      <c r="J181" s="78"/>
      <c r="K181" s="78"/>
      <c r="L181" s="78"/>
      <c r="M181" s="78"/>
      <c r="N181" s="78"/>
      <c r="O181" s="78"/>
      <c r="P181" s="78"/>
      <c r="Q181" s="78"/>
    </row>
    <row r="182" spans="5:17" s="20" customFormat="1" x14ac:dyDescent="0.2">
      <c r="E182" s="78"/>
      <c r="F182" s="78"/>
      <c r="G182" s="78"/>
      <c r="H182" s="78"/>
      <c r="I182" s="78"/>
      <c r="J182" s="78"/>
      <c r="K182" s="78"/>
      <c r="L182" s="78"/>
      <c r="M182" s="78"/>
      <c r="N182" s="78"/>
      <c r="O182" s="78"/>
      <c r="P182" s="78"/>
      <c r="Q182" s="78"/>
    </row>
    <row r="183" spans="5:17" s="20" customFormat="1" x14ac:dyDescent="0.2">
      <c r="E183" s="78"/>
      <c r="F183" s="78"/>
      <c r="G183" s="78"/>
      <c r="H183" s="78"/>
      <c r="I183" s="78"/>
      <c r="J183" s="78"/>
      <c r="K183" s="78"/>
      <c r="L183" s="78"/>
      <c r="M183" s="78"/>
      <c r="N183" s="78"/>
      <c r="O183" s="78"/>
      <c r="P183" s="78"/>
      <c r="Q183" s="78"/>
    </row>
    <row r="184" spans="5:17" s="20" customFormat="1" x14ac:dyDescent="0.2">
      <c r="E184" s="78"/>
      <c r="F184" s="78"/>
      <c r="G184" s="78"/>
      <c r="H184" s="78"/>
      <c r="I184" s="78"/>
      <c r="J184" s="78"/>
      <c r="K184" s="78"/>
      <c r="L184" s="78"/>
      <c r="M184" s="78"/>
      <c r="N184" s="78"/>
      <c r="O184" s="78"/>
      <c r="P184" s="78"/>
      <c r="Q184" s="78"/>
    </row>
    <row r="185" spans="5:17" s="20" customFormat="1" x14ac:dyDescent="0.2">
      <c r="E185" s="78"/>
      <c r="F185" s="78"/>
      <c r="G185" s="78"/>
      <c r="H185" s="78"/>
      <c r="I185" s="78"/>
      <c r="J185" s="78"/>
      <c r="K185" s="78"/>
      <c r="L185" s="78"/>
      <c r="M185" s="78"/>
      <c r="N185" s="78"/>
      <c r="O185" s="78"/>
      <c r="P185" s="78"/>
      <c r="Q185" s="78"/>
    </row>
    <row r="186" spans="5:17" s="20" customFormat="1" x14ac:dyDescent="0.2">
      <c r="E186" s="78"/>
      <c r="F186" s="78"/>
      <c r="G186" s="78"/>
      <c r="H186" s="78"/>
      <c r="I186" s="78"/>
      <c r="J186" s="78"/>
      <c r="K186" s="78"/>
      <c r="L186" s="78"/>
      <c r="M186" s="78"/>
      <c r="N186" s="78"/>
      <c r="O186" s="78"/>
      <c r="P186" s="78"/>
      <c r="Q186" s="78"/>
    </row>
    <row r="187" spans="5:17" s="20" customFormat="1" x14ac:dyDescent="0.2">
      <c r="E187" s="78"/>
      <c r="F187" s="78"/>
      <c r="G187" s="78"/>
      <c r="H187" s="78"/>
      <c r="I187" s="78"/>
      <c r="J187" s="78"/>
      <c r="K187" s="78"/>
      <c r="L187" s="78"/>
      <c r="M187" s="78"/>
      <c r="N187" s="78"/>
      <c r="O187" s="78"/>
      <c r="P187" s="78"/>
      <c r="Q187" s="78"/>
    </row>
    <row r="188" spans="5:17" s="20" customFormat="1" x14ac:dyDescent="0.2">
      <c r="E188" s="78"/>
      <c r="F188" s="78"/>
      <c r="G188" s="78"/>
      <c r="H188" s="78"/>
      <c r="I188" s="78"/>
      <c r="J188" s="78"/>
      <c r="K188" s="78"/>
      <c r="L188" s="78"/>
      <c r="M188" s="78"/>
      <c r="N188" s="78"/>
      <c r="O188" s="78"/>
      <c r="P188" s="78"/>
      <c r="Q188" s="78"/>
    </row>
    <row r="189" spans="5:17" s="20" customFormat="1" x14ac:dyDescent="0.2">
      <c r="E189" s="78"/>
      <c r="F189" s="78"/>
      <c r="G189" s="78"/>
      <c r="H189" s="78"/>
      <c r="I189" s="78"/>
      <c r="J189" s="78"/>
      <c r="K189" s="78"/>
      <c r="L189" s="78"/>
      <c r="M189" s="78"/>
      <c r="N189" s="78"/>
      <c r="O189" s="78"/>
      <c r="P189" s="78"/>
      <c r="Q189" s="78"/>
    </row>
    <row r="190" spans="5:17" s="20" customFormat="1" x14ac:dyDescent="0.2">
      <c r="E190" s="78"/>
      <c r="F190" s="78"/>
      <c r="G190" s="78"/>
      <c r="H190" s="78"/>
      <c r="I190" s="78"/>
      <c r="J190" s="78"/>
      <c r="K190" s="78"/>
      <c r="L190" s="78"/>
      <c r="M190" s="78"/>
      <c r="N190" s="78"/>
      <c r="O190" s="78"/>
      <c r="P190" s="78"/>
      <c r="Q190" s="78"/>
    </row>
    <row r="191" spans="5:17" s="20" customFormat="1" x14ac:dyDescent="0.2">
      <c r="E191" s="78"/>
      <c r="F191" s="78"/>
      <c r="G191" s="78"/>
      <c r="H191" s="78"/>
      <c r="I191" s="78"/>
      <c r="J191" s="78"/>
      <c r="K191" s="78"/>
      <c r="L191" s="78"/>
      <c r="M191" s="78"/>
      <c r="N191" s="78"/>
      <c r="O191" s="78"/>
      <c r="P191" s="78"/>
      <c r="Q191" s="78"/>
    </row>
    <row r="192" spans="5:17" s="20" customFormat="1" x14ac:dyDescent="0.2">
      <c r="E192" s="78"/>
      <c r="F192" s="78"/>
      <c r="G192" s="78"/>
      <c r="H192" s="78"/>
      <c r="I192" s="78"/>
      <c r="J192" s="78"/>
      <c r="K192" s="78"/>
      <c r="L192" s="78"/>
      <c r="M192" s="78"/>
      <c r="N192" s="78"/>
      <c r="O192" s="78"/>
      <c r="P192" s="78"/>
      <c r="Q192" s="78"/>
    </row>
    <row r="193" spans="5:17" s="20" customFormat="1" x14ac:dyDescent="0.2">
      <c r="E193" s="78"/>
      <c r="F193" s="78"/>
      <c r="G193" s="78"/>
      <c r="H193" s="78"/>
      <c r="I193" s="78"/>
      <c r="J193" s="78"/>
      <c r="K193" s="78"/>
      <c r="L193" s="78"/>
      <c r="M193" s="78"/>
      <c r="N193" s="78"/>
      <c r="O193" s="78"/>
      <c r="P193" s="78"/>
      <c r="Q193" s="78"/>
    </row>
    <row r="194" spans="5:17" s="20" customFormat="1" x14ac:dyDescent="0.2">
      <c r="E194" s="78"/>
      <c r="F194" s="78"/>
      <c r="G194" s="78"/>
      <c r="H194" s="78"/>
      <c r="I194" s="78"/>
      <c r="J194" s="78"/>
      <c r="K194" s="78"/>
      <c r="L194" s="78"/>
      <c r="M194" s="78"/>
      <c r="N194" s="78"/>
      <c r="O194" s="78"/>
      <c r="P194" s="78"/>
      <c r="Q194" s="78"/>
    </row>
    <row r="195" spans="5:17" s="20" customFormat="1" x14ac:dyDescent="0.2">
      <c r="E195" s="78"/>
      <c r="F195" s="78"/>
      <c r="G195" s="78"/>
      <c r="H195" s="78"/>
      <c r="I195" s="78"/>
      <c r="J195" s="78"/>
      <c r="K195" s="78"/>
      <c r="L195" s="78"/>
      <c r="M195" s="78"/>
      <c r="N195" s="78"/>
      <c r="O195" s="78"/>
      <c r="P195" s="78"/>
      <c r="Q195" s="78"/>
    </row>
    <row r="196" spans="5:17" s="20" customFormat="1" x14ac:dyDescent="0.2">
      <c r="E196" s="78"/>
      <c r="F196" s="78"/>
      <c r="G196" s="78"/>
      <c r="H196" s="78"/>
      <c r="I196" s="78"/>
      <c r="J196" s="78"/>
      <c r="K196" s="78"/>
      <c r="L196" s="78"/>
      <c r="M196" s="78"/>
      <c r="N196" s="78"/>
      <c r="O196" s="78"/>
      <c r="P196" s="78"/>
      <c r="Q196" s="78"/>
    </row>
    <row r="197" spans="5:17" s="20" customFormat="1" x14ac:dyDescent="0.2">
      <c r="E197" s="78"/>
      <c r="F197" s="78"/>
      <c r="G197" s="78"/>
      <c r="H197" s="78"/>
      <c r="I197" s="78"/>
      <c r="J197" s="78"/>
      <c r="K197" s="78"/>
      <c r="L197" s="78"/>
      <c r="M197" s="78"/>
      <c r="N197" s="78"/>
      <c r="O197" s="78"/>
      <c r="P197" s="78"/>
      <c r="Q197" s="78"/>
    </row>
    <row r="198" spans="5:17" s="20" customFormat="1" x14ac:dyDescent="0.2">
      <c r="E198" s="78"/>
      <c r="F198" s="78"/>
      <c r="G198" s="78"/>
      <c r="H198" s="78"/>
      <c r="I198" s="78"/>
      <c r="J198" s="78"/>
      <c r="K198" s="78"/>
      <c r="L198" s="78"/>
      <c r="M198" s="78"/>
      <c r="N198" s="78"/>
      <c r="O198" s="78"/>
      <c r="P198" s="78"/>
      <c r="Q198" s="78"/>
    </row>
    <row r="199" spans="5:17" s="20" customFormat="1" x14ac:dyDescent="0.2">
      <c r="E199" s="78"/>
      <c r="F199" s="78"/>
      <c r="G199" s="78"/>
      <c r="H199" s="78"/>
      <c r="I199" s="78"/>
      <c r="J199" s="78"/>
      <c r="K199" s="78"/>
      <c r="L199" s="78"/>
      <c r="M199" s="78"/>
      <c r="N199" s="78"/>
      <c r="O199" s="78"/>
      <c r="P199" s="78"/>
      <c r="Q199" s="78"/>
    </row>
    <row r="200" spans="5:17" s="20" customFormat="1" x14ac:dyDescent="0.2">
      <c r="E200" s="78"/>
      <c r="F200" s="78"/>
      <c r="G200" s="78"/>
      <c r="H200" s="78"/>
      <c r="I200" s="78"/>
      <c r="J200" s="78"/>
      <c r="K200" s="78"/>
      <c r="L200" s="78"/>
      <c r="M200" s="78"/>
      <c r="N200" s="78"/>
      <c r="O200" s="78"/>
      <c r="P200" s="78"/>
      <c r="Q200" s="78"/>
    </row>
    <row r="201" spans="5:17" s="20" customFormat="1" x14ac:dyDescent="0.2">
      <c r="E201" s="78"/>
      <c r="F201" s="78"/>
      <c r="G201" s="78"/>
      <c r="H201" s="78"/>
      <c r="I201" s="78"/>
      <c r="J201" s="78"/>
      <c r="K201" s="78"/>
      <c r="L201" s="78"/>
      <c r="M201" s="78"/>
      <c r="N201" s="78"/>
      <c r="O201" s="78"/>
      <c r="P201" s="78"/>
      <c r="Q201" s="78"/>
    </row>
    <row r="202" spans="5:17" s="20" customFormat="1" x14ac:dyDescent="0.2">
      <c r="E202" s="78"/>
      <c r="F202" s="78"/>
      <c r="G202" s="78"/>
      <c r="H202" s="78"/>
      <c r="I202" s="78"/>
      <c r="J202" s="78"/>
      <c r="K202" s="78"/>
      <c r="L202" s="78"/>
      <c r="M202" s="78"/>
      <c r="N202" s="78"/>
      <c r="O202" s="78"/>
      <c r="P202" s="78"/>
      <c r="Q202" s="78"/>
    </row>
    <row r="203" spans="5:17" s="20" customFormat="1" x14ac:dyDescent="0.2">
      <c r="E203" s="78"/>
      <c r="F203" s="78"/>
      <c r="G203" s="78"/>
      <c r="H203" s="78"/>
      <c r="I203" s="78"/>
      <c r="J203" s="78"/>
      <c r="K203" s="78"/>
      <c r="L203" s="78"/>
      <c r="M203" s="78"/>
      <c r="N203" s="78"/>
      <c r="O203" s="78"/>
      <c r="P203" s="78"/>
      <c r="Q203" s="78"/>
    </row>
    <row r="204" spans="5:17" s="20" customFormat="1" x14ac:dyDescent="0.2">
      <c r="E204" s="78"/>
      <c r="F204" s="78"/>
      <c r="G204" s="78"/>
      <c r="H204" s="78"/>
      <c r="I204" s="78"/>
      <c r="J204" s="78"/>
      <c r="K204" s="78"/>
      <c r="L204" s="78"/>
      <c r="M204" s="78"/>
      <c r="N204" s="78"/>
      <c r="O204" s="78"/>
      <c r="P204" s="78"/>
      <c r="Q204" s="78"/>
    </row>
    <row r="205" spans="5:17" s="20" customFormat="1" x14ac:dyDescent="0.2">
      <c r="E205" s="78"/>
      <c r="F205" s="78"/>
      <c r="G205" s="78"/>
      <c r="H205" s="78"/>
      <c r="I205" s="78"/>
      <c r="J205" s="78"/>
      <c r="K205" s="78"/>
      <c r="L205" s="78"/>
      <c r="M205" s="78"/>
      <c r="N205" s="78"/>
      <c r="O205" s="78"/>
      <c r="P205" s="78"/>
      <c r="Q205" s="78"/>
    </row>
    <row r="206" spans="5:17" s="20" customFormat="1" x14ac:dyDescent="0.2">
      <c r="E206" s="78"/>
      <c r="F206" s="78"/>
      <c r="G206" s="78"/>
      <c r="H206" s="78"/>
      <c r="I206" s="78"/>
      <c r="J206" s="78"/>
      <c r="K206" s="78"/>
      <c r="L206" s="78"/>
      <c r="M206" s="78"/>
      <c r="N206" s="78"/>
      <c r="O206" s="78"/>
      <c r="P206" s="78"/>
      <c r="Q206" s="78"/>
    </row>
    <row r="207" spans="5:17" s="20" customFormat="1" x14ac:dyDescent="0.2">
      <c r="E207" s="78"/>
      <c r="F207" s="78"/>
      <c r="G207" s="78"/>
      <c r="H207" s="78"/>
      <c r="I207" s="78"/>
      <c r="J207" s="78"/>
      <c r="K207" s="78"/>
      <c r="L207" s="78"/>
      <c r="M207" s="78"/>
      <c r="N207" s="78"/>
      <c r="O207" s="78"/>
      <c r="P207" s="78"/>
      <c r="Q207" s="78"/>
    </row>
    <row r="208" spans="5:17" s="20" customFormat="1" x14ac:dyDescent="0.2">
      <c r="E208" s="78"/>
      <c r="F208" s="78"/>
      <c r="G208" s="78"/>
      <c r="H208" s="78"/>
      <c r="I208" s="78"/>
      <c r="J208" s="78"/>
      <c r="K208" s="78"/>
      <c r="L208" s="78"/>
      <c r="M208" s="78"/>
      <c r="N208" s="78"/>
      <c r="O208" s="78"/>
      <c r="P208" s="78"/>
      <c r="Q208" s="78"/>
    </row>
    <row r="209" spans="5:17" s="20" customFormat="1" x14ac:dyDescent="0.2">
      <c r="E209" s="78"/>
      <c r="F209" s="78"/>
      <c r="G209" s="78"/>
      <c r="H209" s="78"/>
      <c r="I209" s="78"/>
      <c r="J209" s="78"/>
      <c r="K209" s="78"/>
      <c r="L209" s="78"/>
      <c r="M209" s="78"/>
      <c r="N209" s="78"/>
      <c r="O209" s="78"/>
      <c r="P209" s="78"/>
      <c r="Q209" s="78"/>
    </row>
    <row r="210" spans="5:17" s="20" customFormat="1" x14ac:dyDescent="0.2">
      <c r="E210" s="78"/>
      <c r="F210" s="78"/>
      <c r="G210" s="78"/>
      <c r="H210" s="78"/>
      <c r="I210" s="78"/>
      <c r="J210" s="78"/>
      <c r="K210" s="78"/>
      <c r="L210" s="78"/>
      <c r="M210" s="78"/>
      <c r="N210" s="78"/>
      <c r="O210" s="78"/>
      <c r="P210" s="78"/>
      <c r="Q210" s="78"/>
    </row>
    <row r="211" spans="5:17" s="20" customFormat="1" x14ac:dyDescent="0.2">
      <c r="E211" s="78"/>
      <c r="F211" s="78"/>
      <c r="G211" s="78"/>
      <c r="H211" s="78"/>
      <c r="I211" s="78"/>
      <c r="J211" s="78"/>
      <c r="K211" s="78"/>
      <c r="L211" s="78"/>
      <c r="M211" s="78"/>
      <c r="N211" s="78"/>
      <c r="O211" s="78"/>
      <c r="P211" s="78"/>
      <c r="Q211" s="78"/>
    </row>
    <row r="212" spans="5:17" s="20" customFormat="1" x14ac:dyDescent="0.2">
      <c r="E212" s="78"/>
      <c r="F212" s="78"/>
      <c r="G212" s="78"/>
      <c r="H212" s="78"/>
      <c r="I212" s="78"/>
      <c r="J212" s="78"/>
      <c r="K212" s="78"/>
      <c r="L212" s="78"/>
      <c r="M212" s="78"/>
      <c r="N212" s="78"/>
      <c r="O212" s="78"/>
      <c r="P212" s="78"/>
      <c r="Q212" s="78"/>
    </row>
    <row r="213" spans="5:17" s="20" customFormat="1" x14ac:dyDescent="0.2">
      <c r="E213" s="78"/>
      <c r="F213" s="78"/>
      <c r="G213" s="78"/>
      <c r="H213" s="78"/>
      <c r="I213" s="78"/>
      <c r="J213" s="78"/>
      <c r="K213" s="78"/>
      <c r="L213" s="78"/>
      <c r="M213" s="78"/>
      <c r="N213" s="78"/>
      <c r="O213" s="78"/>
      <c r="P213" s="78"/>
      <c r="Q213" s="78"/>
    </row>
    <row r="214" spans="5:17" s="20" customFormat="1" x14ac:dyDescent="0.2">
      <c r="E214" s="78"/>
      <c r="F214" s="78"/>
      <c r="G214" s="78"/>
      <c r="H214" s="78"/>
      <c r="I214" s="78"/>
      <c r="J214" s="78"/>
      <c r="K214" s="78"/>
      <c r="L214" s="78"/>
      <c r="M214" s="78"/>
      <c r="N214" s="78"/>
      <c r="O214" s="78"/>
      <c r="P214" s="78"/>
      <c r="Q214" s="78"/>
    </row>
    <row r="215" spans="5:17" s="20" customFormat="1" x14ac:dyDescent="0.2">
      <c r="E215" s="78"/>
      <c r="F215" s="78"/>
      <c r="G215" s="78"/>
      <c r="H215" s="78"/>
      <c r="I215" s="78"/>
      <c r="J215" s="78"/>
      <c r="K215" s="78"/>
      <c r="L215" s="78"/>
      <c r="M215" s="78"/>
      <c r="N215" s="78"/>
      <c r="O215" s="78"/>
      <c r="P215" s="78"/>
      <c r="Q215" s="78"/>
    </row>
    <row r="216" spans="5:17" s="20" customFormat="1" x14ac:dyDescent="0.2">
      <c r="E216" s="78"/>
      <c r="F216" s="78"/>
      <c r="G216" s="78"/>
      <c r="H216" s="78"/>
      <c r="I216" s="78"/>
      <c r="J216" s="78"/>
      <c r="K216" s="78"/>
      <c r="L216" s="78"/>
      <c r="M216" s="78"/>
      <c r="N216" s="78"/>
      <c r="O216" s="78"/>
      <c r="P216" s="78"/>
      <c r="Q216" s="78"/>
    </row>
    <row r="217" spans="5:17" s="20" customFormat="1" x14ac:dyDescent="0.2">
      <c r="E217" s="78"/>
      <c r="F217" s="78"/>
      <c r="G217" s="78"/>
      <c r="H217" s="78"/>
      <c r="I217" s="78"/>
      <c r="J217" s="78"/>
      <c r="K217" s="78"/>
      <c r="L217" s="78"/>
      <c r="M217" s="78"/>
      <c r="N217" s="78"/>
      <c r="O217" s="78"/>
      <c r="P217" s="78"/>
      <c r="Q217" s="78"/>
    </row>
    <row r="218" spans="5:17" s="20" customFormat="1" x14ac:dyDescent="0.2">
      <c r="E218" s="78"/>
      <c r="F218" s="78"/>
      <c r="G218" s="78"/>
      <c r="H218" s="78"/>
      <c r="I218" s="78"/>
      <c r="J218" s="78"/>
      <c r="K218" s="78"/>
      <c r="L218" s="78"/>
      <c r="M218" s="78"/>
      <c r="N218" s="78"/>
      <c r="O218" s="78"/>
      <c r="P218" s="78"/>
      <c r="Q218" s="78"/>
    </row>
    <row r="219" spans="5:17" s="20" customFormat="1" x14ac:dyDescent="0.2">
      <c r="E219" s="78"/>
      <c r="F219" s="78"/>
      <c r="G219" s="78"/>
      <c r="H219" s="78"/>
      <c r="I219" s="78"/>
      <c r="J219" s="78"/>
      <c r="K219" s="78"/>
      <c r="L219" s="78"/>
      <c r="M219" s="78"/>
      <c r="N219" s="78"/>
      <c r="O219" s="78"/>
      <c r="P219" s="78"/>
      <c r="Q219" s="78"/>
    </row>
    <row r="220" spans="5:17" s="20" customFormat="1" x14ac:dyDescent="0.2">
      <c r="E220" s="78"/>
      <c r="F220" s="78"/>
      <c r="G220" s="78"/>
      <c r="H220" s="78"/>
      <c r="I220" s="78"/>
      <c r="J220" s="78"/>
      <c r="K220" s="78"/>
      <c r="L220" s="78"/>
      <c r="M220" s="78"/>
      <c r="N220" s="78"/>
      <c r="O220" s="78"/>
      <c r="P220" s="78"/>
      <c r="Q220" s="78"/>
    </row>
    <row r="221" spans="5:17" s="20" customFormat="1" x14ac:dyDescent="0.2">
      <c r="E221" s="78"/>
      <c r="F221" s="78"/>
      <c r="G221" s="78"/>
      <c r="H221" s="78"/>
      <c r="I221" s="78"/>
      <c r="J221" s="78"/>
      <c r="K221" s="78"/>
      <c r="L221" s="78"/>
      <c r="M221" s="78"/>
      <c r="N221" s="78"/>
      <c r="O221" s="78"/>
      <c r="P221" s="78"/>
      <c r="Q221" s="78"/>
    </row>
    <row r="222" spans="5:17" s="20" customFormat="1" x14ac:dyDescent="0.2">
      <c r="E222" s="78"/>
      <c r="F222" s="78"/>
      <c r="G222" s="78"/>
      <c r="H222" s="78"/>
      <c r="I222" s="78"/>
      <c r="J222" s="78"/>
      <c r="K222" s="78"/>
      <c r="L222" s="78"/>
      <c r="M222" s="78"/>
      <c r="N222" s="78"/>
      <c r="O222" s="78"/>
      <c r="P222" s="78"/>
      <c r="Q222" s="78"/>
    </row>
    <row r="223" spans="5:17" s="20" customFormat="1" x14ac:dyDescent="0.2">
      <c r="E223" s="78"/>
      <c r="F223" s="78"/>
      <c r="G223" s="78"/>
      <c r="H223" s="78"/>
      <c r="I223" s="78"/>
      <c r="J223" s="78"/>
      <c r="K223" s="78"/>
      <c r="L223" s="78"/>
      <c r="M223" s="78"/>
      <c r="N223" s="78"/>
      <c r="O223" s="78"/>
      <c r="P223" s="78"/>
      <c r="Q223" s="78"/>
    </row>
    <row r="224" spans="5:17" s="20" customFormat="1" x14ac:dyDescent="0.2">
      <c r="E224" s="78"/>
      <c r="F224" s="78"/>
      <c r="G224" s="78"/>
      <c r="H224" s="78"/>
      <c r="I224" s="78"/>
      <c r="J224" s="78"/>
      <c r="K224" s="78"/>
      <c r="L224" s="78"/>
      <c r="M224" s="78"/>
      <c r="N224" s="78"/>
      <c r="O224" s="78"/>
      <c r="P224" s="78"/>
      <c r="Q224" s="78"/>
    </row>
    <row r="225" spans="5:17" s="20" customFormat="1" x14ac:dyDescent="0.2">
      <c r="E225" s="78"/>
      <c r="F225" s="78"/>
      <c r="G225" s="78"/>
      <c r="H225" s="78"/>
      <c r="I225" s="78"/>
      <c r="J225" s="78"/>
      <c r="K225" s="78"/>
      <c r="L225" s="78"/>
      <c r="M225" s="78"/>
      <c r="N225" s="78"/>
      <c r="O225" s="78"/>
      <c r="P225" s="78"/>
      <c r="Q225" s="78"/>
    </row>
    <row r="226" spans="5:17" s="20" customFormat="1" x14ac:dyDescent="0.2">
      <c r="E226" s="78"/>
      <c r="F226" s="78"/>
      <c r="G226" s="78"/>
      <c r="H226" s="78"/>
      <c r="I226" s="78"/>
      <c r="J226" s="78"/>
      <c r="K226" s="78"/>
      <c r="L226" s="78"/>
      <c r="M226" s="78"/>
      <c r="N226" s="78"/>
      <c r="O226" s="78"/>
      <c r="P226" s="78"/>
      <c r="Q226" s="78"/>
    </row>
    <row r="227" spans="5:17" s="20" customFormat="1" x14ac:dyDescent="0.2">
      <c r="E227" s="78"/>
      <c r="F227" s="78"/>
      <c r="G227" s="78"/>
      <c r="H227" s="78"/>
      <c r="I227" s="78"/>
      <c r="J227" s="78"/>
      <c r="K227" s="78"/>
      <c r="L227" s="78"/>
      <c r="M227" s="78"/>
      <c r="N227" s="78"/>
      <c r="O227" s="78"/>
      <c r="P227" s="78"/>
      <c r="Q227" s="78"/>
    </row>
    <row r="228" spans="5:17" s="20" customFormat="1" x14ac:dyDescent="0.2">
      <c r="E228" s="78"/>
      <c r="F228" s="78"/>
      <c r="G228" s="78"/>
      <c r="H228" s="78"/>
      <c r="I228" s="78"/>
      <c r="J228" s="78"/>
      <c r="K228" s="78"/>
      <c r="L228" s="78"/>
      <c r="M228" s="78"/>
      <c r="N228" s="78"/>
      <c r="O228" s="78"/>
      <c r="P228" s="78"/>
      <c r="Q228" s="78"/>
    </row>
    <row r="229" spans="5:17" s="20" customFormat="1" x14ac:dyDescent="0.2">
      <c r="E229" s="78"/>
      <c r="F229" s="78"/>
      <c r="G229" s="78"/>
      <c r="H229" s="78"/>
      <c r="I229" s="78"/>
      <c r="J229" s="78"/>
      <c r="K229" s="78"/>
      <c r="L229" s="78"/>
      <c r="M229" s="78"/>
      <c r="N229" s="78"/>
      <c r="O229" s="78"/>
      <c r="P229" s="78"/>
      <c r="Q229" s="78"/>
    </row>
    <row r="230" spans="5:17" s="20" customFormat="1" x14ac:dyDescent="0.2">
      <c r="E230" s="78"/>
      <c r="F230" s="78"/>
      <c r="G230" s="78"/>
      <c r="H230" s="78"/>
      <c r="I230" s="78"/>
      <c r="J230" s="78"/>
      <c r="K230" s="78"/>
      <c r="L230" s="78"/>
      <c r="M230" s="78"/>
      <c r="N230" s="78"/>
      <c r="O230" s="78"/>
      <c r="P230" s="78"/>
      <c r="Q230" s="78"/>
    </row>
    <row r="231" spans="5:17" s="20" customFormat="1" x14ac:dyDescent="0.2">
      <c r="E231" s="78"/>
      <c r="F231" s="78"/>
      <c r="G231" s="78"/>
      <c r="H231" s="78"/>
      <c r="I231" s="78"/>
      <c r="J231" s="78"/>
      <c r="K231" s="78"/>
      <c r="L231" s="78"/>
      <c r="M231" s="78"/>
      <c r="N231" s="78"/>
      <c r="O231" s="78"/>
      <c r="P231" s="78"/>
      <c r="Q231" s="78"/>
    </row>
    <row r="232" spans="5:17" s="20" customFormat="1" x14ac:dyDescent="0.2">
      <c r="E232" s="78"/>
      <c r="F232" s="78"/>
      <c r="G232" s="78"/>
      <c r="H232" s="78"/>
      <c r="I232" s="78"/>
      <c r="J232" s="78"/>
      <c r="K232" s="78"/>
      <c r="L232" s="78"/>
      <c r="M232" s="78"/>
      <c r="N232" s="78"/>
      <c r="O232" s="78"/>
      <c r="P232" s="78"/>
      <c r="Q232" s="78"/>
    </row>
    <row r="233" spans="5:17" s="20" customFormat="1" x14ac:dyDescent="0.2">
      <c r="E233" s="78"/>
      <c r="F233" s="78"/>
      <c r="G233" s="78"/>
      <c r="H233" s="78"/>
      <c r="I233" s="78"/>
      <c r="J233" s="78"/>
      <c r="K233" s="78"/>
      <c r="L233" s="78"/>
      <c r="M233" s="78"/>
      <c r="N233" s="78"/>
      <c r="O233" s="78"/>
      <c r="P233" s="78"/>
      <c r="Q233" s="78"/>
    </row>
    <row r="234" spans="5:17" s="20" customFormat="1" x14ac:dyDescent="0.2">
      <c r="E234" s="78"/>
      <c r="F234" s="78"/>
      <c r="G234" s="78"/>
      <c r="H234" s="78"/>
      <c r="I234" s="78"/>
      <c r="J234" s="78"/>
      <c r="K234" s="78"/>
      <c r="L234" s="78"/>
      <c r="M234" s="78"/>
      <c r="N234" s="78"/>
      <c r="O234" s="78"/>
      <c r="P234" s="78"/>
      <c r="Q234" s="78"/>
    </row>
    <row r="235" spans="5:17" s="20" customFormat="1" x14ac:dyDescent="0.2">
      <c r="E235" s="78"/>
      <c r="F235" s="78"/>
      <c r="G235" s="78"/>
      <c r="H235" s="78"/>
      <c r="I235" s="78"/>
      <c r="J235" s="78"/>
      <c r="K235" s="78"/>
      <c r="L235" s="78"/>
      <c r="M235" s="78"/>
      <c r="N235" s="78"/>
      <c r="O235" s="78"/>
      <c r="P235" s="78"/>
      <c r="Q235" s="78"/>
    </row>
    <row r="236" spans="5:17" s="20" customFormat="1" x14ac:dyDescent="0.2">
      <c r="E236" s="78"/>
      <c r="F236" s="78"/>
      <c r="G236" s="78"/>
      <c r="H236" s="78"/>
      <c r="I236" s="78"/>
      <c r="J236" s="78"/>
      <c r="K236" s="78"/>
      <c r="L236" s="78"/>
      <c r="M236" s="78"/>
      <c r="N236" s="78"/>
      <c r="O236" s="78"/>
      <c r="P236" s="78"/>
      <c r="Q236" s="78"/>
    </row>
    <row r="237" spans="5:17" s="20" customFormat="1" x14ac:dyDescent="0.2">
      <c r="E237" s="78"/>
      <c r="F237" s="78"/>
      <c r="G237" s="78"/>
      <c r="H237" s="78"/>
      <c r="I237" s="78"/>
      <c r="J237" s="78"/>
      <c r="K237" s="78"/>
      <c r="L237" s="78"/>
      <c r="M237" s="78"/>
      <c r="N237" s="78"/>
      <c r="O237" s="78"/>
      <c r="P237" s="78"/>
      <c r="Q237" s="78"/>
    </row>
    <row r="238" spans="5:17" s="20" customFormat="1" x14ac:dyDescent="0.2">
      <c r="E238" s="78"/>
      <c r="F238" s="78"/>
      <c r="G238" s="78"/>
      <c r="H238" s="78"/>
      <c r="I238" s="78"/>
      <c r="J238" s="78"/>
      <c r="K238" s="78"/>
      <c r="L238" s="78"/>
      <c r="M238" s="78"/>
      <c r="N238" s="78"/>
      <c r="O238" s="78"/>
      <c r="P238" s="78"/>
      <c r="Q238" s="78"/>
    </row>
    <row r="239" spans="5:17" s="20" customFormat="1" x14ac:dyDescent="0.2">
      <c r="E239" s="78"/>
      <c r="F239" s="78"/>
      <c r="G239" s="78"/>
      <c r="H239" s="78"/>
      <c r="I239" s="78"/>
      <c r="J239" s="78"/>
      <c r="K239" s="78"/>
      <c r="L239" s="78"/>
      <c r="M239" s="78"/>
      <c r="N239" s="78"/>
      <c r="O239" s="78"/>
      <c r="P239" s="78"/>
      <c r="Q239" s="78"/>
    </row>
    <row r="240" spans="5:17" s="20" customFormat="1" x14ac:dyDescent="0.2">
      <c r="E240" s="78"/>
      <c r="F240" s="78"/>
      <c r="G240" s="78"/>
      <c r="H240" s="78"/>
      <c r="I240" s="78"/>
      <c r="J240" s="78"/>
      <c r="K240" s="78"/>
      <c r="L240" s="78"/>
      <c r="M240" s="78"/>
      <c r="N240" s="78"/>
      <c r="O240" s="78"/>
      <c r="P240" s="78"/>
      <c r="Q240" s="78"/>
    </row>
    <row r="241" spans="5:17" s="20" customFormat="1" x14ac:dyDescent="0.2">
      <c r="E241" s="78"/>
      <c r="F241" s="78"/>
      <c r="G241" s="78"/>
      <c r="H241" s="78"/>
      <c r="I241" s="78"/>
      <c r="J241" s="78"/>
      <c r="K241" s="78"/>
      <c r="L241" s="78"/>
      <c r="M241" s="78"/>
      <c r="N241" s="78"/>
      <c r="O241" s="78"/>
      <c r="P241" s="78"/>
      <c r="Q241" s="78"/>
    </row>
    <row r="242" spans="5:17" s="20" customFormat="1" x14ac:dyDescent="0.2">
      <c r="E242" s="78"/>
      <c r="F242" s="78"/>
      <c r="G242" s="78"/>
      <c r="H242" s="78"/>
      <c r="I242" s="78"/>
      <c r="J242" s="78"/>
      <c r="K242" s="78"/>
      <c r="L242" s="78"/>
      <c r="M242" s="78"/>
      <c r="N242" s="78"/>
      <c r="O242" s="78"/>
      <c r="P242" s="78"/>
      <c r="Q242" s="78"/>
    </row>
    <row r="243" spans="5:17" s="20" customFormat="1" x14ac:dyDescent="0.2">
      <c r="E243" s="78"/>
      <c r="F243" s="78"/>
      <c r="G243" s="78"/>
      <c r="H243" s="78"/>
      <c r="I243" s="78"/>
      <c r="J243" s="78"/>
      <c r="K243" s="78"/>
      <c r="L243" s="78"/>
      <c r="M243" s="78"/>
      <c r="N243" s="78"/>
      <c r="O243" s="78"/>
      <c r="P243" s="78"/>
      <c r="Q243" s="78"/>
    </row>
    <row r="244" spans="5:17" s="20" customFormat="1" x14ac:dyDescent="0.2">
      <c r="E244" s="78"/>
      <c r="F244" s="78"/>
      <c r="G244" s="78"/>
      <c r="H244" s="78"/>
      <c r="I244" s="78"/>
      <c r="J244" s="78"/>
      <c r="K244" s="78"/>
      <c r="L244" s="78"/>
      <c r="M244" s="78"/>
      <c r="N244" s="78"/>
      <c r="O244" s="78"/>
      <c r="P244" s="78"/>
      <c r="Q244" s="78"/>
    </row>
    <row r="245" spans="5:17" s="20" customFormat="1" x14ac:dyDescent="0.2">
      <c r="E245" s="78"/>
      <c r="F245" s="78"/>
      <c r="G245" s="78"/>
      <c r="H245" s="78"/>
      <c r="I245" s="78"/>
      <c r="J245" s="78"/>
      <c r="K245" s="78"/>
      <c r="L245" s="78"/>
      <c r="M245" s="78"/>
      <c r="N245" s="78"/>
      <c r="O245" s="78"/>
      <c r="P245" s="78"/>
      <c r="Q245" s="78"/>
    </row>
    <row r="246" spans="5:17" s="20" customFormat="1" x14ac:dyDescent="0.2">
      <c r="E246" s="78"/>
      <c r="F246" s="78"/>
      <c r="G246" s="78"/>
      <c r="H246" s="78"/>
      <c r="I246" s="78"/>
      <c r="J246" s="78"/>
      <c r="K246" s="78"/>
      <c r="L246" s="78"/>
      <c r="M246" s="78"/>
      <c r="N246" s="78"/>
      <c r="O246" s="78"/>
      <c r="P246" s="78"/>
      <c r="Q246" s="78"/>
    </row>
    <row r="247" spans="5:17" s="20" customFormat="1" x14ac:dyDescent="0.2">
      <c r="E247" s="78"/>
      <c r="F247" s="78"/>
      <c r="G247" s="78"/>
      <c r="H247" s="78"/>
      <c r="I247" s="78"/>
      <c r="J247" s="78"/>
      <c r="K247" s="78"/>
      <c r="L247" s="78"/>
      <c r="M247" s="78"/>
      <c r="N247" s="78"/>
      <c r="O247" s="78"/>
      <c r="P247" s="78"/>
      <c r="Q247" s="78"/>
    </row>
    <row r="248" spans="5:17" s="20" customFormat="1" x14ac:dyDescent="0.2">
      <c r="E248" s="78"/>
      <c r="F248" s="78"/>
      <c r="G248" s="78"/>
      <c r="H248" s="78"/>
      <c r="I248" s="78"/>
      <c r="J248" s="78"/>
      <c r="K248" s="78"/>
      <c r="L248" s="78"/>
      <c r="M248" s="78"/>
      <c r="N248" s="78"/>
      <c r="O248" s="78"/>
      <c r="P248" s="78"/>
      <c r="Q248" s="78"/>
    </row>
    <row r="249" spans="5:17" s="20" customFormat="1" x14ac:dyDescent="0.2">
      <c r="E249" s="78"/>
      <c r="F249" s="78"/>
      <c r="G249" s="78"/>
      <c r="H249" s="78"/>
      <c r="I249" s="78"/>
      <c r="J249" s="78"/>
      <c r="K249" s="78"/>
      <c r="L249" s="78"/>
      <c r="M249" s="78"/>
      <c r="N249" s="78"/>
      <c r="O249" s="78"/>
      <c r="P249" s="78"/>
      <c r="Q249" s="78"/>
    </row>
    <row r="250" spans="5:17" s="20" customFormat="1" x14ac:dyDescent="0.2">
      <c r="E250" s="78"/>
      <c r="F250" s="78"/>
      <c r="G250" s="78"/>
      <c r="H250" s="78"/>
      <c r="I250" s="78"/>
      <c r="J250" s="78"/>
      <c r="K250" s="78"/>
      <c r="L250" s="78"/>
      <c r="M250" s="78"/>
      <c r="N250" s="78"/>
      <c r="O250" s="78"/>
      <c r="P250" s="78"/>
      <c r="Q250" s="78"/>
    </row>
    <row r="251" spans="5:17" s="20" customFormat="1" x14ac:dyDescent="0.2">
      <c r="E251" s="78"/>
      <c r="F251" s="78"/>
      <c r="G251" s="78"/>
      <c r="H251" s="78"/>
      <c r="I251" s="78"/>
      <c r="J251" s="78"/>
      <c r="K251" s="78"/>
      <c r="L251" s="78"/>
      <c r="M251" s="78"/>
      <c r="N251" s="78"/>
      <c r="O251" s="78"/>
      <c r="P251" s="78"/>
      <c r="Q251" s="78"/>
    </row>
    <row r="252" spans="5:17" s="20" customFormat="1" x14ac:dyDescent="0.2">
      <c r="E252" s="78"/>
      <c r="F252" s="78"/>
      <c r="G252" s="78"/>
      <c r="H252" s="78"/>
      <c r="I252" s="78"/>
      <c r="J252" s="78"/>
      <c r="K252" s="78"/>
      <c r="L252" s="78"/>
      <c r="M252" s="78"/>
      <c r="N252" s="78"/>
      <c r="O252" s="78"/>
      <c r="P252" s="78"/>
      <c r="Q252" s="78"/>
    </row>
    <row r="253" spans="5:17" s="20" customFormat="1" x14ac:dyDescent="0.2">
      <c r="E253" s="78"/>
      <c r="F253" s="78"/>
      <c r="G253" s="78"/>
      <c r="H253" s="78"/>
      <c r="I253" s="78"/>
      <c r="J253" s="78"/>
      <c r="K253" s="78"/>
      <c r="L253" s="78"/>
      <c r="M253" s="78"/>
      <c r="N253" s="78"/>
      <c r="O253" s="78"/>
      <c r="P253" s="78"/>
      <c r="Q253" s="78"/>
    </row>
    <row r="254" spans="5:17" s="20" customFormat="1" x14ac:dyDescent="0.2">
      <c r="E254" s="78"/>
      <c r="F254" s="78"/>
      <c r="G254" s="78"/>
      <c r="H254" s="78"/>
      <c r="I254" s="78"/>
      <c r="J254" s="78"/>
      <c r="K254" s="78"/>
      <c r="L254" s="78"/>
      <c r="M254" s="78"/>
      <c r="N254" s="78"/>
      <c r="O254" s="78"/>
      <c r="P254" s="78"/>
      <c r="Q254" s="78"/>
    </row>
    <row r="255" spans="5:17" s="20" customFormat="1" x14ac:dyDescent="0.2">
      <c r="E255" s="78"/>
      <c r="F255" s="78"/>
      <c r="G255" s="78"/>
      <c r="H255" s="78"/>
      <c r="I255" s="78"/>
      <c r="J255" s="78"/>
      <c r="K255" s="78"/>
      <c r="L255" s="78"/>
      <c r="M255" s="78"/>
      <c r="N255" s="78"/>
      <c r="O255" s="78"/>
      <c r="P255" s="78"/>
      <c r="Q255" s="78"/>
    </row>
    <row r="256" spans="5:17" s="20" customFormat="1" x14ac:dyDescent="0.2">
      <c r="E256" s="78"/>
      <c r="F256" s="78"/>
      <c r="G256" s="78"/>
      <c r="H256" s="78"/>
      <c r="I256" s="78"/>
      <c r="J256" s="78"/>
      <c r="K256" s="78"/>
      <c r="L256" s="78"/>
      <c r="M256" s="78"/>
      <c r="N256" s="78"/>
      <c r="O256" s="78"/>
      <c r="P256" s="78"/>
      <c r="Q256" s="78"/>
    </row>
    <row r="257" spans="5:17" s="20" customFormat="1" x14ac:dyDescent="0.2">
      <c r="E257" s="78"/>
      <c r="F257" s="78"/>
      <c r="G257" s="78"/>
      <c r="H257" s="78"/>
      <c r="I257" s="78"/>
      <c r="J257" s="78"/>
      <c r="K257" s="78"/>
      <c r="L257" s="78"/>
      <c r="M257" s="78"/>
      <c r="N257" s="78"/>
      <c r="O257" s="78"/>
      <c r="P257" s="78"/>
      <c r="Q257" s="78"/>
    </row>
    <row r="258" spans="5:17" s="20" customFormat="1" x14ac:dyDescent="0.2">
      <c r="E258" s="78"/>
      <c r="F258" s="78"/>
      <c r="G258" s="78"/>
      <c r="H258" s="78"/>
      <c r="I258" s="78"/>
      <c r="J258" s="78"/>
      <c r="K258" s="78"/>
      <c r="L258" s="78"/>
      <c r="M258" s="78"/>
      <c r="N258" s="78"/>
      <c r="O258" s="78"/>
      <c r="P258" s="78"/>
      <c r="Q258" s="78"/>
    </row>
    <row r="259" spans="5:17" s="20" customFormat="1" x14ac:dyDescent="0.2">
      <c r="E259" s="78"/>
      <c r="F259" s="78"/>
      <c r="G259" s="78"/>
      <c r="H259" s="78"/>
      <c r="I259" s="78"/>
      <c r="J259" s="78"/>
      <c r="K259" s="78"/>
      <c r="L259" s="78"/>
      <c r="M259" s="78"/>
      <c r="N259" s="78"/>
      <c r="O259" s="78"/>
      <c r="P259" s="78"/>
      <c r="Q259" s="78"/>
    </row>
    <row r="260" spans="5:17" s="20" customFormat="1" x14ac:dyDescent="0.2">
      <c r="E260" s="78"/>
      <c r="F260" s="78"/>
      <c r="G260" s="78"/>
      <c r="H260" s="78"/>
      <c r="I260" s="78"/>
      <c r="J260" s="78"/>
      <c r="K260" s="78"/>
      <c r="L260" s="78"/>
      <c r="M260" s="78"/>
      <c r="N260" s="78"/>
      <c r="O260" s="78"/>
      <c r="P260" s="78"/>
      <c r="Q260" s="78"/>
    </row>
    <row r="261" spans="5:17" s="20" customFormat="1" x14ac:dyDescent="0.2">
      <c r="E261" s="78"/>
      <c r="F261" s="78"/>
      <c r="G261" s="78"/>
      <c r="H261" s="78"/>
      <c r="I261" s="78"/>
      <c r="J261" s="78"/>
      <c r="K261" s="78"/>
      <c r="L261" s="78"/>
      <c r="M261" s="78"/>
      <c r="N261" s="78"/>
      <c r="O261" s="78"/>
      <c r="P261" s="78"/>
      <c r="Q261" s="78"/>
    </row>
    <row r="262" spans="5:17" s="20" customFormat="1" x14ac:dyDescent="0.2">
      <c r="E262" s="78"/>
      <c r="F262" s="78"/>
      <c r="G262" s="78"/>
      <c r="H262" s="78"/>
      <c r="I262" s="78"/>
      <c r="J262" s="78"/>
      <c r="K262" s="78"/>
      <c r="L262" s="78"/>
      <c r="M262" s="78"/>
      <c r="N262" s="78"/>
      <c r="O262" s="78"/>
      <c r="P262" s="78"/>
      <c r="Q262" s="78"/>
    </row>
    <row r="263" spans="5:17" s="20" customFormat="1" x14ac:dyDescent="0.2">
      <c r="E263" s="78"/>
      <c r="F263" s="78"/>
      <c r="G263" s="78"/>
      <c r="H263" s="78"/>
      <c r="I263" s="78"/>
      <c r="J263" s="78"/>
      <c r="K263" s="78"/>
      <c r="L263" s="78"/>
      <c r="M263" s="78"/>
      <c r="N263" s="78"/>
      <c r="O263" s="78"/>
      <c r="P263" s="78"/>
      <c r="Q263" s="78"/>
    </row>
    <row r="264" spans="5:17" s="20" customFormat="1" x14ac:dyDescent="0.2">
      <c r="E264" s="78"/>
      <c r="F264" s="78"/>
      <c r="G264" s="78"/>
      <c r="H264" s="78"/>
      <c r="I264" s="78"/>
      <c r="J264" s="78"/>
      <c r="K264" s="78"/>
      <c r="L264" s="78"/>
      <c r="M264" s="78"/>
      <c r="N264" s="78"/>
      <c r="O264" s="78"/>
      <c r="P264" s="78"/>
      <c r="Q264" s="78"/>
    </row>
    <row r="265" spans="5:17" s="20" customFormat="1" x14ac:dyDescent="0.2">
      <c r="E265" s="78"/>
      <c r="F265" s="78"/>
      <c r="G265" s="78"/>
      <c r="H265" s="78"/>
      <c r="I265" s="78"/>
      <c r="J265" s="78"/>
      <c r="K265" s="78"/>
      <c r="L265" s="78"/>
      <c r="M265" s="78"/>
      <c r="N265" s="78"/>
      <c r="O265" s="78"/>
      <c r="P265" s="78"/>
      <c r="Q265" s="78"/>
    </row>
    <row r="266" spans="5:17" s="20" customFormat="1" x14ac:dyDescent="0.2">
      <c r="E266" s="78"/>
      <c r="F266" s="78"/>
      <c r="G266" s="78"/>
      <c r="H266" s="78"/>
      <c r="I266" s="78"/>
      <c r="J266" s="78"/>
      <c r="K266" s="78"/>
      <c r="L266" s="78"/>
      <c r="M266" s="78"/>
      <c r="N266" s="78"/>
      <c r="O266" s="78"/>
      <c r="P266" s="78"/>
      <c r="Q266" s="78"/>
    </row>
    <row r="267" spans="5:17" s="20" customFormat="1" x14ac:dyDescent="0.2">
      <c r="E267" s="78"/>
      <c r="F267" s="78"/>
      <c r="G267" s="78"/>
      <c r="H267" s="78"/>
      <c r="I267" s="78"/>
      <c r="J267" s="78"/>
      <c r="K267" s="78"/>
      <c r="L267" s="78"/>
      <c r="M267" s="78"/>
      <c r="N267" s="78"/>
      <c r="O267" s="78"/>
      <c r="P267" s="78"/>
      <c r="Q267" s="78"/>
    </row>
    <row r="268" spans="5:17" s="20" customFormat="1" x14ac:dyDescent="0.2">
      <c r="E268" s="78"/>
      <c r="F268" s="78"/>
      <c r="G268" s="78"/>
      <c r="H268" s="78"/>
      <c r="I268" s="78"/>
      <c r="J268" s="78"/>
      <c r="K268" s="78"/>
      <c r="L268" s="78"/>
      <c r="M268" s="78"/>
      <c r="N268" s="78"/>
      <c r="O268" s="78"/>
      <c r="P268" s="78"/>
      <c r="Q268" s="78"/>
    </row>
    <row r="269" spans="5:17" s="20" customFormat="1" x14ac:dyDescent="0.2">
      <c r="E269" s="78"/>
      <c r="F269" s="78"/>
      <c r="G269" s="78"/>
      <c r="H269" s="78"/>
      <c r="I269" s="78"/>
      <c r="J269" s="78"/>
      <c r="K269" s="78"/>
      <c r="L269" s="78"/>
      <c r="M269" s="78"/>
      <c r="N269" s="78"/>
      <c r="O269" s="78"/>
      <c r="P269" s="78"/>
      <c r="Q269" s="78"/>
    </row>
    <row r="270" spans="5:17" s="20" customFormat="1" x14ac:dyDescent="0.2">
      <c r="E270" s="78"/>
      <c r="F270" s="78"/>
      <c r="G270" s="78"/>
      <c r="H270" s="78"/>
      <c r="I270" s="78"/>
      <c r="J270" s="78"/>
      <c r="K270" s="78"/>
      <c r="L270" s="78"/>
      <c r="M270" s="78"/>
      <c r="N270" s="78"/>
      <c r="O270" s="78"/>
      <c r="P270" s="78"/>
      <c r="Q270" s="78"/>
    </row>
    <row r="271" spans="5:17" s="20" customFormat="1" x14ac:dyDescent="0.2">
      <c r="E271" s="78"/>
      <c r="F271" s="78"/>
      <c r="G271" s="78"/>
      <c r="H271" s="78"/>
      <c r="I271" s="78"/>
      <c r="J271" s="78"/>
      <c r="K271" s="78"/>
      <c r="L271" s="78"/>
      <c r="M271" s="78"/>
      <c r="N271" s="78"/>
      <c r="O271" s="78"/>
      <c r="P271" s="78"/>
      <c r="Q271" s="78"/>
    </row>
    <row r="272" spans="5:17" s="20" customFormat="1" x14ac:dyDescent="0.2">
      <c r="E272" s="78"/>
      <c r="F272" s="78"/>
      <c r="G272" s="78"/>
      <c r="H272" s="78"/>
      <c r="I272" s="78"/>
      <c r="J272" s="78"/>
      <c r="K272" s="78"/>
      <c r="L272" s="78"/>
      <c r="M272" s="78"/>
      <c r="N272" s="78"/>
      <c r="O272" s="78"/>
      <c r="P272" s="78"/>
      <c r="Q272" s="78"/>
    </row>
    <row r="273" spans="5:17" s="20" customFormat="1" x14ac:dyDescent="0.2">
      <c r="E273" s="78"/>
      <c r="F273" s="78"/>
      <c r="G273" s="78"/>
      <c r="H273" s="78"/>
      <c r="I273" s="78"/>
      <c r="J273" s="78"/>
      <c r="K273" s="78"/>
      <c r="L273" s="78"/>
      <c r="M273" s="78"/>
      <c r="N273" s="78"/>
      <c r="O273" s="78"/>
      <c r="P273" s="78"/>
      <c r="Q273" s="78"/>
    </row>
    <row r="274" spans="5:17" s="20" customFormat="1" x14ac:dyDescent="0.2">
      <c r="E274" s="78"/>
      <c r="F274" s="78"/>
      <c r="G274" s="78"/>
      <c r="H274" s="78"/>
      <c r="I274" s="78"/>
      <c r="J274" s="78"/>
      <c r="K274" s="78"/>
      <c r="L274" s="78"/>
      <c r="M274" s="78"/>
      <c r="N274" s="78"/>
      <c r="O274" s="78"/>
      <c r="P274" s="78"/>
      <c r="Q274" s="78"/>
    </row>
    <row r="275" spans="5:17" s="20" customFormat="1" x14ac:dyDescent="0.2">
      <c r="E275" s="78"/>
      <c r="F275" s="78"/>
      <c r="G275" s="78"/>
      <c r="H275" s="78"/>
      <c r="I275" s="78"/>
      <c r="J275" s="78"/>
      <c r="K275" s="78"/>
      <c r="L275" s="78"/>
      <c r="M275" s="78"/>
      <c r="N275" s="78"/>
      <c r="O275" s="78"/>
      <c r="P275" s="78"/>
      <c r="Q275" s="78"/>
    </row>
    <row r="276" spans="5:17" s="20" customFormat="1" x14ac:dyDescent="0.2">
      <c r="E276" s="78"/>
      <c r="F276" s="78"/>
      <c r="G276" s="78"/>
      <c r="H276" s="78"/>
      <c r="I276" s="78"/>
      <c r="J276" s="78"/>
      <c r="K276" s="78"/>
      <c r="L276" s="78"/>
      <c r="M276" s="78"/>
      <c r="N276" s="78"/>
      <c r="O276" s="78"/>
      <c r="P276" s="78"/>
      <c r="Q276" s="78"/>
    </row>
    <row r="277" spans="5:17" s="20" customFormat="1" x14ac:dyDescent="0.2">
      <c r="E277" s="78"/>
      <c r="F277" s="78"/>
      <c r="G277" s="78"/>
      <c r="H277" s="78"/>
      <c r="I277" s="78"/>
      <c r="J277" s="78"/>
      <c r="K277" s="78"/>
      <c r="L277" s="78"/>
      <c r="M277" s="78"/>
      <c r="N277" s="78"/>
      <c r="O277" s="78"/>
      <c r="P277" s="78"/>
      <c r="Q277" s="78"/>
    </row>
    <row r="278" spans="5:17" s="20" customFormat="1" x14ac:dyDescent="0.2">
      <c r="E278" s="78"/>
      <c r="F278" s="78"/>
      <c r="G278" s="78"/>
      <c r="H278" s="78"/>
      <c r="I278" s="78"/>
      <c r="J278" s="78"/>
      <c r="K278" s="78"/>
      <c r="L278" s="78"/>
      <c r="M278" s="78"/>
      <c r="N278" s="78"/>
      <c r="O278" s="78"/>
      <c r="P278" s="78"/>
      <c r="Q278" s="78"/>
    </row>
    <row r="279" spans="5:17" s="20" customFormat="1" x14ac:dyDescent="0.2">
      <c r="E279" s="78"/>
      <c r="F279" s="78"/>
      <c r="G279" s="78"/>
      <c r="H279" s="78"/>
      <c r="I279" s="78"/>
      <c r="J279" s="78"/>
      <c r="K279" s="78"/>
      <c r="L279" s="78"/>
      <c r="M279" s="78"/>
      <c r="N279" s="78"/>
      <c r="O279" s="78"/>
      <c r="P279" s="78"/>
      <c r="Q279" s="78"/>
    </row>
    <row r="280" spans="5:17" s="20" customFormat="1" x14ac:dyDescent="0.2">
      <c r="E280" s="78"/>
      <c r="F280" s="78"/>
      <c r="G280" s="78"/>
      <c r="H280" s="78"/>
      <c r="I280" s="78"/>
      <c r="J280" s="78"/>
      <c r="K280" s="78"/>
      <c r="L280" s="78"/>
      <c r="M280" s="78"/>
      <c r="N280" s="78"/>
      <c r="O280" s="78"/>
      <c r="P280" s="78"/>
      <c r="Q280" s="78"/>
    </row>
    <row r="281" spans="5:17" s="20" customFormat="1" x14ac:dyDescent="0.2">
      <c r="E281" s="78"/>
      <c r="F281" s="78"/>
      <c r="G281" s="78"/>
      <c r="H281" s="78"/>
      <c r="I281" s="78"/>
      <c r="J281" s="78"/>
      <c r="K281" s="78"/>
      <c r="L281" s="78"/>
      <c r="M281" s="78"/>
      <c r="N281" s="78"/>
      <c r="O281" s="78"/>
      <c r="P281" s="78"/>
      <c r="Q281" s="78"/>
    </row>
    <row r="282" spans="5:17" s="20" customFormat="1" x14ac:dyDescent="0.2">
      <c r="E282" s="78"/>
      <c r="F282" s="78"/>
      <c r="G282" s="78"/>
      <c r="H282" s="78"/>
      <c r="I282" s="78"/>
      <c r="J282" s="78"/>
      <c r="K282" s="78"/>
      <c r="L282" s="78"/>
      <c r="M282" s="78"/>
      <c r="N282" s="78"/>
      <c r="O282" s="78"/>
      <c r="P282" s="78"/>
      <c r="Q282" s="78"/>
    </row>
    <row r="283" spans="5:17" s="20" customFormat="1" x14ac:dyDescent="0.2">
      <c r="E283" s="78"/>
      <c r="F283" s="78"/>
      <c r="G283" s="78"/>
      <c r="H283" s="78"/>
      <c r="I283" s="78"/>
      <c r="J283" s="78"/>
      <c r="K283" s="78"/>
      <c r="L283" s="78"/>
      <c r="M283" s="78"/>
      <c r="N283" s="78"/>
      <c r="O283" s="78"/>
      <c r="P283" s="78"/>
      <c r="Q283" s="78"/>
    </row>
    <row r="284" spans="5:17" s="20" customFormat="1" x14ac:dyDescent="0.2">
      <c r="E284" s="78"/>
      <c r="F284" s="78"/>
      <c r="G284" s="78"/>
      <c r="H284" s="78"/>
      <c r="I284" s="78"/>
      <c r="J284" s="78"/>
      <c r="K284" s="78"/>
      <c r="L284" s="78"/>
      <c r="M284" s="78"/>
      <c r="N284" s="78"/>
      <c r="O284" s="78"/>
      <c r="P284" s="78"/>
      <c r="Q284" s="78"/>
    </row>
    <row r="285" spans="5:17" s="20" customFormat="1" x14ac:dyDescent="0.2">
      <c r="E285" s="78"/>
      <c r="F285" s="78"/>
      <c r="G285" s="78"/>
      <c r="H285" s="78"/>
      <c r="I285" s="78"/>
      <c r="J285" s="78"/>
      <c r="K285" s="78"/>
      <c r="L285" s="78"/>
      <c r="M285" s="78"/>
      <c r="N285" s="78"/>
      <c r="O285" s="78"/>
      <c r="P285" s="78"/>
      <c r="Q285" s="78"/>
    </row>
    <row r="286" spans="5:17" s="20" customFormat="1" x14ac:dyDescent="0.2">
      <c r="E286" s="78"/>
      <c r="F286" s="78"/>
      <c r="G286" s="78"/>
      <c r="H286" s="78"/>
      <c r="I286" s="78"/>
      <c r="J286" s="78"/>
      <c r="K286" s="78"/>
      <c r="L286" s="78"/>
      <c r="M286" s="78"/>
      <c r="N286" s="78"/>
      <c r="O286" s="78"/>
      <c r="P286" s="78"/>
      <c r="Q286" s="78"/>
    </row>
    <row r="287" spans="5:17" s="20" customFormat="1" x14ac:dyDescent="0.2">
      <c r="E287" s="78"/>
      <c r="F287" s="78"/>
      <c r="G287" s="78"/>
      <c r="H287" s="78"/>
      <c r="I287" s="78"/>
      <c r="J287" s="78"/>
      <c r="K287" s="78"/>
      <c r="L287" s="78"/>
      <c r="M287" s="78"/>
      <c r="N287" s="78"/>
      <c r="O287" s="78"/>
      <c r="P287" s="78"/>
      <c r="Q287" s="78"/>
    </row>
    <row r="288" spans="5:17" s="20" customFormat="1" x14ac:dyDescent="0.2">
      <c r="E288" s="78"/>
      <c r="F288" s="78"/>
      <c r="G288" s="78"/>
      <c r="H288" s="78"/>
      <c r="I288" s="78"/>
      <c r="J288" s="78"/>
      <c r="K288" s="78"/>
      <c r="L288" s="78"/>
      <c r="M288" s="78"/>
      <c r="N288" s="78"/>
      <c r="O288" s="78"/>
      <c r="P288" s="78"/>
      <c r="Q288" s="78"/>
    </row>
    <row r="289" spans="5:17" s="20" customFormat="1" x14ac:dyDescent="0.2">
      <c r="E289" s="78"/>
      <c r="F289" s="78"/>
      <c r="G289" s="78"/>
      <c r="H289" s="78"/>
      <c r="I289" s="78"/>
      <c r="J289" s="78"/>
      <c r="K289" s="78"/>
      <c r="L289" s="78"/>
      <c r="M289" s="78"/>
      <c r="N289" s="78"/>
      <c r="O289" s="78"/>
      <c r="P289" s="78"/>
      <c r="Q289" s="78"/>
    </row>
    <row r="290" spans="5:17" s="20" customFormat="1" x14ac:dyDescent="0.2">
      <c r="E290" s="78"/>
      <c r="F290" s="78"/>
      <c r="G290" s="78"/>
      <c r="H290" s="78"/>
      <c r="I290" s="78"/>
      <c r="J290" s="78"/>
      <c r="K290" s="78"/>
      <c r="L290" s="78"/>
      <c r="M290" s="78"/>
      <c r="N290" s="78"/>
      <c r="O290" s="78"/>
      <c r="P290" s="78"/>
      <c r="Q290" s="78"/>
    </row>
    <row r="291" spans="5:17" s="20" customFormat="1" x14ac:dyDescent="0.2">
      <c r="E291" s="78"/>
      <c r="F291" s="78"/>
      <c r="G291" s="78"/>
      <c r="H291" s="78"/>
      <c r="I291" s="78"/>
      <c r="J291" s="78"/>
      <c r="K291" s="78"/>
      <c r="L291" s="78"/>
      <c r="M291" s="78"/>
      <c r="N291" s="78"/>
      <c r="O291" s="78"/>
      <c r="P291" s="78"/>
      <c r="Q291" s="78"/>
    </row>
    <row r="292" spans="5:17" s="20" customFormat="1" x14ac:dyDescent="0.2">
      <c r="E292" s="78"/>
      <c r="F292" s="78"/>
      <c r="G292" s="78"/>
      <c r="H292" s="78"/>
      <c r="I292" s="78"/>
      <c r="J292" s="78"/>
      <c r="K292" s="78"/>
      <c r="L292" s="78"/>
      <c r="M292" s="78"/>
      <c r="N292" s="78"/>
      <c r="O292" s="78"/>
      <c r="P292" s="78"/>
      <c r="Q292" s="78"/>
    </row>
    <row r="293" spans="5:17" s="20" customFormat="1" x14ac:dyDescent="0.2">
      <c r="E293" s="78"/>
      <c r="F293" s="78"/>
      <c r="G293" s="78"/>
      <c r="H293" s="78"/>
      <c r="I293" s="78"/>
      <c r="J293" s="78"/>
      <c r="K293" s="78"/>
      <c r="L293" s="78"/>
      <c r="M293" s="78"/>
      <c r="N293" s="78"/>
      <c r="O293" s="78"/>
      <c r="P293" s="78"/>
      <c r="Q293" s="78"/>
    </row>
    <row r="294" spans="5:17" s="20" customFormat="1" x14ac:dyDescent="0.2">
      <c r="E294" s="78"/>
      <c r="F294" s="78"/>
      <c r="G294" s="78"/>
      <c r="H294" s="78"/>
      <c r="I294" s="78"/>
      <c r="J294" s="78"/>
      <c r="K294" s="78"/>
      <c r="L294" s="78"/>
      <c r="M294" s="78"/>
      <c r="N294" s="78"/>
      <c r="O294" s="78"/>
      <c r="P294" s="78"/>
      <c r="Q294" s="78"/>
    </row>
    <row r="295" spans="5:17" s="20" customFormat="1" x14ac:dyDescent="0.2">
      <c r="E295" s="78"/>
      <c r="F295" s="78"/>
      <c r="G295" s="78"/>
      <c r="H295" s="78"/>
      <c r="I295" s="78"/>
      <c r="J295" s="78"/>
      <c r="K295" s="78"/>
      <c r="L295" s="78"/>
      <c r="M295" s="78"/>
      <c r="N295" s="78"/>
      <c r="O295" s="78"/>
      <c r="P295" s="78"/>
      <c r="Q295" s="78"/>
    </row>
    <row r="296" spans="5:17" s="20" customFormat="1" x14ac:dyDescent="0.2">
      <c r="E296" s="78"/>
      <c r="F296" s="78"/>
      <c r="G296" s="78"/>
      <c r="H296" s="78"/>
      <c r="I296" s="78"/>
      <c r="J296" s="78"/>
      <c r="K296" s="78"/>
      <c r="L296" s="78"/>
      <c r="M296" s="78"/>
      <c r="N296" s="78"/>
      <c r="O296" s="78"/>
      <c r="P296" s="78"/>
      <c r="Q296" s="78"/>
    </row>
    <row r="297" spans="5:17" s="20" customFormat="1" x14ac:dyDescent="0.2">
      <c r="E297" s="78"/>
      <c r="F297" s="78"/>
      <c r="G297" s="78"/>
      <c r="H297" s="78"/>
      <c r="I297" s="78"/>
      <c r="J297" s="78"/>
      <c r="K297" s="78"/>
      <c r="L297" s="78"/>
      <c r="M297" s="78"/>
      <c r="N297" s="78"/>
      <c r="O297" s="78"/>
      <c r="P297" s="78"/>
      <c r="Q297" s="78"/>
    </row>
    <row r="298" spans="5:17" s="20" customFormat="1" x14ac:dyDescent="0.2">
      <c r="E298" s="78"/>
      <c r="F298" s="78"/>
      <c r="G298" s="78"/>
      <c r="H298" s="78"/>
      <c r="I298" s="78"/>
      <c r="J298" s="78"/>
      <c r="K298" s="78"/>
      <c r="L298" s="78"/>
      <c r="M298" s="78"/>
      <c r="N298" s="78"/>
      <c r="O298" s="78"/>
      <c r="P298" s="78"/>
      <c r="Q298" s="78"/>
    </row>
    <row r="299" spans="5:17" s="20" customFormat="1" x14ac:dyDescent="0.2">
      <c r="E299" s="78"/>
      <c r="F299" s="78"/>
      <c r="G299" s="78"/>
      <c r="H299" s="78"/>
      <c r="I299" s="78"/>
      <c r="J299" s="78"/>
      <c r="K299" s="78"/>
      <c r="L299" s="78"/>
      <c r="M299" s="78"/>
      <c r="N299" s="78"/>
      <c r="O299" s="78"/>
      <c r="P299" s="78"/>
      <c r="Q299" s="78"/>
    </row>
    <row r="300" spans="5:17" s="20" customFormat="1" x14ac:dyDescent="0.2">
      <c r="E300" s="78"/>
      <c r="F300" s="78"/>
      <c r="G300" s="78"/>
      <c r="H300" s="78"/>
      <c r="I300" s="78"/>
      <c r="J300" s="78"/>
      <c r="K300" s="78"/>
      <c r="L300" s="78"/>
      <c r="M300" s="78"/>
      <c r="N300" s="78"/>
      <c r="O300" s="78"/>
      <c r="P300" s="78"/>
      <c r="Q300" s="78"/>
    </row>
    <row r="301" spans="5:17" s="20" customFormat="1" x14ac:dyDescent="0.2">
      <c r="E301" s="78"/>
      <c r="F301" s="78"/>
      <c r="G301" s="78"/>
      <c r="H301" s="78"/>
      <c r="I301" s="78"/>
      <c r="J301" s="78"/>
      <c r="K301" s="78"/>
      <c r="L301" s="78"/>
      <c r="M301" s="78"/>
      <c r="N301" s="78"/>
      <c r="O301" s="78"/>
      <c r="P301" s="78"/>
      <c r="Q301" s="78"/>
    </row>
    <row r="302" spans="5:17" s="20" customFormat="1" x14ac:dyDescent="0.2">
      <c r="E302" s="78"/>
      <c r="F302" s="78"/>
      <c r="G302" s="78"/>
      <c r="H302" s="78"/>
      <c r="I302" s="78"/>
      <c r="J302" s="78"/>
      <c r="K302" s="78"/>
      <c r="L302" s="78"/>
      <c r="M302" s="78"/>
      <c r="N302" s="78"/>
      <c r="O302" s="78"/>
      <c r="P302" s="78"/>
      <c r="Q302" s="78"/>
    </row>
    <row r="303" spans="5:17" s="20" customFormat="1" x14ac:dyDescent="0.2">
      <c r="E303" s="78"/>
      <c r="F303" s="78"/>
      <c r="G303" s="78"/>
      <c r="H303" s="78"/>
      <c r="I303" s="78"/>
      <c r="J303" s="78"/>
      <c r="K303" s="78"/>
      <c r="L303" s="78"/>
      <c r="M303" s="78"/>
      <c r="N303" s="78"/>
      <c r="O303" s="78"/>
      <c r="P303" s="78"/>
      <c r="Q303" s="78"/>
    </row>
    <row r="304" spans="5:17" s="20" customFormat="1" x14ac:dyDescent="0.2">
      <c r="E304" s="78"/>
      <c r="F304" s="78"/>
      <c r="G304" s="78"/>
      <c r="H304" s="78"/>
      <c r="I304" s="78"/>
      <c r="J304" s="78"/>
      <c r="K304" s="78"/>
      <c r="L304" s="78"/>
      <c r="M304" s="78"/>
      <c r="N304" s="78"/>
      <c r="O304" s="78"/>
      <c r="P304" s="78"/>
      <c r="Q304" s="78"/>
    </row>
    <row r="305" spans="5:17" s="20" customFormat="1" x14ac:dyDescent="0.2">
      <c r="E305" s="78"/>
      <c r="F305" s="78"/>
      <c r="G305" s="78"/>
      <c r="H305" s="78"/>
      <c r="I305" s="78"/>
      <c r="J305" s="78"/>
      <c r="K305" s="78"/>
      <c r="L305" s="78"/>
      <c r="M305" s="78"/>
      <c r="N305" s="78"/>
      <c r="O305" s="78"/>
      <c r="P305" s="78"/>
      <c r="Q305" s="78"/>
    </row>
    <row r="306" spans="5:17" s="20" customFormat="1" x14ac:dyDescent="0.2">
      <c r="E306" s="78"/>
      <c r="F306" s="78"/>
      <c r="G306" s="78"/>
      <c r="H306" s="78"/>
      <c r="I306" s="78"/>
      <c r="J306" s="78"/>
      <c r="K306" s="78"/>
      <c r="L306" s="78"/>
      <c r="M306" s="78"/>
      <c r="N306" s="78"/>
      <c r="O306" s="78"/>
      <c r="P306" s="78"/>
      <c r="Q306" s="78"/>
    </row>
    <row r="307" spans="5:17" s="20" customFormat="1" x14ac:dyDescent="0.2">
      <c r="E307" s="78"/>
      <c r="F307" s="78"/>
      <c r="G307" s="78"/>
      <c r="H307" s="78"/>
      <c r="I307" s="78"/>
      <c r="J307" s="78"/>
      <c r="K307" s="78"/>
      <c r="L307" s="78"/>
      <c r="M307" s="78"/>
      <c r="N307" s="78"/>
      <c r="O307" s="78"/>
      <c r="P307" s="78"/>
      <c r="Q307" s="78"/>
    </row>
    <row r="308" spans="5:17" s="20" customFormat="1" x14ac:dyDescent="0.2">
      <c r="E308" s="78"/>
      <c r="F308" s="78"/>
      <c r="G308" s="78"/>
      <c r="H308" s="78"/>
      <c r="I308" s="78"/>
      <c r="J308" s="78"/>
      <c r="K308" s="78"/>
      <c r="L308" s="78"/>
      <c r="M308" s="78"/>
      <c r="N308" s="78"/>
      <c r="O308" s="78"/>
      <c r="P308" s="78"/>
      <c r="Q308" s="78"/>
    </row>
    <row r="309" spans="5:17" s="20" customFormat="1" x14ac:dyDescent="0.2">
      <c r="E309" s="78"/>
      <c r="F309" s="78"/>
      <c r="G309" s="78"/>
      <c r="H309" s="78"/>
      <c r="I309" s="78"/>
      <c r="J309" s="78"/>
      <c r="K309" s="78"/>
      <c r="L309" s="78"/>
      <c r="M309" s="78"/>
      <c r="N309" s="78"/>
      <c r="O309" s="78"/>
      <c r="P309" s="78"/>
      <c r="Q309" s="78"/>
    </row>
    <row r="310" spans="5:17" s="20" customFormat="1" x14ac:dyDescent="0.2">
      <c r="E310" s="78"/>
      <c r="F310" s="78"/>
      <c r="G310" s="78"/>
      <c r="H310" s="78"/>
      <c r="I310" s="78"/>
      <c r="J310" s="78"/>
      <c r="K310" s="78"/>
      <c r="L310" s="78"/>
      <c r="M310" s="78"/>
      <c r="N310" s="78"/>
      <c r="O310" s="78"/>
      <c r="P310" s="78"/>
      <c r="Q310" s="78"/>
    </row>
    <row r="311" spans="5:17" s="20" customFormat="1" x14ac:dyDescent="0.2">
      <c r="E311" s="78"/>
      <c r="F311" s="78"/>
      <c r="G311" s="78"/>
      <c r="H311" s="78"/>
      <c r="I311" s="78"/>
      <c r="J311" s="78"/>
      <c r="K311" s="78"/>
      <c r="L311" s="78"/>
      <c r="M311" s="78"/>
      <c r="N311" s="78"/>
      <c r="O311" s="78"/>
      <c r="P311" s="78"/>
      <c r="Q311" s="78"/>
    </row>
    <row r="312" spans="5:17" s="20" customFormat="1" x14ac:dyDescent="0.2">
      <c r="E312" s="78"/>
      <c r="F312" s="78"/>
      <c r="G312" s="78"/>
      <c r="H312" s="78"/>
      <c r="I312" s="78"/>
      <c r="J312" s="78"/>
      <c r="K312" s="78"/>
      <c r="L312" s="78"/>
      <c r="M312" s="78"/>
      <c r="N312" s="78"/>
      <c r="O312" s="78"/>
      <c r="P312" s="78"/>
      <c r="Q312" s="78"/>
    </row>
    <row r="313" spans="5:17" s="20" customFormat="1" x14ac:dyDescent="0.2">
      <c r="E313" s="78"/>
      <c r="F313" s="78"/>
      <c r="G313" s="78"/>
      <c r="H313" s="78"/>
      <c r="I313" s="78"/>
      <c r="J313" s="78"/>
      <c r="K313" s="78"/>
      <c r="L313" s="78"/>
      <c r="M313" s="78"/>
      <c r="N313" s="78"/>
      <c r="O313" s="78"/>
      <c r="P313" s="78"/>
      <c r="Q313" s="78"/>
    </row>
    <row r="314" spans="5:17" s="20" customFormat="1" x14ac:dyDescent="0.2">
      <c r="E314" s="78"/>
      <c r="F314" s="78"/>
      <c r="G314" s="78"/>
      <c r="H314" s="78"/>
      <c r="I314" s="78"/>
      <c r="J314" s="78"/>
      <c r="K314" s="78"/>
      <c r="L314" s="78"/>
      <c r="M314" s="78"/>
      <c r="N314" s="78"/>
      <c r="O314" s="78"/>
      <c r="P314" s="78"/>
      <c r="Q314" s="78"/>
    </row>
    <row r="315" spans="5:17" s="20" customFormat="1" x14ac:dyDescent="0.2">
      <c r="E315" s="78"/>
      <c r="F315" s="78"/>
      <c r="G315" s="78"/>
      <c r="H315" s="78"/>
      <c r="I315" s="78"/>
      <c r="J315" s="78"/>
      <c r="K315" s="78"/>
      <c r="L315" s="78"/>
      <c r="M315" s="78"/>
      <c r="N315" s="78"/>
      <c r="O315" s="78"/>
      <c r="P315" s="78"/>
      <c r="Q315" s="78"/>
    </row>
    <row r="316" spans="5:17" s="20" customFormat="1" x14ac:dyDescent="0.2">
      <c r="E316" s="78"/>
      <c r="F316" s="78"/>
      <c r="G316" s="78"/>
      <c r="H316" s="78"/>
      <c r="I316" s="78"/>
      <c r="J316" s="78"/>
      <c r="K316" s="78"/>
      <c r="L316" s="78"/>
      <c r="M316" s="78"/>
      <c r="N316" s="78"/>
      <c r="O316" s="78"/>
      <c r="P316" s="78"/>
      <c r="Q316" s="78"/>
    </row>
    <row r="317" spans="5:17" s="20" customFormat="1" x14ac:dyDescent="0.2">
      <c r="E317" s="78"/>
      <c r="F317" s="78"/>
      <c r="G317" s="78"/>
      <c r="H317" s="78"/>
      <c r="I317" s="78"/>
      <c r="J317" s="78"/>
      <c r="K317" s="78"/>
      <c r="L317" s="78"/>
      <c r="M317" s="78"/>
      <c r="N317" s="78"/>
      <c r="O317" s="78"/>
      <c r="P317" s="78"/>
      <c r="Q317" s="78"/>
    </row>
    <row r="318" spans="5:17" s="20" customFormat="1" x14ac:dyDescent="0.2">
      <c r="E318" s="78"/>
      <c r="F318" s="78"/>
      <c r="G318" s="78"/>
      <c r="H318" s="78"/>
      <c r="I318" s="78"/>
      <c r="J318" s="78"/>
      <c r="K318" s="78"/>
      <c r="L318" s="78"/>
      <c r="M318" s="78"/>
      <c r="N318" s="78"/>
      <c r="O318" s="78"/>
      <c r="P318" s="78"/>
      <c r="Q318" s="78"/>
    </row>
    <row r="319" spans="5:17" s="20" customFormat="1" x14ac:dyDescent="0.2">
      <c r="E319" s="78"/>
      <c r="F319" s="78"/>
      <c r="G319" s="78"/>
      <c r="H319" s="78"/>
      <c r="I319" s="78"/>
      <c r="J319" s="78"/>
      <c r="K319" s="78"/>
      <c r="L319" s="78"/>
      <c r="M319" s="78"/>
      <c r="N319" s="78"/>
      <c r="O319" s="78"/>
      <c r="P319" s="78"/>
      <c r="Q319" s="78"/>
    </row>
    <row r="320" spans="5:17" s="20" customFormat="1" x14ac:dyDescent="0.2">
      <c r="E320" s="78"/>
      <c r="F320" s="78"/>
      <c r="G320" s="78"/>
      <c r="H320" s="78"/>
      <c r="I320" s="78"/>
      <c r="J320" s="78"/>
      <c r="K320" s="78"/>
      <c r="L320" s="78"/>
      <c r="M320" s="78"/>
      <c r="N320" s="78"/>
      <c r="O320" s="78"/>
      <c r="P320" s="78"/>
      <c r="Q320" s="78"/>
    </row>
    <row r="321" spans="5:17" s="20" customFormat="1" x14ac:dyDescent="0.2">
      <c r="E321" s="78"/>
      <c r="F321" s="78"/>
      <c r="G321" s="78"/>
      <c r="H321" s="78"/>
      <c r="I321" s="78"/>
      <c r="J321" s="78"/>
      <c r="K321" s="78"/>
      <c r="L321" s="78"/>
      <c r="M321" s="78"/>
      <c r="N321" s="78"/>
      <c r="O321" s="78"/>
      <c r="P321" s="78"/>
      <c r="Q321" s="78"/>
    </row>
    <row r="322" spans="5:17" s="20" customFormat="1" x14ac:dyDescent="0.2">
      <c r="E322" s="78"/>
      <c r="F322" s="78"/>
      <c r="G322" s="78"/>
      <c r="H322" s="78"/>
      <c r="I322" s="78"/>
      <c r="J322" s="78"/>
      <c r="K322" s="78"/>
      <c r="L322" s="78"/>
      <c r="M322" s="78"/>
      <c r="N322" s="78"/>
      <c r="O322" s="78"/>
      <c r="P322" s="78"/>
      <c r="Q322" s="78"/>
    </row>
    <row r="323" spans="5:17" s="20" customFormat="1" x14ac:dyDescent="0.2">
      <c r="E323" s="78"/>
      <c r="F323" s="78"/>
      <c r="G323" s="78"/>
      <c r="H323" s="78"/>
      <c r="I323" s="78"/>
      <c r="J323" s="78"/>
      <c r="K323" s="78"/>
      <c r="L323" s="78"/>
      <c r="M323" s="78"/>
      <c r="N323" s="78"/>
      <c r="O323" s="78"/>
      <c r="P323" s="78"/>
      <c r="Q323" s="78"/>
    </row>
    <row r="324" spans="5:17" s="20" customFormat="1" x14ac:dyDescent="0.2">
      <c r="E324" s="78"/>
      <c r="F324" s="78"/>
      <c r="G324" s="78"/>
      <c r="H324" s="78"/>
      <c r="I324" s="78"/>
      <c r="J324" s="78"/>
      <c r="K324" s="78"/>
      <c r="L324" s="78"/>
      <c r="M324" s="78"/>
      <c r="N324" s="78"/>
      <c r="O324" s="78"/>
      <c r="P324" s="78"/>
      <c r="Q324" s="78"/>
    </row>
    <row r="325" spans="5:17" s="20" customFormat="1" x14ac:dyDescent="0.2">
      <c r="E325" s="78"/>
      <c r="F325" s="78"/>
      <c r="G325" s="78"/>
      <c r="H325" s="78"/>
      <c r="I325" s="78"/>
      <c r="J325" s="78"/>
      <c r="K325" s="78"/>
      <c r="L325" s="78"/>
      <c r="M325" s="78"/>
      <c r="N325" s="78"/>
      <c r="O325" s="78"/>
      <c r="P325" s="78"/>
      <c r="Q325" s="78"/>
    </row>
  </sheetData>
  <phoneticPr fontId="0" type="noConversion"/>
  <pageMargins left="0.75" right="0.75" top="1" bottom="1" header="0.5" footer="0.5"/>
  <pageSetup scale="88" orientation="portrait" r:id="rId1"/>
  <headerFooter alignWithMargins="0">
    <oddFooter>&amp;C&amp;F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5"/>
    <pageSetUpPr fitToPage="1"/>
  </sheetPr>
  <dimension ref="A1:AA95"/>
  <sheetViews>
    <sheetView workbookViewId="0">
      <pane xSplit="2" ySplit="6" topLeftCell="O22" activePane="bottomRight" state="frozen"/>
      <selection activeCell="EX52" sqref="EX52:FI53"/>
      <selection pane="topRight" activeCell="EX52" sqref="EX52:FI53"/>
      <selection pane="bottomLeft" activeCell="EX52" sqref="EX52:FI53"/>
      <selection pane="bottomRight" activeCell="Q78" sqref="Q78"/>
    </sheetView>
  </sheetViews>
  <sheetFormatPr defaultRowHeight="10.199999999999999" x14ac:dyDescent="0.2"/>
  <cols>
    <col min="1" max="1" width="41.28515625" bestFit="1" customWidth="1"/>
    <col min="2" max="2" width="12.42578125" bestFit="1" customWidth="1"/>
    <col min="3" max="14" width="0" style="78" hidden="1" customWidth="1"/>
    <col min="15" max="26" width="9.28515625" style="78"/>
  </cols>
  <sheetData>
    <row r="1" spans="1:27" x14ac:dyDescent="0.2">
      <c r="A1" s="5"/>
      <c r="B1" s="6"/>
    </row>
    <row r="2" spans="1:27" x14ac:dyDescent="0.2">
      <c r="A2" s="5" t="s">
        <v>221</v>
      </c>
      <c r="B2" s="6"/>
      <c r="C2" s="76"/>
      <c r="D2" s="76"/>
      <c r="E2" s="76"/>
      <c r="F2" s="76"/>
      <c r="G2" s="76"/>
      <c r="H2" s="76"/>
      <c r="I2" s="76"/>
      <c r="J2" s="76"/>
      <c r="K2" s="76"/>
      <c r="L2" s="76"/>
      <c r="M2" s="76"/>
      <c r="N2" s="76"/>
      <c r="O2" s="76"/>
      <c r="P2" s="76"/>
      <c r="Q2" s="76"/>
      <c r="R2" s="76"/>
      <c r="S2" s="76"/>
      <c r="T2" s="76"/>
      <c r="U2" s="76"/>
      <c r="V2" s="76"/>
      <c r="W2" s="76"/>
      <c r="X2" s="76"/>
      <c r="Y2" s="76"/>
      <c r="Z2" s="76"/>
    </row>
    <row r="3" spans="1:27" x14ac:dyDescent="0.2">
      <c r="B3" s="1" t="s">
        <v>2</v>
      </c>
      <c r="C3" s="11"/>
      <c r="D3" s="11"/>
      <c r="E3" s="11"/>
      <c r="F3" s="11"/>
      <c r="G3" s="11"/>
      <c r="H3" s="11"/>
      <c r="I3" s="11"/>
      <c r="J3" s="11"/>
      <c r="K3" s="11"/>
      <c r="L3" s="11"/>
      <c r="M3" s="11"/>
      <c r="N3" s="11"/>
      <c r="O3" s="11"/>
      <c r="P3" s="11"/>
      <c r="Q3" s="11"/>
      <c r="R3" s="11"/>
      <c r="S3" s="11"/>
      <c r="T3" s="11"/>
      <c r="U3" s="11"/>
      <c r="V3" s="11"/>
      <c r="W3" s="11"/>
      <c r="X3" s="11"/>
      <c r="Y3" s="11"/>
      <c r="Z3" s="11"/>
    </row>
    <row r="4" spans="1:27" x14ac:dyDescent="0.2">
      <c r="A4" s="5"/>
      <c r="B4" s="6"/>
    </row>
    <row r="5" spans="1:27" x14ac:dyDescent="0.2">
      <c r="A5" s="5"/>
      <c r="B5" s="6"/>
    </row>
    <row r="6" spans="1:27" x14ac:dyDescent="0.2">
      <c r="A6" s="5" t="s">
        <v>0</v>
      </c>
      <c r="B6" s="6"/>
      <c r="C6" s="66">
        <f>+'Detailed Assumps'!C2</f>
        <v>45307</v>
      </c>
      <c r="D6" s="66">
        <f>+'Detailed Assumps'!D2</f>
        <v>45338</v>
      </c>
      <c r="E6" s="66">
        <f>+'Detailed Assumps'!E2</f>
        <v>45366</v>
      </c>
      <c r="F6" s="66">
        <f>+'Detailed Assumps'!F2</f>
        <v>45397</v>
      </c>
      <c r="G6" s="66">
        <f>+'Detailed Assumps'!G2</f>
        <v>45427</v>
      </c>
      <c r="H6" s="66">
        <f>+'Detailed Assumps'!H2</f>
        <v>45458</v>
      </c>
      <c r="I6" s="66">
        <f>+'Detailed Assumps'!I2</f>
        <v>45488</v>
      </c>
      <c r="J6" s="66">
        <f>+'Detailed Assumps'!J2</f>
        <v>45519</v>
      </c>
      <c r="K6" s="66">
        <f>+'Detailed Assumps'!K2</f>
        <v>45550</v>
      </c>
      <c r="L6" s="66">
        <f>+'Detailed Assumps'!L2</f>
        <v>45580</v>
      </c>
      <c r="M6" s="66">
        <f>+'Detailed Assumps'!M2</f>
        <v>45611</v>
      </c>
      <c r="N6" s="66">
        <f>+'Detailed Assumps'!N2</f>
        <v>45641</v>
      </c>
      <c r="O6" s="66">
        <f>+'Detailed Assumps'!O2</f>
        <v>45673</v>
      </c>
      <c r="P6" s="66">
        <f>+'Detailed Assumps'!P2</f>
        <v>45704</v>
      </c>
      <c r="Q6" s="66">
        <f>+'Detailed Assumps'!Q2</f>
        <v>45732</v>
      </c>
      <c r="R6" s="66">
        <f>+'Detailed Assumps'!R2</f>
        <v>45763</v>
      </c>
      <c r="S6" s="66">
        <f>+'Detailed Assumps'!S2</f>
        <v>45793</v>
      </c>
      <c r="T6" s="66">
        <f>+'Detailed Assumps'!T2</f>
        <v>45824</v>
      </c>
      <c r="U6" s="66">
        <f>+'Detailed Assumps'!U2</f>
        <v>45854</v>
      </c>
      <c r="V6" s="66">
        <f>+'Detailed Assumps'!V2</f>
        <v>45885</v>
      </c>
      <c r="W6" s="66">
        <f>+'Detailed Assumps'!W2</f>
        <v>45916</v>
      </c>
      <c r="X6" s="66">
        <f>+'Detailed Assumps'!X2</f>
        <v>45946</v>
      </c>
      <c r="Y6" s="66">
        <f>+'Detailed Assumps'!Y2</f>
        <v>45977</v>
      </c>
      <c r="Z6" s="66">
        <f>+'Detailed Assumps'!Z2</f>
        <v>46007</v>
      </c>
      <c r="AA6">
        <v>2025</v>
      </c>
    </row>
    <row r="7" spans="1:27" x14ac:dyDescent="0.2">
      <c r="A7" s="71" t="str">
        <f>+'$'!C7</f>
        <v>Delvin Warner</v>
      </c>
      <c r="B7" s="69"/>
      <c r="C7" s="22">
        <f>+'Detailed Assumps'!C389</f>
        <v>6.5990000000000002</v>
      </c>
      <c r="D7" s="22">
        <f>+'Detailed Assumps'!D389</f>
        <v>5.57</v>
      </c>
      <c r="E7" s="22">
        <f>+'Detailed Assumps'!E389</f>
        <v>6.6020000000000003</v>
      </c>
      <c r="F7" s="22">
        <f>+'Detailed Assumps'!F389</f>
        <v>8.8140000000000001</v>
      </c>
      <c r="G7" s="22">
        <f>+'Detailed Assumps'!G389</f>
        <v>3.2</v>
      </c>
      <c r="H7" s="22">
        <f>+'Detailed Assumps'!H389</f>
        <v>5.1639999999999997</v>
      </c>
      <c r="I7" s="22">
        <f>+'Detailed Assumps'!I389</f>
        <v>2.8740000000000001</v>
      </c>
      <c r="J7" s="22">
        <f>+'Detailed Assumps'!J389</f>
        <v>1.964</v>
      </c>
      <c r="K7" s="22">
        <f>+'Detailed Assumps'!K389</f>
        <v>2.7360000000000002</v>
      </c>
      <c r="L7" s="22">
        <f>+'Detailed Assumps'!L389</f>
        <v>3.85</v>
      </c>
      <c r="M7" s="22">
        <f>+'Detailed Assumps'!M389</f>
        <v>5.6639999999999997</v>
      </c>
      <c r="N7" s="22">
        <f>+'Detailed Assumps'!N389</f>
        <v>6.992</v>
      </c>
      <c r="O7" s="22">
        <f>+'Detailed Assumps'!O389</f>
        <v>6.1630000000000003</v>
      </c>
      <c r="P7" s="22">
        <f>+'Detailed Assumps'!P389</f>
        <v>5.3150000000000004</v>
      </c>
      <c r="Q7" s="22">
        <f>+'Detailed Assumps'!Q389</f>
        <v>8.8699999999999992</v>
      </c>
      <c r="R7" s="22">
        <f>+'Detailed Assumps'!R389</f>
        <v>8.4670000000000005</v>
      </c>
      <c r="S7" s="22">
        <f>+'Detailed Assumps'!S389</f>
        <v>3.548</v>
      </c>
      <c r="T7" s="22">
        <f>+'Detailed Assumps'!T389</f>
        <v>4.8390000000000004</v>
      </c>
      <c r="U7" s="22">
        <f>+'Detailed Assumps'!U389</f>
        <v>6.5609999999999999</v>
      </c>
      <c r="V7" s="22">
        <f>+'Detailed Assumps'!V389</f>
        <v>2.73</v>
      </c>
      <c r="W7" s="22">
        <f>+'Detailed Assumps'!W389</f>
        <v>3.2450000000000001</v>
      </c>
      <c r="X7" s="22">
        <f>+'Detailed Assumps'!X389</f>
        <v>4.4050000000000002</v>
      </c>
      <c r="Y7" s="22">
        <f>+'Detailed Assumps'!Y389</f>
        <v>6.125</v>
      </c>
      <c r="Z7" s="22">
        <f>+'Detailed Assumps'!Z389</f>
        <v>3.7570000000000001</v>
      </c>
      <c r="AA7" s="8">
        <f>SUM(O7:Z7)</f>
        <v>64.024999999999991</v>
      </c>
    </row>
    <row r="8" spans="1:27" x14ac:dyDescent="0.2">
      <c r="A8" s="70" t="str">
        <f>+'$'!C8</f>
        <v>Arlon Warner</v>
      </c>
      <c r="B8" s="68"/>
      <c r="C8" s="22">
        <f>+'Detailed Assumps'!C394</f>
        <v>6.6360000000000001</v>
      </c>
      <c r="D8" s="22">
        <f>+'Detailed Assumps'!D394</f>
        <v>7.0110000000000001</v>
      </c>
      <c r="E8" s="22">
        <f>+'Detailed Assumps'!E394</f>
        <v>8.7200000000000006</v>
      </c>
      <c r="F8" s="22">
        <f>+'Detailed Assumps'!F394</f>
        <v>13.276999999999999</v>
      </c>
      <c r="G8" s="22">
        <f>+'Detailed Assumps'!G394</f>
        <v>7.4429999999999996</v>
      </c>
      <c r="H8" s="22">
        <f>+'Detailed Assumps'!H394</f>
        <v>3.9420000000000002</v>
      </c>
      <c r="I8" s="22">
        <f>+'Detailed Assumps'!I394</f>
        <v>7.266</v>
      </c>
      <c r="J8" s="22">
        <f>+'Detailed Assumps'!J394</f>
        <v>0.21099999999999999</v>
      </c>
      <c r="K8" s="22">
        <f>+'Detailed Assumps'!K394</f>
        <v>6.1429999999999998</v>
      </c>
      <c r="L8" s="22">
        <f>+'Detailed Assumps'!L394</f>
        <v>9.8230000000000004</v>
      </c>
      <c r="M8" s="22">
        <f>+'Detailed Assumps'!M394</f>
        <v>11.869</v>
      </c>
      <c r="N8" s="22">
        <f>+'Detailed Assumps'!N394</f>
        <v>10.47</v>
      </c>
      <c r="O8" s="22">
        <f>+'Detailed Assumps'!O394</f>
        <v>2.7709999999999999</v>
      </c>
      <c r="P8" s="22">
        <f>+'Detailed Assumps'!P394</f>
        <v>1.226</v>
      </c>
      <c r="Q8" s="22">
        <f>+'Detailed Assumps'!Q394</f>
        <v>6.6079999999999997</v>
      </c>
      <c r="R8" s="22">
        <f>+'Detailed Assumps'!R394</f>
        <v>8.7200000000000006</v>
      </c>
      <c r="S8" s="22">
        <f>+'Detailed Assumps'!S394</f>
        <v>5.718</v>
      </c>
      <c r="T8" s="22">
        <f>+'Detailed Assumps'!T394</f>
        <v>8.6720000000000006</v>
      </c>
      <c r="U8" s="22">
        <f>+'Detailed Assumps'!U394</f>
        <v>9.2799999999999994</v>
      </c>
      <c r="V8" s="22">
        <f>+'Detailed Assumps'!V394</f>
        <v>10.022</v>
      </c>
      <c r="W8" s="22">
        <f>+'Detailed Assumps'!W394</f>
        <v>9.0120000000000005</v>
      </c>
      <c r="X8" s="22">
        <f>+'Detailed Assumps'!X394</f>
        <v>9.0500000000000007</v>
      </c>
      <c r="Y8" s="22">
        <f>+'Detailed Assumps'!Y394</f>
        <v>12.472</v>
      </c>
      <c r="Z8" s="22">
        <f>+'Detailed Assumps'!Z394</f>
        <v>10.718</v>
      </c>
      <c r="AA8" s="8">
        <f t="shared" ref="AA8:AA71" si="0">SUM(O8:Z8)</f>
        <v>94.269000000000005</v>
      </c>
    </row>
    <row r="9" spans="1:27" x14ac:dyDescent="0.2">
      <c r="A9" s="2" t="str">
        <f>+'$'!C9</f>
        <v>Total SPEED $</v>
      </c>
      <c r="B9" s="1" t="s">
        <v>2</v>
      </c>
      <c r="C9" s="22">
        <f>+'Detailed Assumps'!C371</f>
        <v>0</v>
      </c>
      <c r="D9" s="22">
        <f>+'Detailed Assumps'!D371</f>
        <v>0</v>
      </c>
      <c r="E9" s="22">
        <f>+'Detailed Assumps'!E371</f>
        <v>0</v>
      </c>
      <c r="F9" s="22">
        <f>+'Detailed Assumps'!F371</f>
        <v>0</v>
      </c>
      <c r="G9" s="22">
        <f>+'Detailed Assumps'!G371</f>
        <v>0</v>
      </c>
      <c r="H9" s="22">
        <f>+'Detailed Assumps'!H371</f>
        <v>0</v>
      </c>
      <c r="I9" s="22">
        <f>+'Detailed Assumps'!I371</f>
        <v>0</v>
      </c>
      <c r="J9" s="22">
        <f>+'Detailed Assumps'!J371</f>
        <v>0</v>
      </c>
      <c r="K9" s="22">
        <f>+'Detailed Assumps'!K371</f>
        <v>0</v>
      </c>
      <c r="L9" s="22">
        <f>+'Detailed Assumps'!L371</f>
        <v>0</v>
      </c>
      <c r="M9" s="22">
        <f>+'Detailed Assumps'!M371</f>
        <v>0</v>
      </c>
      <c r="N9" s="22">
        <f>+'Detailed Assumps'!N371</f>
        <v>0</v>
      </c>
      <c r="O9" s="22">
        <f>+'Detailed Assumps'!O371</f>
        <v>0</v>
      </c>
      <c r="P9" s="22">
        <f>+'Detailed Assumps'!P371</f>
        <v>0</v>
      </c>
      <c r="Q9" s="22">
        <f>+'Detailed Assumps'!Q371</f>
        <v>0</v>
      </c>
      <c r="R9" s="22">
        <f>+'Detailed Assumps'!R371</f>
        <v>0</v>
      </c>
      <c r="S9" s="22">
        <f>+'Detailed Assumps'!S371</f>
        <v>0</v>
      </c>
      <c r="T9" s="22">
        <f>+'Detailed Assumps'!T371</f>
        <v>0</v>
      </c>
      <c r="U9" s="22">
        <f>+'Detailed Assumps'!U371</f>
        <v>0</v>
      </c>
      <c r="V9" s="22">
        <f>+'Detailed Assumps'!V371</f>
        <v>0</v>
      </c>
      <c r="W9" s="22">
        <f>+'Detailed Assumps'!W371</f>
        <v>0</v>
      </c>
      <c r="X9" s="22">
        <f>+'Detailed Assumps'!X371</f>
        <v>0</v>
      </c>
      <c r="Y9" s="22">
        <f>+'Detailed Assumps'!Y371</f>
        <v>0</v>
      </c>
      <c r="Z9" s="22">
        <f>+'Detailed Assumps'!Z371</f>
        <v>0</v>
      </c>
      <c r="AA9" s="8">
        <f t="shared" si="0"/>
        <v>0</v>
      </c>
    </row>
    <row r="10" spans="1:27" x14ac:dyDescent="0.2">
      <c r="A10" s="2" t="str">
        <f>+'$'!C10</f>
        <v>Encore - Alburgh</v>
      </c>
      <c r="B10" s="1"/>
      <c r="C10" s="22">
        <f>+'Detailed Assumps'!C402</f>
        <v>82.368815302608866</v>
      </c>
      <c r="D10" s="22">
        <f>+'Detailed Assumps'!D402</f>
        <v>102.47426660327568</v>
      </c>
      <c r="E10" s="22">
        <f>+'Detailed Assumps'!E402</f>
        <v>142.61874440136083</v>
      </c>
      <c r="F10" s="22">
        <f>+'Detailed Assumps'!F402</f>
        <v>152.29775698790357</v>
      </c>
      <c r="G10" s="22">
        <f>+'Detailed Assumps'!G402</f>
        <v>175.3939009489327</v>
      </c>
      <c r="H10" s="22">
        <f>+'Detailed Assumps'!H402</f>
        <v>170.52825016689701</v>
      </c>
      <c r="I10" s="22">
        <f>+'Detailed Assumps'!I402</f>
        <v>172.49898341085586</v>
      </c>
      <c r="J10" s="22">
        <f>+'Detailed Assumps'!J402</f>
        <v>163.7149481188651</v>
      </c>
      <c r="K10" s="22">
        <f>+'Detailed Assumps'!K402</f>
        <v>130.71321103075522</v>
      </c>
      <c r="L10" s="22">
        <f>+'Detailed Assumps'!L402</f>
        <v>103.13286483135056</v>
      </c>
      <c r="M10" s="22">
        <f>+'Detailed Assumps'!M402</f>
        <v>63.569064727890698</v>
      </c>
      <c r="N10" s="22">
        <f>+'Detailed Assumps'!N402</f>
        <v>57.920504934503356</v>
      </c>
      <c r="O10" s="22">
        <f>+'Detailed Assumps'!O402</f>
        <v>28.8</v>
      </c>
      <c r="P10" s="22">
        <f>+'Detailed Assumps'!P402</f>
        <v>86.4</v>
      </c>
      <c r="Q10" s="22">
        <f>+'Detailed Assumps'!Q402</f>
        <v>117.6</v>
      </c>
      <c r="R10" s="22">
        <f>+'Detailed Assumps'!R402</f>
        <v>132</v>
      </c>
      <c r="S10" s="22">
        <f>+'Detailed Assumps'!S402</f>
        <v>168</v>
      </c>
      <c r="T10" s="22">
        <f>+'Detailed Assumps'!T402</f>
        <v>156</v>
      </c>
      <c r="U10" s="22">
        <f>+'Detailed Assumps'!U402</f>
        <v>146.4</v>
      </c>
      <c r="V10" s="22">
        <f>+'Detailed Assumps'!V402</f>
        <v>151.19999999999999</v>
      </c>
      <c r="W10" s="22">
        <f>+'Detailed Assumps'!W402</f>
        <v>136.80000000000001</v>
      </c>
      <c r="X10" s="22">
        <f>+'Detailed Assumps'!X402</f>
        <v>76.8</v>
      </c>
      <c r="Y10" s="22">
        <f>+'Detailed Assumps'!Y402</f>
        <v>60</v>
      </c>
      <c r="Z10" s="22">
        <f>+'Detailed Assumps'!Z402</f>
        <v>28.8</v>
      </c>
      <c r="AA10" s="8">
        <f t="shared" si="0"/>
        <v>1288.7999999999997</v>
      </c>
    </row>
    <row r="11" spans="1:27" x14ac:dyDescent="0.2">
      <c r="A11" s="2" t="str">
        <f>+'$'!C11</f>
        <v>Encore - Magee Hill</v>
      </c>
      <c r="B11" s="1"/>
      <c r="C11" s="22">
        <f>+'Detailed Assumps'!C408</f>
        <v>107.61758827827025</v>
      </c>
      <c r="D11" s="22">
        <f>+'Detailed Assumps'!D408</f>
        <v>133.88595756179387</v>
      </c>
      <c r="E11" s="22">
        <f>+'Detailed Assumps'!E408</f>
        <v>186.33599315202625</v>
      </c>
      <c r="F11" s="22">
        <f>+'Detailed Assumps'!F408</f>
        <v>198.98197711766505</v>
      </c>
      <c r="G11" s="22">
        <f>+'Detailed Assumps'!G408</f>
        <v>229.15781653911878</v>
      </c>
      <c r="H11" s="22">
        <f>+'Detailed Assumps'!H408</f>
        <v>222.80072706947905</v>
      </c>
      <c r="I11" s="22">
        <f>+'Detailed Assumps'!I408</f>
        <v>225.37547684647959</v>
      </c>
      <c r="J11" s="22">
        <f>+'Detailed Assumps'!J408</f>
        <v>213.89891851340573</v>
      </c>
      <c r="K11" s="22">
        <f>+'Detailed Assumps'!K408</f>
        <v>170.78111909213203</v>
      </c>
      <c r="L11" s="22">
        <f>+'Detailed Assumps'!L408</f>
        <v>134.74645306174159</v>
      </c>
      <c r="M11" s="22">
        <f>+'Detailed Assumps'!M408</f>
        <v>83.055056063667763</v>
      </c>
      <c r="N11" s="22">
        <f>+'Detailed Assumps'!N408</f>
        <v>75.29662491739839</v>
      </c>
      <c r="O11" s="22">
        <f>+'Detailed Assumps'!O408</f>
        <v>17.960999999999999</v>
      </c>
      <c r="P11" s="22">
        <f>+'Detailed Assumps'!P408</f>
        <v>89.085999999999999</v>
      </c>
      <c r="Q11" s="22">
        <f>+'Detailed Assumps'!Q408</f>
        <v>107.559</v>
      </c>
      <c r="R11" s="22">
        <f>+'Detailed Assumps'!R408</f>
        <v>152.08500000000001</v>
      </c>
      <c r="S11" s="22">
        <f>+'Detailed Assumps'!S408</f>
        <v>190.334</v>
      </c>
      <c r="T11" s="22">
        <f>+'Detailed Assumps'!T408</f>
        <v>194.63499999999999</v>
      </c>
      <c r="U11" s="22">
        <f>+'Detailed Assumps'!U408</f>
        <v>211.06</v>
      </c>
      <c r="V11" s="22">
        <f>+'Detailed Assumps'!V408</f>
        <v>193.012</v>
      </c>
      <c r="W11" s="22">
        <f>+'Detailed Assumps'!W408</f>
        <v>181.09</v>
      </c>
      <c r="X11" s="22">
        <f>+'Detailed Assumps'!X408</f>
        <v>104.611</v>
      </c>
      <c r="Y11" s="22">
        <f>+'Detailed Assumps'!Y408</f>
        <v>56.927</v>
      </c>
      <c r="Z11" s="22">
        <f>+'Detailed Assumps'!Z408</f>
        <v>27.007000000000001</v>
      </c>
      <c r="AA11" s="8">
        <f t="shared" si="0"/>
        <v>1525.367</v>
      </c>
    </row>
    <row r="12" spans="1:27" x14ac:dyDescent="0.2">
      <c r="A12" s="2" t="str">
        <f>+'$'!C12</f>
        <v>Bullrock - Grand Isle</v>
      </c>
      <c r="B12" s="1"/>
      <c r="C12" s="22">
        <f>+'Detailed Assumps'!C414</f>
        <v>389.4101044814314</v>
      </c>
      <c r="D12" s="22">
        <f>+'Detailed Assumps'!D414</f>
        <v>484.46118737665705</v>
      </c>
      <c r="E12" s="22">
        <f>+'Detailed Assumps'!E414</f>
        <v>674.24962559819653</v>
      </c>
      <c r="F12" s="22">
        <f>+'Detailed Assumps'!F414</f>
        <v>720.00863082472983</v>
      </c>
      <c r="G12" s="22">
        <f>+'Detailed Assumps'!G414</f>
        <v>829.19874702053585</v>
      </c>
      <c r="H12" s="22">
        <f>+'Detailed Assumps'!H414</f>
        <v>806.19585867719434</v>
      </c>
      <c r="I12" s="22">
        <f>+'Detailed Assumps'!I414</f>
        <v>815.51249166375942</v>
      </c>
      <c r="J12" s="22">
        <f>+'Detailed Assumps'!J414</f>
        <v>773.98500847963146</v>
      </c>
      <c r="K12" s="22">
        <f>+'Detailed Assumps'!K414</f>
        <v>617.96491152736326</v>
      </c>
      <c r="L12" s="22">
        <f>+'Detailed Assumps'!L414</f>
        <v>487.57485713686214</v>
      </c>
      <c r="M12" s="22">
        <f>+'Detailed Assumps'!M414</f>
        <v>300.53152586167658</v>
      </c>
      <c r="N12" s="22">
        <f>+'Detailed Assumps'!N414</f>
        <v>273.82707618539251</v>
      </c>
      <c r="O12" s="22">
        <f>+'Detailed Assumps'!O414</f>
        <v>127.2</v>
      </c>
      <c r="P12" s="22">
        <f>+'Detailed Assumps'!P414</f>
        <v>436.8</v>
      </c>
      <c r="Q12" s="22">
        <f>+'Detailed Assumps'!Q414</f>
        <v>583.20000000000005</v>
      </c>
      <c r="R12" s="22">
        <f>+'Detailed Assumps'!R414</f>
        <v>614.4</v>
      </c>
      <c r="S12" s="22">
        <f>+'Detailed Assumps'!S414</f>
        <v>868.8</v>
      </c>
      <c r="T12" s="22">
        <f>+'Detailed Assumps'!T414</f>
        <v>772.8</v>
      </c>
      <c r="U12" s="22">
        <f>+'Detailed Assumps'!U414</f>
        <v>792</v>
      </c>
      <c r="V12" s="22">
        <f>+'Detailed Assumps'!V414</f>
        <v>748.8</v>
      </c>
      <c r="W12" s="22">
        <f>+'Detailed Assumps'!W414</f>
        <v>684</v>
      </c>
      <c r="X12" s="22">
        <f>+'Detailed Assumps'!X414</f>
        <v>372</v>
      </c>
      <c r="Y12" s="22">
        <f>+'Detailed Assumps'!Y414</f>
        <v>292.8</v>
      </c>
      <c r="Z12" s="22">
        <f>+'Detailed Assumps'!Z414</f>
        <v>127.2</v>
      </c>
      <c r="AA12" s="8">
        <f t="shared" si="0"/>
        <v>6420</v>
      </c>
    </row>
    <row r="13" spans="1:27" x14ac:dyDescent="0.2">
      <c r="A13" s="2" t="str">
        <f>+'$'!C13</f>
        <v xml:space="preserve">Encore -Jericho - Gravel Pit </v>
      </c>
      <c r="B13" s="1"/>
      <c r="C13" s="22">
        <f>+'Detailed Assumps'!C421</f>
        <v>133.13048062158856</v>
      </c>
      <c r="D13" s="22">
        <f>+'Detailed Assumps'!D421</f>
        <v>170.75709963798096</v>
      </c>
      <c r="E13" s="22">
        <f>+'Detailed Assumps'!E421</f>
        <v>225.99297479009709</v>
      </c>
      <c r="F13" s="22">
        <f>+'Detailed Assumps'!F421</f>
        <v>250.23892173454735</v>
      </c>
      <c r="G13" s="22">
        <f>+'Detailed Assumps'!G421</f>
        <v>258.62012804431896</v>
      </c>
      <c r="H13" s="22">
        <f>+'Detailed Assumps'!H421</f>
        <v>270.70539398759809</v>
      </c>
      <c r="I13" s="22">
        <f>+'Detailed Assumps'!I421</f>
        <v>279.70805570328355</v>
      </c>
      <c r="J13" s="22">
        <f>+'Detailed Assumps'!J421</f>
        <v>265.47145427705112</v>
      </c>
      <c r="K13" s="22">
        <f>+'Detailed Assumps'!K421</f>
        <v>228.65201007463804</v>
      </c>
      <c r="L13" s="22">
        <f>+'Detailed Assumps'!L421</f>
        <v>160.94627579145541</v>
      </c>
      <c r="M13" s="22">
        <f>+'Detailed Assumps'!M421</f>
        <v>111.01147346078565</v>
      </c>
      <c r="N13" s="22">
        <f>+'Detailed Assumps'!N421</f>
        <v>102.20843953743685</v>
      </c>
      <c r="O13" s="22">
        <f>+'Detailed Assumps'!O421</f>
        <v>17.834</v>
      </c>
      <c r="P13" s="22">
        <f>+'Detailed Assumps'!P421</f>
        <v>130.50399999999999</v>
      </c>
      <c r="Q13" s="22">
        <f>+'Detailed Assumps'!Q421</f>
        <v>159.358</v>
      </c>
      <c r="R13" s="22">
        <f>+'Detailed Assumps'!R421</f>
        <v>173.84800000000001</v>
      </c>
      <c r="S13" s="22">
        <f>+'Detailed Assumps'!S421</f>
        <v>302.47899999999998</v>
      </c>
      <c r="T13" s="22">
        <f>+'Detailed Assumps'!T421</f>
        <v>290.77499999999998</v>
      </c>
      <c r="U13" s="22">
        <f>+'Detailed Assumps'!U421</f>
        <v>292.03399999999999</v>
      </c>
      <c r="V13" s="22">
        <f>+'Detailed Assumps'!V421</f>
        <v>292.03399999999999</v>
      </c>
      <c r="W13" s="22">
        <f>+'Detailed Assumps'!W421</f>
        <v>309.77100000000002</v>
      </c>
      <c r="X13" s="22">
        <f>+'Detailed Assumps'!X421</f>
        <v>87.396000000000001</v>
      </c>
      <c r="Y13" s="22">
        <f>+'Detailed Assumps'!Y421</f>
        <v>90.251999999999995</v>
      </c>
      <c r="Z13" s="22">
        <f>+'Detailed Assumps'!Z421</f>
        <v>42.728999999999999</v>
      </c>
      <c r="AA13" s="8">
        <f t="shared" si="0"/>
        <v>2189.0139999999997</v>
      </c>
    </row>
    <row r="14" spans="1:27" x14ac:dyDescent="0.2">
      <c r="A14" s="2" t="str">
        <f>+'$'!C14</f>
        <v>Encore - Jericho - Landfill</v>
      </c>
      <c r="B14" s="1"/>
      <c r="C14" s="22">
        <f>+'Detailed Assumps'!C427</f>
        <v>152.16398631945611</v>
      </c>
      <c r="D14" s="22">
        <f>+'Detailed Assumps'!D427</f>
        <v>184.21139360559198</v>
      </c>
      <c r="E14" s="22">
        <f>+'Detailed Assumps'!E427</f>
        <v>262.62457530189107</v>
      </c>
      <c r="F14" s="22">
        <f>+'Detailed Assumps'!F427</f>
        <v>268.69920478444152</v>
      </c>
      <c r="G14" s="22">
        <f>+'Detailed Assumps'!G427</f>
        <v>307.28472847122794</v>
      </c>
      <c r="H14" s="22">
        <f>+'Detailed Assumps'!H427</f>
        <v>299.2497528085234</v>
      </c>
      <c r="I14" s="22">
        <f>+'Detailed Assumps'!I427</f>
        <v>307.67837274710365</v>
      </c>
      <c r="J14" s="22">
        <f>+'Detailed Assumps'!J427</f>
        <v>286.28920743399067</v>
      </c>
      <c r="K14" s="22">
        <f>+'Detailed Assumps'!K427</f>
        <v>235.06618130817932</v>
      </c>
      <c r="L14" s="22">
        <f>+'Detailed Assumps'!L427</f>
        <v>160.47507902683893</v>
      </c>
      <c r="M14" s="22">
        <f>+'Detailed Assumps'!M427</f>
        <v>123.46434840065945</v>
      </c>
      <c r="N14" s="22">
        <f>+'Detailed Assumps'!N427</f>
        <v>108.66013821401744</v>
      </c>
      <c r="O14" s="22">
        <f>+'Detailed Assumps'!O427</f>
        <v>12.326000000000001</v>
      </c>
      <c r="P14" s="22">
        <f>+'Detailed Assumps'!P427</f>
        <v>117.473</v>
      </c>
      <c r="Q14" s="22">
        <f>+'Detailed Assumps'!Q427</f>
        <v>135.81700000000001</v>
      </c>
      <c r="R14" s="22">
        <f>+'Detailed Assumps'!R427</f>
        <v>96.929000000000002</v>
      </c>
      <c r="S14" s="22">
        <f>+'Detailed Assumps'!S427</f>
        <v>217.32900000000001</v>
      </c>
      <c r="T14" s="22">
        <f>+'Detailed Assumps'!T427</f>
        <v>253.636</v>
      </c>
      <c r="U14" s="22">
        <f>+'Detailed Assumps'!U427</f>
        <v>32.783999999999999</v>
      </c>
      <c r="V14" s="22">
        <f>+'Detailed Assumps'!V427</f>
        <v>188.60599999999999</v>
      </c>
      <c r="W14" s="22">
        <f>+'Detailed Assumps'!W427</f>
        <v>154.80099999999999</v>
      </c>
      <c r="X14" s="22">
        <f>+'Detailed Assumps'!X427</f>
        <v>88.379000000000005</v>
      </c>
      <c r="Y14" s="22">
        <f>+'Detailed Assumps'!Y427</f>
        <v>54.585000000000001</v>
      </c>
      <c r="Z14" s="22">
        <f>+'Detailed Assumps'!Z427</f>
        <v>4.6399999999999997</v>
      </c>
      <c r="AA14" s="8">
        <f t="shared" si="0"/>
        <v>1357.3050000000001</v>
      </c>
    </row>
    <row r="15" spans="1:27" x14ac:dyDescent="0.2">
      <c r="A15" s="70" t="str">
        <f>+'Detailed Assumps'!A376</f>
        <v>Kingdom Community Wind</v>
      </c>
      <c r="B15" s="1"/>
      <c r="C15" s="22">
        <f>+'Detailed Assumps'!C380</f>
        <v>691.91200000000003</v>
      </c>
      <c r="D15" s="22">
        <f>+'Detailed Assumps'!D380</f>
        <v>1694.2929999999999</v>
      </c>
      <c r="E15" s="22">
        <f>+'Detailed Assumps'!E380</f>
        <v>2173.2750000000001</v>
      </c>
      <c r="F15" s="22">
        <f>+'Detailed Assumps'!F380</f>
        <v>2531.7330000000002</v>
      </c>
      <c r="G15" s="22">
        <f>+'Detailed Assumps'!G380</f>
        <v>2238.4569999999999</v>
      </c>
      <c r="H15" s="22">
        <f>+'Detailed Assumps'!H380</f>
        <v>1195.8109999999999</v>
      </c>
      <c r="I15" s="22">
        <f>+'Detailed Assumps'!I380</f>
        <v>1633.923</v>
      </c>
      <c r="J15" s="22">
        <f>+'Detailed Assumps'!J380</f>
        <v>1031.057</v>
      </c>
      <c r="K15" s="22">
        <f>+'Detailed Assumps'!K380</f>
        <v>1563.174</v>
      </c>
      <c r="L15" s="22">
        <f>+'Detailed Assumps'!L380</f>
        <v>1624.5709999999999</v>
      </c>
      <c r="M15" s="22">
        <f>+'Detailed Assumps'!M380</f>
        <v>2283.69</v>
      </c>
      <c r="N15" s="22">
        <f>+'Detailed Assumps'!N380</f>
        <v>2543.511</v>
      </c>
      <c r="O15" s="22">
        <f>+'Detailed Assumps'!O380</f>
        <v>1114.4690000000001</v>
      </c>
      <c r="P15" s="22">
        <f>+'Detailed Assumps'!P380</f>
        <v>1827.316</v>
      </c>
      <c r="Q15" s="22">
        <f>+'Detailed Assumps'!Q380</f>
        <v>2336.4870000000001</v>
      </c>
      <c r="R15" s="22">
        <f>+'Detailed Assumps'!R380</f>
        <v>2130.4079999999999</v>
      </c>
      <c r="S15" s="22">
        <f>+'Detailed Assumps'!S380</f>
        <v>1525.874</v>
      </c>
      <c r="T15" s="22">
        <f>+'Detailed Assumps'!T380</f>
        <v>1616.2159999999999</v>
      </c>
      <c r="U15" s="22">
        <f>+'Detailed Assumps'!U380</f>
        <v>1045.5250000000001</v>
      </c>
      <c r="V15" s="22">
        <f>+'Detailed Assumps'!V380</f>
        <v>1912.31</v>
      </c>
      <c r="W15" s="22">
        <f>+'Detailed Assumps'!W380</f>
        <v>980.66300000000001</v>
      </c>
      <c r="X15" s="22">
        <f>+'Detailed Assumps'!X380</f>
        <v>2078.0259999999998</v>
      </c>
      <c r="Y15" s="22">
        <f>+'Detailed Assumps'!Y380</f>
        <v>1762.905</v>
      </c>
      <c r="Z15" s="22">
        <f>+'Detailed Assumps'!Z380</f>
        <v>1510.501</v>
      </c>
      <c r="AA15" s="8">
        <f t="shared" si="0"/>
        <v>19840.7</v>
      </c>
    </row>
    <row r="16" spans="1:27" x14ac:dyDescent="0.2">
      <c r="A16" s="2" t="str">
        <f>+'$'!C16</f>
        <v>Kingdom Community Wind - FCM</v>
      </c>
      <c r="B16" s="1"/>
      <c r="C16" s="22"/>
      <c r="D16" s="22"/>
      <c r="E16" s="22"/>
      <c r="F16" s="22"/>
      <c r="G16" s="22"/>
      <c r="H16" s="22"/>
      <c r="I16" s="22"/>
      <c r="J16" s="22"/>
      <c r="K16" s="22"/>
      <c r="L16" s="22"/>
      <c r="M16" s="22"/>
      <c r="N16" s="22"/>
      <c r="O16" s="22"/>
      <c r="P16" s="22"/>
      <c r="Q16" s="22"/>
      <c r="R16" s="22"/>
      <c r="S16" s="22"/>
      <c r="T16" s="22"/>
      <c r="U16" s="22"/>
      <c r="V16" s="22"/>
      <c r="W16" s="22"/>
      <c r="X16" s="22"/>
      <c r="Y16" s="22"/>
      <c r="Z16" s="22"/>
      <c r="AA16" s="8">
        <f t="shared" si="0"/>
        <v>0</v>
      </c>
    </row>
    <row r="17" spans="1:27" x14ac:dyDescent="0.2">
      <c r="A17" s="2" t="str">
        <f>+'$'!C17</f>
        <v>First Wind - Index to Market</v>
      </c>
      <c r="B17" s="1" t="s">
        <v>2</v>
      </c>
      <c r="C17" s="22">
        <f>+'Detailed Assumps'!C229</f>
        <v>778.49</v>
      </c>
      <c r="D17" s="22">
        <f>+'Detailed Assumps'!D229</f>
        <v>1634.17</v>
      </c>
      <c r="E17" s="22">
        <f>+'Detailed Assumps'!E229</f>
        <v>2934.03</v>
      </c>
      <c r="F17" s="22">
        <f>+'Detailed Assumps'!F229</f>
        <v>3083.91</v>
      </c>
      <c r="G17" s="22">
        <f>+'Detailed Assumps'!G229</f>
        <v>2571.83</v>
      </c>
      <c r="H17" s="22">
        <f>+'Detailed Assumps'!H229</f>
        <v>1007.513</v>
      </c>
      <c r="I17" s="22">
        <f>+'Detailed Assumps'!I229</f>
        <v>1530.3824999999999</v>
      </c>
      <c r="J17" s="22">
        <f>+'Detailed Assumps'!J229</f>
        <v>1003.9950000000001</v>
      </c>
      <c r="K17" s="22">
        <f>+'Detailed Assumps'!K229</f>
        <v>1615.92</v>
      </c>
      <c r="L17" s="22">
        <f>+'Detailed Assumps'!L229</f>
        <v>1699.4474999999998</v>
      </c>
      <c r="M17" s="22">
        <f>+'Detailed Assumps'!M229</f>
        <v>2080.38</v>
      </c>
      <c r="N17" s="22">
        <f>+'Detailed Assumps'!N229</f>
        <v>2582.4180000000001</v>
      </c>
      <c r="O17" s="22">
        <f>+'Detailed Assumps'!O229</f>
        <v>1387.96</v>
      </c>
      <c r="P17" s="22">
        <f>+'Detailed Assumps'!P229</f>
        <v>2403.15</v>
      </c>
      <c r="Q17" s="22">
        <f>+'Detailed Assumps'!Q229</f>
        <v>3586.5</v>
      </c>
      <c r="R17" s="22">
        <f>+'Detailed Assumps'!R229</f>
        <v>2713.53</v>
      </c>
      <c r="S17" s="22">
        <f>+'Detailed Assumps'!S229</f>
        <v>1632.95</v>
      </c>
      <c r="T17" s="22">
        <f>+'Detailed Assumps'!T229</f>
        <v>1658.1150000000002</v>
      </c>
      <c r="U17" s="22">
        <f>+'Detailed Assumps'!U229</f>
        <v>1082.6212499999999</v>
      </c>
      <c r="V17" s="22">
        <f>+'Detailed Assumps'!V229</f>
        <v>1770.91</v>
      </c>
      <c r="W17" s="22">
        <f>+'Detailed Assumps'!W229</f>
        <v>860.43</v>
      </c>
      <c r="X17" s="22">
        <f>+'Detailed Assumps'!X229</f>
        <v>2286.9699999999998</v>
      </c>
      <c r="Y17" s="22">
        <f>+'Detailed Assumps'!Y229</f>
        <v>2427.3000000000002</v>
      </c>
      <c r="Z17" s="22">
        <f>+'Detailed Assumps'!Z229</f>
        <v>2227.9430000000002</v>
      </c>
      <c r="AA17" s="8">
        <f t="shared" si="0"/>
        <v>24038.379250000002</v>
      </c>
    </row>
    <row r="18" spans="1:27" x14ac:dyDescent="0.2">
      <c r="A18" s="2" t="str">
        <f>+'$'!C18</f>
        <v>First Wind - Fixed Price - Energy</v>
      </c>
      <c r="B18" s="2" t="str">
        <f>+'$'!D18</f>
        <v>Energy</v>
      </c>
      <c r="C18" s="22">
        <f>+'Detailed Assumps'!C237</f>
        <v>259.5</v>
      </c>
      <c r="D18" s="22">
        <f>+'Detailed Assumps'!D237</f>
        <v>544.72</v>
      </c>
      <c r="E18" s="22">
        <f>+'Detailed Assumps'!E237</f>
        <v>978.01</v>
      </c>
      <c r="F18" s="22">
        <f>+'Detailed Assumps'!F237</f>
        <v>1027.97</v>
      </c>
      <c r="G18" s="22">
        <f>+'Detailed Assumps'!G237</f>
        <v>857.28</v>
      </c>
      <c r="H18" s="22">
        <f>+'Detailed Assumps'!H237</f>
        <v>335.83800000000002</v>
      </c>
      <c r="I18" s="22">
        <f>+'Detailed Assumps'!I237</f>
        <v>510.1275</v>
      </c>
      <c r="J18" s="22">
        <f>+'Detailed Assumps'!J237</f>
        <v>334.66500000000002</v>
      </c>
      <c r="K18" s="22">
        <f>+'Detailed Assumps'!K237</f>
        <v>538.64</v>
      </c>
      <c r="L18" s="22">
        <f>+'Detailed Assumps'!L237</f>
        <v>566.48249999999996</v>
      </c>
      <c r="M18" s="22">
        <f>+'Detailed Assumps'!M237</f>
        <v>693.46</v>
      </c>
      <c r="N18" s="22">
        <f>+'Detailed Assumps'!N237</f>
        <v>860.80600000000004</v>
      </c>
      <c r="O18" s="22">
        <f>+'Detailed Assumps'!O237</f>
        <v>462.65</v>
      </c>
      <c r="P18" s="22">
        <f>+'Detailed Assumps'!P237</f>
        <v>801.05</v>
      </c>
      <c r="Q18" s="22">
        <f>+'Detailed Assumps'!Q237</f>
        <v>1195.5</v>
      </c>
      <c r="R18" s="22">
        <f>+'Detailed Assumps'!R237</f>
        <v>904.51</v>
      </c>
      <c r="S18" s="22">
        <f>+'Detailed Assumps'!S237</f>
        <v>544.32000000000005</v>
      </c>
      <c r="T18" s="22">
        <f>+'Detailed Assumps'!T237</f>
        <v>552.70500000000004</v>
      </c>
      <c r="U18" s="22">
        <f>+'Detailed Assumps'!U237</f>
        <v>360.87374999999997</v>
      </c>
      <c r="V18" s="22">
        <f>+'Detailed Assumps'!V237</f>
        <v>590.29999999999995</v>
      </c>
      <c r="W18" s="22">
        <f>+'Detailed Assumps'!W237</f>
        <v>286.81</v>
      </c>
      <c r="X18" s="22">
        <f>+'Detailed Assumps'!X237</f>
        <v>762.32</v>
      </c>
      <c r="Y18" s="22">
        <f>+'Detailed Assumps'!Y237</f>
        <v>809.1</v>
      </c>
      <c r="Z18" s="22">
        <f>+'Detailed Assumps'!Z237</f>
        <v>742.64800000000002</v>
      </c>
      <c r="AA18" s="8">
        <f t="shared" si="0"/>
        <v>8012.7867500000011</v>
      </c>
    </row>
    <row r="19" spans="1:27" x14ac:dyDescent="0.2">
      <c r="A19" s="2" t="str">
        <f>+'$'!C19</f>
        <v>First Wind - Fixed Price - FCM</v>
      </c>
      <c r="B19" s="7"/>
      <c r="C19" s="22"/>
      <c r="D19" s="22"/>
      <c r="E19" s="22"/>
      <c r="F19" s="22"/>
      <c r="G19" s="22"/>
      <c r="H19" s="22"/>
      <c r="I19" s="22"/>
      <c r="J19" s="22"/>
      <c r="K19" s="22"/>
      <c r="L19" s="22"/>
      <c r="M19" s="22"/>
      <c r="N19" s="22"/>
      <c r="O19" s="22"/>
      <c r="P19" s="22"/>
      <c r="Q19" s="22"/>
      <c r="R19" s="22"/>
      <c r="S19" s="22"/>
      <c r="T19" s="22"/>
      <c r="U19" s="22"/>
      <c r="V19" s="22"/>
      <c r="W19" s="22"/>
      <c r="X19" s="22"/>
      <c r="Y19" s="22"/>
      <c r="Z19" s="22"/>
      <c r="AA19" s="8">
        <f t="shared" si="0"/>
        <v>0</v>
      </c>
    </row>
    <row r="20" spans="1:27" x14ac:dyDescent="0.2">
      <c r="A20" s="2" t="str">
        <f>+'$'!C20</f>
        <v>Howard Wind</v>
      </c>
      <c r="B20" s="1"/>
      <c r="C20" s="22">
        <f>+'Detailed Assumps'!C538</f>
        <v>2662</v>
      </c>
      <c r="D20" s="22">
        <f>+'Detailed Assumps'!D538</f>
        <v>5586</v>
      </c>
      <c r="E20" s="22">
        <f>+'Detailed Assumps'!E538</f>
        <v>5605</v>
      </c>
      <c r="F20" s="22">
        <f>+'Detailed Assumps'!F538</f>
        <v>4108</v>
      </c>
      <c r="G20" s="22">
        <f>+'Detailed Assumps'!G538</f>
        <v>2070</v>
      </c>
      <c r="H20" s="22">
        <f>+'Detailed Assumps'!H538</f>
        <v>1853</v>
      </c>
      <c r="I20" s="22">
        <f>+'Detailed Assumps'!I538</f>
        <v>2214</v>
      </c>
      <c r="J20" s="22">
        <f>+'Detailed Assumps'!J538</f>
        <v>2210.8000000000002</v>
      </c>
      <c r="K20" s="22">
        <f>+'Detailed Assumps'!K538</f>
        <v>2588.4</v>
      </c>
      <c r="L20" s="22">
        <f>+'Detailed Assumps'!L538</f>
        <v>4474</v>
      </c>
      <c r="M20" s="22">
        <f>+'Detailed Assumps'!M538</f>
        <v>5228.8</v>
      </c>
      <c r="N20" s="22">
        <f>+'Detailed Assumps'!N538</f>
        <v>5390</v>
      </c>
      <c r="O20" s="22">
        <f>+'Detailed Assumps'!O538</f>
        <v>4953</v>
      </c>
      <c r="P20" s="22">
        <f>+'Detailed Assumps'!P538</f>
        <v>4225</v>
      </c>
      <c r="Q20" s="22">
        <f>+'Detailed Assumps'!Q538</f>
        <v>5678</v>
      </c>
      <c r="R20" s="22">
        <f>+'Detailed Assumps'!R538</f>
        <v>4383</v>
      </c>
      <c r="S20" s="22">
        <f>+'Detailed Assumps'!S538</f>
        <v>2569</v>
      </c>
      <c r="T20" s="22">
        <f>+'Detailed Assumps'!T538</f>
        <v>3138</v>
      </c>
      <c r="U20" s="22">
        <f>+'Detailed Assumps'!U538</f>
        <v>1568</v>
      </c>
      <c r="V20" s="22">
        <f>+'Detailed Assumps'!V538</f>
        <v>2629</v>
      </c>
      <c r="W20" s="22">
        <f>+'Detailed Assumps'!W538</f>
        <v>1448</v>
      </c>
      <c r="X20" s="22">
        <f>+'Detailed Assumps'!X538</f>
        <v>3162</v>
      </c>
      <c r="Y20" s="22">
        <f>+'Detailed Assumps'!Y538</f>
        <v>4663</v>
      </c>
      <c r="Z20" s="22">
        <f>+'Detailed Assumps'!Z538</f>
        <v>3416</v>
      </c>
      <c r="AA20" s="8">
        <f t="shared" si="0"/>
        <v>41832</v>
      </c>
    </row>
    <row r="21" spans="1:27" x14ac:dyDescent="0.2">
      <c r="A21" s="2" t="str">
        <f>+'$'!C21</f>
        <v>HQUS</v>
      </c>
      <c r="B21" s="1" t="s">
        <v>2</v>
      </c>
      <c r="C21" s="22">
        <f>+'Detailed Assumps'!C178+'Detailed Assumps'!C179</f>
        <v>10912</v>
      </c>
      <c r="D21" s="22">
        <f>+'Detailed Assumps'!D178+'Detailed Assumps'!D179</f>
        <v>10208</v>
      </c>
      <c r="E21" s="22">
        <f>+'Detailed Assumps'!E178+'Detailed Assumps'!E179</f>
        <v>10912</v>
      </c>
      <c r="F21" s="22">
        <f>+'Detailed Assumps'!F178+'Detailed Assumps'!F179</f>
        <v>10560</v>
      </c>
      <c r="G21" s="22">
        <f>+'Detailed Assumps'!G178+'Detailed Assumps'!G179</f>
        <v>10912</v>
      </c>
      <c r="H21" s="22">
        <f>+'Detailed Assumps'!H178+'Detailed Assumps'!H179</f>
        <v>10560</v>
      </c>
      <c r="I21" s="22">
        <f>+'Detailed Assumps'!I178+'Detailed Assumps'!I179</f>
        <v>10912</v>
      </c>
      <c r="J21" s="22">
        <f>+'Detailed Assumps'!J178+'Detailed Assumps'!J179</f>
        <v>10912</v>
      </c>
      <c r="K21" s="22">
        <f>+'Detailed Assumps'!K178+'Detailed Assumps'!K179</f>
        <v>10560</v>
      </c>
      <c r="L21" s="22">
        <f>+'Detailed Assumps'!L178+'Detailed Assumps'!L179</f>
        <v>10912</v>
      </c>
      <c r="M21" s="22">
        <f>+'Detailed Assumps'!M178+'Detailed Assumps'!M179</f>
        <v>10560</v>
      </c>
      <c r="N21" s="22">
        <f>+'Detailed Assumps'!N178+'Detailed Assumps'!N179</f>
        <v>10912</v>
      </c>
      <c r="O21" s="22">
        <f>+'Detailed Assumps'!O178+'Detailed Assumps'!O179</f>
        <v>10912</v>
      </c>
      <c r="P21" s="22">
        <f>+'Detailed Assumps'!P178+'Detailed Assumps'!P179</f>
        <v>9856</v>
      </c>
      <c r="Q21" s="22">
        <f>+'Detailed Assumps'!Q178+'Detailed Assumps'!Q179</f>
        <v>10912</v>
      </c>
      <c r="R21" s="22">
        <f>+'Detailed Assumps'!R178+'Detailed Assumps'!R179</f>
        <v>10560</v>
      </c>
      <c r="S21" s="22">
        <f>+'Detailed Assumps'!S178+'Detailed Assumps'!S179</f>
        <v>10912</v>
      </c>
      <c r="T21" s="22">
        <f>+'Detailed Assumps'!T178+'Detailed Assumps'!T179</f>
        <v>10560</v>
      </c>
      <c r="U21" s="22">
        <f>+'Detailed Assumps'!U178+'Detailed Assumps'!U179</f>
        <v>10912</v>
      </c>
      <c r="V21" s="22">
        <f>+'Detailed Assumps'!V178+'Detailed Assumps'!V179</f>
        <v>10912</v>
      </c>
      <c r="W21" s="22">
        <f>+'Detailed Assumps'!W178+'Detailed Assumps'!W179</f>
        <v>10560</v>
      </c>
      <c r="X21" s="22">
        <f>+'Detailed Assumps'!X178+'Detailed Assumps'!X179</f>
        <v>10912</v>
      </c>
      <c r="Y21" s="22">
        <f>+'Detailed Assumps'!Y178+'Detailed Assumps'!Y179</f>
        <v>10560</v>
      </c>
      <c r="Z21" s="22">
        <f>+'Detailed Assumps'!Z178+'Detailed Assumps'!Z179</f>
        <v>10912</v>
      </c>
      <c r="AA21" s="8">
        <f t="shared" si="0"/>
        <v>128480</v>
      </c>
    </row>
    <row r="22" spans="1:27" x14ac:dyDescent="0.2">
      <c r="A22" s="2" t="str">
        <f>+'$'!C22</f>
        <v>Hydro Quebec ASE</v>
      </c>
      <c r="B22" s="1" t="s">
        <v>2</v>
      </c>
      <c r="C22" s="22">
        <f>+'Detailed Assumps'!C191</f>
        <v>2703</v>
      </c>
      <c r="D22" s="22">
        <f>+'Detailed Assumps'!D191</f>
        <v>2764</v>
      </c>
      <c r="E22" s="22">
        <f>+'Detailed Assumps'!E191</f>
        <v>1498</v>
      </c>
      <c r="F22" s="22">
        <f>+'Detailed Assumps'!F191</f>
        <v>5820</v>
      </c>
      <c r="G22" s="22">
        <f>+'Detailed Assumps'!G191</f>
        <v>4239</v>
      </c>
      <c r="H22" s="22">
        <f>+'Detailed Assumps'!H191</f>
        <v>2282</v>
      </c>
      <c r="I22" s="22">
        <f>+'Detailed Assumps'!I191</f>
        <v>10464</v>
      </c>
      <c r="J22" s="22">
        <f>+'Detailed Assumps'!J191</f>
        <v>8542</v>
      </c>
      <c r="K22" s="22">
        <f>+'Detailed Assumps'!K191</f>
        <v>9543</v>
      </c>
      <c r="L22" s="22">
        <f>+'Detailed Assumps'!L191</f>
        <v>9430</v>
      </c>
      <c r="M22" s="22">
        <f>+'Detailed Assumps'!M191</f>
        <v>8371</v>
      </c>
      <c r="N22" s="22">
        <f>+'Detailed Assumps'!N191</f>
        <v>9325</v>
      </c>
      <c r="O22" s="22">
        <f>+'Detailed Assumps'!O191</f>
        <v>5029</v>
      </c>
      <c r="P22" s="22">
        <f>+'Detailed Assumps'!P191</f>
        <v>5180.5</v>
      </c>
      <c r="Q22" s="22">
        <f>+'Detailed Assumps'!Q191</f>
        <v>5300</v>
      </c>
      <c r="R22" s="22">
        <f>+'Detailed Assumps'!R191</f>
        <v>3643</v>
      </c>
      <c r="S22" s="22">
        <f>+'Detailed Assumps'!S191</f>
        <v>5270</v>
      </c>
      <c r="T22" s="22">
        <f>+'Detailed Assumps'!T191</f>
        <v>8961</v>
      </c>
      <c r="U22" s="22">
        <f>+'Detailed Assumps'!U191</f>
        <v>11756</v>
      </c>
      <c r="V22" s="22">
        <f>+'Detailed Assumps'!V191</f>
        <v>10918</v>
      </c>
      <c r="W22" s="22">
        <f>+'Detailed Assumps'!W191</f>
        <v>5136</v>
      </c>
      <c r="X22" s="22">
        <f>+'Detailed Assumps'!X191</f>
        <v>8082</v>
      </c>
      <c r="Y22" s="22">
        <f>+'Detailed Assumps'!Y191</f>
        <v>10778</v>
      </c>
      <c r="Z22" s="22">
        <f>+'Detailed Assumps'!Z191</f>
        <v>1795</v>
      </c>
      <c r="AA22" s="8">
        <f t="shared" si="0"/>
        <v>81848.5</v>
      </c>
    </row>
    <row r="23" spans="1:27" x14ac:dyDescent="0.2">
      <c r="A23" s="106" t="s">
        <v>601</v>
      </c>
      <c r="B23" s="152" t="s">
        <v>2</v>
      </c>
      <c r="C23" s="22"/>
      <c r="D23" s="22"/>
      <c r="E23" s="22"/>
      <c r="F23" s="22"/>
      <c r="G23" s="22"/>
      <c r="H23" s="22"/>
      <c r="I23" s="22"/>
      <c r="J23" s="22"/>
      <c r="K23" s="22"/>
      <c r="L23" s="22"/>
      <c r="M23" s="22"/>
      <c r="N23" s="22"/>
      <c r="O23" s="22"/>
      <c r="P23" s="22"/>
      <c r="Q23" s="22"/>
      <c r="R23" s="22"/>
      <c r="S23" s="22"/>
      <c r="T23" s="22"/>
      <c r="U23" s="22"/>
      <c r="V23" s="22"/>
      <c r="W23" s="22"/>
      <c r="X23" s="22"/>
      <c r="Y23" s="22"/>
      <c r="Z23" s="22"/>
      <c r="AA23" s="8">
        <f t="shared" si="0"/>
        <v>0</v>
      </c>
    </row>
    <row r="24" spans="1:27" x14ac:dyDescent="0.2">
      <c r="A24" s="2" t="str">
        <f>+'$'!C24</f>
        <v>VEPPI</v>
      </c>
      <c r="B24" s="1" t="s">
        <v>2</v>
      </c>
      <c r="C24" s="22">
        <f>+'Detailed Assumps'!C339</f>
        <v>0</v>
      </c>
      <c r="D24" s="22">
        <f>+'Detailed Assumps'!D339</f>
        <v>0</v>
      </c>
      <c r="E24" s="22">
        <f>+'Detailed Assumps'!E339</f>
        <v>0</v>
      </c>
      <c r="F24" s="22">
        <f>+'Detailed Assumps'!F339</f>
        <v>0</v>
      </c>
      <c r="G24" s="22">
        <f>+'Detailed Assumps'!G339</f>
        <v>0</v>
      </c>
      <c r="H24" s="22">
        <f>+'Detailed Assumps'!H339</f>
        <v>0</v>
      </c>
      <c r="I24" s="22">
        <f>+'Detailed Assumps'!I339</f>
        <v>0</v>
      </c>
      <c r="J24" s="22">
        <f>+'Detailed Assumps'!J339</f>
        <v>0</v>
      </c>
      <c r="K24" s="22">
        <f>+'Detailed Assumps'!K339</f>
        <v>0</v>
      </c>
      <c r="L24" s="22">
        <f>+'Detailed Assumps'!L339</f>
        <v>0</v>
      </c>
      <c r="M24" s="22">
        <f>+'Detailed Assumps'!M339</f>
        <v>0</v>
      </c>
      <c r="N24" s="22">
        <f>+'Detailed Assumps'!N339</f>
        <v>0</v>
      </c>
      <c r="O24" s="22">
        <f>+'Detailed Assumps'!O339</f>
        <v>0</v>
      </c>
      <c r="P24" s="22">
        <f>+'Detailed Assumps'!P339</f>
        <v>0</v>
      </c>
      <c r="Q24" s="22">
        <f>+'Detailed Assumps'!Q339</f>
        <v>0</v>
      </c>
      <c r="R24" s="22">
        <f>+'Detailed Assumps'!R339</f>
        <v>0</v>
      </c>
      <c r="S24" s="22">
        <f>+'Detailed Assumps'!S339</f>
        <v>0</v>
      </c>
      <c r="T24" s="22">
        <f>+'Detailed Assumps'!T339</f>
        <v>0</v>
      </c>
      <c r="U24" s="22">
        <f>+'Detailed Assumps'!U339</f>
        <v>0</v>
      </c>
      <c r="V24" s="22">
        <f>+'Detailed Assumps'!V339</f>
        <v>0</v>
      </c>
      <c r="W24" s="22">
        <f>+'Detailed Assumps'!W339</f>
        <v>0</v>
      </c>
      <c r="X24" s="22">
        <f>+'Detailed Assumps'!X339</f>
        <v>0</v>
      </c>
      <c r="Y24" s="22">
        <f>+'Detailed Assumps'!Y339</f>
        <v>0</v>
      </c>
      <c r="Z24" s="22">
        <f>+'Detailed Assumps'!Z339</f>
        <v>0</v>
      </c>
      <c r="AA24" s="8">
        <f t="shared" si="0"/>
        <v>0</v>
      </c>
    </row>
    <row r="25" spans="1:27" x14ac:dyDescent="0.2">
      <c r="A25" s="2" t="str">
        <f>+'$'!C25</f>
        <v>VEPPI FCM Settlement</v>
      </c>
      <c r="B25" s="1"/>
      <c r="C25" s="40"/>
      <c r="D25" s="40"/>
      <c r="E25" s="40"/>
      <c r="F25" s="40"/>
      <c r="G25" s="40"/>
      <c r="H25" s="40"/>
      <c r="I25" s="40"/>
      <c r="J25" s="40"/>
      <c r="K25" s="40"/>
      <c r="L25" s="40"/>
      <c r="M25" s="40"/>
      <c r="N25" s="40"/>
      <c r="O25" s="40"/>
      <c r="P25" s="40"/>
      <c r="Q25" s="40"/>
      <c r="R25" s="40"/>
      <c r="S25" s="40"/>
      <c r="T25" s="40"/>
      <c r="U25" s="40"/>
      <c r="V25" s="40"/>
      <c r="W25" s="40"/>
      <c r="X25" s="40"/>
      <c r="Y25" s="40"/>
      <c r="Z25" s="40"/>
      <c r="AA25" s="8">
        <f t="shared" si="0"/>
        <v>0</v>
      </c>
    </row>
    <row r="26" spans="1:27" x14ac:dyDescent="0.2">
      <c r="A26" s="2" t="str">
        <f>+'$'!C26</f>
        <v>SPEED FIT</v>
      </c>
      <c r="B26" s="1" t="s">
        <v>2</v>
      </c>
      <c r="C26" s="22">
        <f>+'Detailed Assumps'!C352</f>
        <v>822.7941607407563</v>
      </c>
      <c r="D26" s="22">
        <f>+'Detailed Assumps'!D352</f>
        <v>896.69389766279403</v>
      </c>
      <c r="E26" s="22">
        <f>+'Detailed Assumps'!E352</f>
        <v>1503.0574507212386</v>
      </c>
      <c r="F26" s="22">
        <f>+'Detailed Assumps'!F352</f>
        <v>1958.6891381529049</v>
      </c>
      <c r="G26" s="22">
        <f>+'Detailed Assumps'!G352</f>
        <v>1874.6041380152053</v>
      </c>
      <c r="H26" s="22">
        <f>+'Detailed Assumps'!H352</f>
        <v>1846.6793320401027</v>
      </c>
      <c r="I26" s="22">
        <f>+'Detailed Assumps'!I352</f>
        <v>1982.2211661368667</v>
      </c>
      <c r="J26" s="22">
        <f>+'Detailed Assumps'!J352</f>
        <v>1994.774165085543</v>
      </c>
      <c r="K26" s="22">
        <f>+'Detailed Assumps'!K352</f>
        <v>1841.4734902125836</v>
      </c>
      <c r="L26" s="22">
        <f>+'Detailed Assumps'!L352</f>
        <v>1544.4669258112649</v>
      </c>
      <c r="M26" s="22">
        <f>+'Detailed Assumps'!M352</f>
        <v>1345.1954722339046</v>
      </c>
      <c r="N26" s="22">
        <f>+'Detailed Assumps'!N352</f>
        <v>922.92988553371015</v>
      </c>
      <c r="O26" s="22">
        <f>+'Detailed Assumps'!O352</f>
        <v>919</v>
      </c>
      <c r="P26" s="22">
        <f>+'Detailed Assumps'!P352</f>
        <v>1040</v>
      </c>
      <c r="Q26" s="22">
        <f>+'Detailed Assumps'!Q352</f>
        <v>1996</v>
      </c>
      <c r="R26" s="22">
        <f>+'Detailed Assumps'!R352</f>
        <v>2636</v>
      </c>
      <c r="S26" s="22">
        <f>+'Detailed Assumps'!S352</f>
        <v>2505</v>
      </c>
      <c r="T26" s="22">
        <f>+'Detailed Assumps'!T352</f>
        <v>2449</v>
      </c>
      <c r="U26" s="22">
        <f>+'Detailed Assumps'!U352</f>
        <v>2360</v>
      </c>
      <c r="V26" s="22">
        <f>+'Detailed Assumps'!V352</f>
        <v>2297</v>
      </c>
      <c r="W26" s="22">
        <f>+'Detailed Assumps'!W352</f>
        <v>2140</v>
      </c>
      <c r="X26" s="22">
        <f>+'Detailed Assumps'!X352</f>
        <v>1822</v>
      </c>
      <c r="Y26" s="22">
        <f>+'Detailed Assumps'!Y352</f>
        <v>1601</v>
      </c>
      <c r="Z26" s="22">
        <f>+'Detailed Assumps'!Z352</f>
        <v>1033</v>
      </c>
      <c r="AA26" s="8">
        <f t="shared" si="0"/>
        <v>22798</v>
      </c>
    </row>
    <row r="27" spans="1:27" x14ac:dyDescent="0.2">
      <c r="A27" s="2" t="str">
        <f>+'$'!C27</f>
        <v>SPEED FIT - FCM Settlement</v>
      </c>
      <c r="B27" s="1"/>
      <c r="C27" s="22"/>
      <c r="D27" s="22"/>
      <c r="E27" s="22"/>
      <c r="F27" s="22"/>
      <c r="G27" s="22"/>
      <c r="H27" s="22"/>
      <c r="I27" s="22"/>
      <c r="J27" s="22"/>
      <c r="K27" s="22"/>
      <c r="L27" s="22"/>
      <c r="M27" s="22"/>
      <c r="N27" s="22"/>
      <c r="O27" s="22"/>
      <c r="P27" s="22"/>
      <c r="Q27" s="22"/>
      <c r="R27" s="22"/>
      <c r="S27" s="22"/>
      <c r="T27" s="22"/>
      <c r="U27" s="22"/>
      <c r="V27" s="22"/>
      <c r="W27" s="22"/>
      <c r="X27" s="22"/>
      <c r="Y27" s="22"/>
      <c r="Z27" s="22"/>
      <c r="AA27" s="8">
        <f t="shared" si="0"/>
        <v>0</v>
      </c>
    </row>
    <row r="28" spans="1:27" x14ac:dyDescent="0.2">
      <c r="A28" s="2" t="str">
        <f>+'$'!C28</f>
        <v>Ryegate</v>
      </c>
      <c r="B28" s="1"/>
      <c r="C28" s="22">
        <f>+'Detailed Assumps'!C362</f>
        <v>1279.4498719200001</v>
      </c>
      <c r="D28" s="22">
        <f>+'Detailed Assumps'!D362</f>
        <v>1174.4548912800001</v>
      </c>
      <c r="E28" s="22">
        <f>+'Detailed Assumps'!E362</f>
        <v>1324.6302141599999</v>
      </c>
      <c r="F28" s="22">
        <f>+'Detailed Assumps'!F362</f>
        <v>1159.0357495200001</v>
      </c>
      <c r="G28" s="22">
        <f>+'Detailed Assumps'!G362</f>
        <v>1210.97372088</v>
      </c>
      <c r="H28" s="22">
        <f>+'Detailed Assumps'!H362</f>
        <v>1146.5784595319999</v>
      </c>
      <c r="I28" s="22">
        <f>+'Detailed Assumps'!I362</f>
        <v>1303.2021208800002</v>
      </c>
      <c r="J28" s="22">
        <f>+'Detailed Assumps'!J362</f>
        <v>1298.7328411200001</v>
      </c>
      <c r="K28" s="22">
        <f>+'Detailed Assumps'!K362</f>
        <v>935.93307984</v>
      </c>
      <c r="L28" s="22">
        <f>+'Detailed Assumps'!L362</f>
        <v>875.64427896000007</v>
      </c>
      <c r="M28" s="22">
        <f>+'Detailed Assumps'!M362</f>
        <v>923.53251936000004</v>
      </c>
      <c r="N28" s="22">
        <f>+'Detailed Assumps'!N362</f>
        <v>1071.6737539200001</v>
      </c>
      <c r="O28" s="22">
        <f>+'Detailed Assumps'!O362</f>
        <v>855.5880272902175</v>
      </c>
      <c r="P28" s="22">
        <f>+'Detailed Assumps'!P362</f>
        <v>1216.6626608280001</v>
      </c>
      <c r="Q28" s="22">
        <f>+'Detailed Assumps'!Q362</f>
        <v>1343.0808651280001</v>
      </c>
      <c r="R28" s="22">
        <f>+'Detailed Assumps'!R362</f>
        <v>1101.6512430080002</v>
      </c>
      <c r="S28" s="22">
        <f>+'Detailed Assumps'!S362</f>
        <v>1178.85868222</v>
      </c>
      <c r="T28" s="22">
        <f>+'Detailed Assumps'!T362</f>
        <v>1227.42121365</v>
      </c>
      <c r="U28" s="22">
        <f>+'Detailed Assumps'!U362</f>
        <v>1326.034240984</v>
      </c>
      <c r="V28" s="22">
        <f>+'Detailed Assumps'!V362</f>
        <v>1317.5500513919999</v>
      </c>
      <c r="W28" s="22">
        <f>+'Detailed Assumps'!W362</f>
        <v>862.78325753600006</v>
      </c>
      <c r="X28" s="22">
        <f>+'Detailed Assumps'!X362</f>
        <v>909.81460522399993</v>
      </c>
      <c r="Y28" s="22">
        <f>+'Detailed Assumps'!Y362</f>
        <v>944.68568961200003</v>
      </c>
      <c r="Z28" s="22">
        <f>+'Detailed Assumps'!Z362</f>
        <v>1070.9799383940001</v>
      </c>
      <c r="AA28" s="8">
        <f t="shared" si="0"/>
        <v>13355.110475266221</v>
      </c>
    </row>
    <row r="29" spans="1:27" x14ac:dyDescent="0.2">
      <c r="A29" s="2" t="str">
        <f>+'$'!C29</f>
        <v>Boltonville</v>
      </c>
      <c r="B29" s="1"/>
      <c r="C29" s="22">
        <f>+'Detailed Assumps'!C323</f>
        <v>0</v>
      </c>
      <c r="D29" s="22">
        <f>+'Detailed Assumps'!D323</f>
        <v>0</v>
      </c>
      <c r="E29" s="22">
        <f>+'Detailed Assumps'!E323</f>
        <v>0</v>
      </c>
      <c r="F29" s="22">
        <f>+'Detailed Assumps'!F323</f>
        <v>0</v>
      </c>
      <c r="G29" s="22">
        <f>+'Detailed Assumps'!G323</f>
        <v>0</v>
      </c>
      <c r="H29" s="22">
        <f>+'Detailed Assumps'!H323</f>
        <v>0</v>
      </c>
      <c r="I29" s="22">
        <f>+'Detailed Assumps'!I323</f>
        <v>0</v>
      </c>
      <c r="J29" s="22">
        <f>+'Detailed Assumps'!J323</f>
        <v>0</v>
      </c>
      <c r="K29" s="22">
        <f>+'Detailed Assumps'!K323</f>
        <v>0</v>
      </c>
      <c r="L29" s="22">
        <f>+'Detailed Assumps'!L323</f>
        <v>0</v>
      </c>
      <c r="M29" s="22">
        <f>+'Detailed Assumps'!M323</f>
        <v>0</v>
      </c>
      <c r="N29" s="22">
        <f>+'Detailed Assumps'!N323</f>
        <v>0</v>
      </c>
      <c r="O29" s="22">
        <f>+'Detailed Assumps'!O323</f>
        <v>0</v>
      </c>
      <c r="P29" s="22">
        <f>+'Detailed Assumps'!P323</f>
        <v>0</v>
      </c>
      <c r="Q29" s="22">
        <f>+'Detailed Assumps'!Q323</f>
        <v>0</v>
      </c>
      <c r="R29" s="22">
        <f>+'Detailed Assumps'!R323</f>
        <v>0</v>
      </c>
      <c r="S29" s="22">
        <f>+'Detailed Assumps'!S323</f>
        <v>0</v>
      </c>
      <c r="T29" s="22">
        <f>+'Detailed Assumps'!T323</f>
        <v>0</v>
      </c>
      <c r="U29" s="22">
        <f>+'Detailed Assumps'!U323</f>
        <v>0</v>
      </c>
      <c r="V29" s="22">
        <f>+'Detailed Assumps'!V323</f>
        <v>0</v>
      </c>
      <c r="W29" s="22">
        <f>+'Detailed Assumps'!W323</f>
        <v>0</v>
      </c>
      <c r="X29" s="22">
        <f>+'Detailed Assumps'!X323</f>
        <v>0</v>
      </c>
      <c r="Y29" s="22">
        <f>+'Detailed Assumps'!Y323</f>
        <v>0</v>
      </c>
      <c r="Z29" s="22">
        <f>+'Detailed Assumps'!Z323</f>
        <v>0</v>
      </c>
      <c r="AA29" s="8">
        <f t="shared" si="0"/>
        <v>0</v>
      </c>
    </row>
    <row r="30" spans="1:27" x14ac:dyDescent="0.2">
      <c r="A30" s="2" t="str">
        <f>+'$'!C30</f>
        <v>Newport Hydro</v>
      </c>
      <c r="B30" s="1"/>
      <c r="C30" s="22">
        <f>+'Detailed Assumps'!C310</f>
        <v>2116.7750000000001</v>
      </c>
      <c r="D30" s="22">
        <f>+'Detailed Assumps'!D310</f>
        <v>949.29499999999996</v>
      </c>
      <c r="E30" s="22">
        <f>+'Detailed Assumps'!E310</f>
        <v>976.23500000000001</v>
      </c>
      <c r="F30" s="22">
        <f>+'Detailed Assumps'!F310</f>
        <v>2749.2370000000001</v>
      </c>
      <c r="G30" s="22">
        <f>+'Detailed Assumps'!G310</f>
        <v>1539.579</v>
      </c>
      <c r="H30" s="22">
        <f>+'Detailed Assumps'!H310</f>
        <v>758.06899999999996</v>
      </c>
      <c r="I30" s="22">
        <f>+'Detailed Assumps'!I310</f>
        <v>395.34699999999998</v>
      </c>
      <c r="J30" s="22">
        <f>+'Detailed Assumps'!J310</f>
        <v>155.542</v>
      </c>
      <c r="K30" s="22">
        <f>+'Detailed Assumps'!K310</f>
        <v>739.16200000000003</v>
      </c>
      <c r="L30" s="22">
        <f>+'Detailed Assumps'!L310</f>
        <v>1288.1890000000001</v>
      </c>
      <c r="M30" s="22">
        <f>+'Detailed Assumps'!M310</f>
        <v>1396.394</v>
      </c>
      <c r="N30" s="22">
        <f>+'Detailed Assumps'!N310</f>
        <v>2326.8159999999998</v>
      </c>
      <c r="O30" s="22">
        <f>+'Detailed Assumps'!O310</f>
        <v>1793.3389999999999</v>
      </c>
      <c r="P30" s="22">
        <f>+'Detailed Assumps'!P310</f>
        <v>879.43299999999999</v>
      </c>
      <c r="Q30" s="22">
        <f>+'Detailed Assumps'!Q310</f>
        <v>2873.3609999999999</v>
      </c>
      <c r="R30" s="22">
        <f>+'Detailed Assumps'!R310</f>
        <v>2748.998</v>
      </c>
      <c r="S30" s="22">
        <f>+'Detailed Assumps'!S310</f>
        <v>2582.6819999999998</v>
      </c>
      <c r="T30" s="22">
        <f>+'Detailed Assumps'!T310</f>
        <v>1667.5740000000001</v>
      </c>
      <c r="U30" s="22">
        <f>+'Detailed Assumps'!U310</f>
        <v>2467.7060000000001</v>
      </c>
      <c r="V30" s="22">
        <f>+'Detailed Assumps'!V310</f>
        <v>1590.4269999999999</v>
      </c>
      <c r="W30" s="22">
        <f>+'Detailed Assumps'!W310</f>
        <v>1225.8679999999999</v>
      </c>
      <c r="X30" s="22">
        <f>+'Detailed Assumps'!X310</f>
        <v>1308.4960000000001</v>
      </c>
      <c r="Y30" s="22">
        <f>+'Detailed Assumps'!Y310</f>
        <v>1552.7439999999999</v>
      </c>
      <c r="Z30" s="22">
        <f>+'Detailed Assumps'!Z310</f>
        <v>2616.8969999999999</v>
      </c>
      <c r="AA30" s="8">
        <f t="shared" si="0"/>
        <v>23307.524999999998</v>
      </c>
    </row>
    <row r="31" spans="1:27" x14ac:dyDescent="0.2">
      <c r="A31" s="2" t="str">
        <f>+'$'!C31</f>
        <v>St Lawrence</v>
      </c>
      <c r="B31" s="1"/>
      <c r="C31" s="22">
        <f>+'Detailed Assumps'!C265</f>
        <v>96.057000000000002</v>
      </c>
      <c r="D31" s="22">
        <f>+'Detailed Assumps'!D265</f>
        <v>89.972999999999999</v>
      </c>
      <c r="E31" s="22">
        <f>+'Detailed Assumps'!E265</f>
        <v>100.035</v>
      </c>
      <c r="F31" s="22">
        <f>+'Detailed Assumps'!F265</f>
        <v>106.821</v>
      </c>
      <c r="G31" s="22">
        <f>+'Detailed Assumps'!G265</f>
        <v>117.23399999999999</v>
      </c>
      <c r="H31" s="22">
        <f>+'Detailed Assumps'!H265</f>
        <v>100.26900000000001</v>
      </c>
      <c r="I31" s="22">
        <f>+'Detailed Assumps'!I265</f>
        <v>94.418999999999997</v>
      </c>
      <c r="J31" s="22">
        <f>+'Detailed Assumps'!J265</f>
        <v>75.230999999999995</v>
      </c>
      <c r="K31" s="22">
        <f>+'Detailed Assumps'!K265</f>
        <v>77.688000000000002</v>
      </c>
      <c r="L31" s="22">
        <f>+'Detailed Assumps'!L265</f>
        <v>82.835999999999999</v>
      </c>
      <c r="M31" s="22">
        <f>+'Detailed Assumps'!M265</f>
        <v>76.869</v>
      </c>
      <c r="N31" s="22">
        <f>+'Detailed Assumps'!N265</f>
        <v>85.468999999999994</v>
      </c>
      <c r="O31" s="22">
        <f>+'Detailed Assumps'!O265</f>
        <v>98.513999999999996</v>
      </c>
      <c r="P31" s="22">
        <f>+'Detailed Assumps'!P265</f>
        <v>92.897999999999996</v>
      </c>
      <c r="Q31" s="22">
        <f>+'Detailed Assumps'!Q265</f>
        <v>87.516000000000005</v>
      </c>
      <c r="R31" s="22">
        <f>+'Detailed Assumps'!R265</f>
        <v>96.057000000000002</v>
      </c>
      <c r="S31" s="22">
        <f>+'Detailed Assumps'!S265</f>
        <v>109.161</v>
      </c>
      <c r="T31" s="22">
        <f>+'Detailed Assumps'!T265</f>
        <v>128.934</v>
      </c>
      <c r="U31" s="22">
        <f>+'Detailed Assumps'!U265</f>
        <v>118.521</v>
      </c>
      <c r="V31" s="22">
        <f>+'Detailed Assumps'!V265</f>
        <v>107.64</v>
      </c>
      <c r="W31" s="22">
        <f>+'Detailed Assumps'!W265</f>
        <v>102.375</v>
      </c>
      <c r="X31" s="22">
        <f>+'Detailed Assumps'!X265</f>
        <v>118.17</v>
      </c>
      <c r="Y31" s="22">
        <f>+'Detailed Assumps'!Y265</f>
        <v>104.364</v>
      </c>
      <c r="Z31" s="22">
        <f>+'Detailed Assumps'!Z265</f>
        <v>105.066</v>
      </c>
      <c r="AA31" s="8">
        <f t="shared" si="0"/>
        <v>1269.2160000000001</v>
      </c>
    </row>
    <row r="32" spans="1:27" x14ac:dyDescent="0.2">
      <c r="A32" s="2" t="str">
        <f>+'$'!C32</f>
        <v>Niagara</v>
      </c>
      <c r="B32" s="1"/>
      <c r="C32" s="22">
        <f>+'Detailed Assumps'!C279</f>
        <v>3090.0770000000002</v>
      </c>
      <c r="D32" s="22">
        <f>+'Detailed Assumps'!D279</f>
        <v>2857.4989999999998</v>
      </c>
      <c r="E32" s="22">
        <f>+'Detailed Assumps'!E279</f>
        <v>3358.71</v>
      </c>
      <c r="F32" s="22">
        <f>+'Detailed Assumps'!F279</f>
        <v>2880.48</v>
      </c>
      <c r="G32" s="22">
        <f>+'Detailed Assumps'!G279</f>
        <v>3203.7910000000002</v>
      </c>
      <c r="H32" s="22">
        <f>+'Detailed Assumps'!H279</f>
        <v>3008.8530000000001</v>
      </c>
      <c r="I32" s="22">
        <f>+'Detailed Assumps'!I279</f>
        <v>3041.739</v>
      </c>
      <c r="J32" s="22">
        <f>+'Detailed Assumps'!J279</f>
        <v>2837.2919999999999</v>
      </c>
      <c r="K32" s="22">
        <f>+'Detailed Assumps'!K279</f>
        <v>2897.1210000000001</v>
      </c>
      <c r="L32" s="22">
        <f>+'Detailed Assumps'!L279</f>
        <v>2943.8739999999998</v>
      </c>
      <c r="M32" s="22">
        <f>+'Detailed Assumps'!M279</f>
        <v>2807.576</v>
      </c>
      <c r="N32" s="22">
        <f>+'Detailed Assumps'!N279</f>
        <v>3260.8449999999998</v>
      </c>
      <c r="O32" s="22">
        <f>+'Detailed Assumps'!O279</f>
        <v>3278.6750000000002</v>
      </c>
      <c r="P32" s="22">
        <f>+'Detailed Assumps'!P279</f>
        <v>3057.587</v>
      </c>
      <c r="Q32" s="22">
        <f>+'Detailed Assumps'!Q279</f>
        <v>3232.7139999999999</v>
      </c>
      <c r="R32" s="22">
        <f>+'Detailed Assumps'!R279</f>
        <v>3017.9659999999999</v>
      </c>
      <c r="S32" s="22">
        <f>+'Detailed Assumps'!S279</f>
        <v>3327.41</v>
      </c>
      <c r="T32" s="22">
        <f>+'Detailed Assumps'!T279</f>
        <v>3110.2840000000001</v>
      </c>
      <c r="U32" s="22">
        <f>+'Detailed Assumps'!U279</f>
        <v>3084.53</v>
      </c>
      <c r="V32" s="22">
        <f>+'Detailed Assumps'!V279</f>
        <v>3021.9279999999999</v>
      </c>
      <c r="W32" s="22">
        <f>+'Detailed Assumps'!W279</f>
        <v>2969.6280000000002</v>
      </c>
      <c r="X32" s="22">
        <f>+'Detailed Assumps'!X279</f>
        <v>3225.1860000000001</v>
      </c>
      <c r="Y32" s="22">
        <f>+'Detailed Assumps'!Y279</f>
        <v>3268.3739999999998</v>
      </c>
      <c r="Z32" s="22">
        <f>+'Detailed Assumps'!Z279</f>
        <v>3218.8470000000002</v>
      </c>
      <c r="AA32" s="8">
        <f t="shared" si="0"/>
        <v>37813.129000000008</v>
      </c>
    </row>
    <row r="33" spans="1:27" x14ac:dyDescent="0.2">
      <c r="A33" s="2" t="str">
        <f>+'$'!C33</f>
        <v>PSEG</v>
      </c>
      <c r="B33" s="1"/>
      <c r="C33" s="108"/>
      <c r="D33" s="108"/>
      <c r="E33" s="108"/>
      <c r="F33" s="108"/>
      <c r="G33" s="108"/>
      <c r="H33" s="108"/>
      <c r="I33" s="108"/>
      <c r="J33" s="108"/>
      <c r="K33" s="108"/>
      <c r="L33" s="108"/>
      <c r="M33" s="108"/>
      <c r="N33" s="108"/>
      <c r="O33" s="108"/>
      <c r="P33" s="108"/>
      <c r="Q33" s="108"/>
      <c r="R33" s="108"/>
      <c r="S33" s="108"/>
      <c r="T33" s="108"/>
      <c r="U33" s="108"/>
      <c r="V33" s="108"/>
      <c r="W33" s="108"/>
      <c r="X33" s="108"/>
      <c r="Y33" s="108"/>
      <c r="Z33" s="108"/>
      <c r="AA33" s="8">
        <f t="shared" si="0"/>
        <v>0</v>
      </c>
    </row>
    <row r="34" spans="1:27" x14ac:dyDescent="0.2">
      <c r="A34" s="2" t="str">
        <f>+'$'!C34</f>
        <v>EDF</v>
      </c>
      <c r="B34" s="1"/>
      <c r="C34" s="22">
        <f>+'Detailed Assumps'!C486</f>
        <v>0</v>
      </c>
      <c r="D34" s="22">
        <f>+'Detailed Assumps'!D486</f>
        <v>0</v>
      </c>
      <c r="E34" s="22">
        <f>+'Detailed Assumps'!E486</f>
        <v>0</v>
      </c>
      <c r="F34" s="22">
        <f>+'Detailed Assumps'!F486</f>
        <v>0</v>
      </c>
      <c r="G34" s="22">
        <f>+'Detailed Assumps'!G486</f>
        <v>0</v>
      </c>
      <c r="H34" s="22">
        <f>+'Detailed Assumps'!H486</f>
        <v>0</v>
      </c>
      <c r="I34" s="22">
        <f>+'Detailed Assumps'!I486</f>
        <v>0</v>
      </c>
      <c r="J34" s="22">
        <f>+'Detailed Assumps'!J486</f>
        <v>0</v>
      </c>
      <c r="K34" s="22">
        <f>+'Detailed Assumps'!K486</f>
        <v>0</v>
      </c>
      <c r="L34" s="22">
        <f>+'Detailed Assumps'!L486</f>
        <v>0</v>
      </c>
      <c r="M34" s="22">
        <f>+'Detailed Assumps'!M486</f>
        <v>0</v>
      </c>
      <c r="N34" s="22">
        <f>+'Detailed Assumps'!N486</f>
        <v>0</v>
      </c>
      <c r="O34" s="22">
        <f>+'Detailed Assumps'!O486</f>
        <v>0</v>
      </c>
      <c r="P34" s="22">
        <f>+'Detailed Assumps'!P486</f>
        <v>0</v>
      </c>
      <c r="Q34" s="22">
        <f>+'Detailed Assumps'!Q486</f>
        <v>0</v>
      </c>
      <c r="R34" s="22">
        <f>+'Detailed Assumps'!R486</f>
        <v>0</v>
      </c>
      <c r="S34" s="22">
        <f>+'Detailed Assumps'!S486</f>
        <v>0</v>
      </c>
      <c r="T34" s="22">
        <f>+'Detailed Assumps'!T486</f>
        <v>0</v>
      </c>
      <c r="U34" s="22">
        <f>+'Detailed Assumps'!U486</f>
        <v>0</v>
      </c>
      <c r="V34" s="22">
        <f>+'Detailed Assumps'!V486</f>
        <v>0</v>
      </c>
      <c r="W34" s="22">
        <f>+'Detailed Assumps'!W486</f>
        <v>0</v>
      </c>
      <c r="X34" s="22">
        <f>+'Detailed Assumps'!X486</f>
        <v>0</v>
      </c>
      <c r="Y34" s="22">
        <f>+'Detailed Assumps'!Y486</f>
        <v>0</v>
      </c>
      <c r="Z34" s="22">
        <f>+'Detailed Assumps'!Z486</f>
        <v>0</v>
      </c>
      <c r="AA34" s="8">
        <f t="shared" si="0"/>
        <v>0</v>
      </c>
    </row>
    <row r="35" spans="1:27" x14ac:dyDescent="0.2">
      <c r="A35" s="2" t="str">
        <f>+'$'!C35</f>
        <v>NextEra - 2022-2025 - Energy</v>
      </c>
      <c r="B35" s="1"/>
      <c r="C35" s="22">
        <f>+'Detailed Assumps'!C612</f>
        <v>8308.7999999999993</v>
      </c>
      <c r="D35" s="22">
        <f>+'Detailed Assumps'!D612</f>
        <v>8596</v>
      </c>
      <c r="E35" s="22">
        <f>+'Detailed Assumps'!E612</f>
        <v>5671.7999999999993</v>
      </c>
      <c r="F35" s="22">
        <f>+'Detailed Assumps'!F612</f>
        <v>2966.4</v>
      </c>
      <c r="G35" s="22">
        <f>+'Detailed Assumps'!G612</f>
        <v>2480</v>
      </c>
      <c r="H35" s="22">
        <f>+'Detailed Assumps'!H612</f>
        <v>4160</v>
      </c>
      <c r="I35" s="22">
        <f>+'Detailed Assumps'!I612</f>
        <v>6664.8</v>
      </c>
      <c r="J35" s="22">
        <f>+'Detailed Assumps'!J612</f>
        <v>4610.4000000000005</v>
      </c>
      <c r="K35" s="22">
        <f>+'Detailed Assumps'!K612</f>
        <v>3288</v>
      </c>
      <c r="L35" s="22">
        <f>+'Detailed Assumps'!L612</f>
        <v>3794.3999999999996</v>
      </c>
      <c r="M35" s="22">
        <f>+'Detailed Assumps'!M612</f>
        <v>4467.1000000000004</v>
      </c>
      <c r="N35" s="22">
        <f>+'Detailed Assumps'!N612</f>
        <v>6829.6</v>
      </c>
      <c r="O35" s="22">
        <f>+'Detailed Assumps'!O612</f>
        <v>8308.7999999999993</v>
      </c>
      <c r="P35" s="22">
        <f>+'Detailed Assumps'!P612</f>
        <v>8291.2000000000007</v>
      </c>
      <c r="Q35" s="22">
        <f>+'Detailed Assumps'!Q612</f>
        <v>5671.7999999999993</v>
      </c>
      <c r="R35" s="22">
        <f>+'Detailed Assumps'!R612</f>
        <v>2966.4</v>
      </c>
      <c r="S35" s="22">
        <f>+'Detailed Assumps'!S612</f>
        <v>2480</v>
      </c>
      <c r="T35" s="22">
        <f>+'Detailed Assumps'!T612</f>
        <v>4214.3999999999996</v>
      </c>
      <c r="U35" s="22">
        <f>+'Detailed Assumps'!U612</f>
        <v>6664.8</v>
      </c>
      <c r="V35" s="22">
        <f>+'Detailed Assumps'!V612</f>
        <v>4568.8</v>
      </c>
      <c r="W35" s="22">
        <f>+'Detailed Assumps'!W612</f>
        <v>3316.8</v>
      </c>
      <c r="X35" s="22">
        <f>+'Detailed Assumps'!X612</f>
        <v>3794.3999999999996</v>
      </c>
      <c r="Y35" s="22">
        <f>+'Detailed Assumps'!Y612</f>
        <v>4435.1000000000004</v>
      </c>
      <c r="Z35" s="22">
        <f>+'Detailed Assumps'!Z612</f>
        <v>6858.4000000000005</v>
      </c>
      <c r="AA35" s="8">
        <f t="shared" si="0"/>
        <v>61570.900000000009</v>
      </c>
    </row>
    <row r="36" spans="1:27" x14ac:dyDescent="0.2">
      <c r="A36" s="106" t="s">
        <v>597</v>
      </c>
      <c r="B36" s="1"/>
      <c r="C36" s="22">
        <f>'Detailed Assumps'!C642</f>
        <v>0</v>
      </c>
      <c r="D36" s="22">
        <f>'Detailed Assumps'!D642</f>
        <v>0</v>
      </c>
      <c r="E36" s="22">
        <f>'Detailed Assumps'!E642</f>
        <v>0</v>
      </c>
      <c r="F36" s="22">
        <f>'Detailed Assumps'!F642</f>
        <v>0</v>
      </c>
      <c r="G36" s="22">
        <f>'Detailed Assumps'!G642</f>
        <v>0</v>
      </c>
      <c r="H36" s="22">
        <f>'Detailed Assumps'!H642</f>
        <v>0</v>
      </c>
      <c r="I36" s="22">
        <f>'Detailed Assumps'!I642</f>
        <v>0</v>
      </c>
      <c r="J36" s="22">
        <f>'Detailed Assumps'!J642</f>
        <v>0</v>
      </c>
      <c r="K36" s="22">
        <f>'Detailed Assumps'!K642</f>
        <v>0</v>
      </c>
      <c r="L36" s="22">
        <f>'Detailed Assumps'!L642</f>
        <v>0</v>
      </c>
      <c r="M36" s="22">
        <f>'Detailed Assumps'!M642</f>
        <v>0</v>
      </c>
      <c r="N36" s="22">
        <f>'Detailed Assumps'!N642</f>
        <v>0</v>
      </c>
      <c r="O36" s="22">
        <f>'Detailed Assumps'!O642</f>
        <v>0</v>
      </c>
      <c r="P36" s="22">
        <f>'Detailed Assumps'!P642</f>
        <v>0</v>
      </c>
      <c r="Q36" s="22">
        <f>'Detailed Assumps'!Q642</f>
        <v>0</v>
      </c>
      <c r="R36" s="22">
        <f>'Detailed Assumps'!R642</f>
        <v>0</v>
      </c>
      <c r="S36" s="22">
        <f>'Detailed Assumps'!S642</f>
        <v>0</v>
      </c>
      <c r="T36" s="22">
        <f>'Detailed Assumps'!T642</f>
        <v>0</v>
      </c>
      <c r="U36" s="22">
        <f>'Detailed Assumps'!U642</f>
        <v>0</v>
      </c>
      <c r="V36" s="22">
        <f>'Detailed Assumps'!V642</f>
        <v>0</v>
      </c>
      <c r="W36" s="22">
        <f>'Detailed Assumps'!W642</f>
        <v>0</v>
      </c>
      <c r="X36" s="22">
        <f>'Detailed Assumps'!X642</f>
        <v>0</v>
      </c>
      <c r="Y36" s="22">
        <f>'Detailed Assumps'!Y642</f>
        <v>0</v>
      </c>
      <c r="Z36" s="22">
        <f>'Detailed Assumps'!Z642</f>
        <v>0</v>
      </c>
      <c r="AA36" s="8">
        <f t="shared" si="0"/>
        <v>0</v>
      </c>
    </row>
    <row r="37" spans="1:27" x14ac:dyDescent="0.2">
      <c r="A37" s="2" t="str">
        <f>+'$'!C37</f>
        <v>Merrill Lynch</v>
      </c>
      <c r="B37" s="1"/>
      <c r="C37" s="22">
        <f>+'Detailed Assumps'!C627</f>
        <v>0</v>
      </c>
      <c r="D37" s="22">
        <f>+'Detailed Assumps'!D627</f>
        <v>0</v>
      </c>
      <c r="E37" s="22">
        <f>+'Detailed Assumps'!E627</f>
        <v>0</v>
      </c>
      <c r="F37" s="22">
        <f>+'Detailed Assumps'!F627</f>
        <v>0</v>
      </c>
      <c r="G37" s="22">
        <f>+'Detailed Assumps'!G627</f>
        <v>0</v>
      </c>
      <c r="H37" s="22">
        <f>+'Detailed Assumps'!H627</f>
        <v>0</v>
      </c>
      <c r="I37" s="22">
        <f>+'Detailed Assumps'!I627</f>
        <v>0</v>
      </c>
      <c r="J37" s="22">
        <f>+'Detailed Assumps'!J627</f>
        <v>0</v>
      </c>
      <c r="K37" s="22">
        <f>+'Detailed Assumps'!K627</f>
        <v>0</v>
      </c>
      <c r="L37" s="22">
        <f>+'Detailed Assumps'!L627</f>
        <v>0</v>
      </c>
      <c r="M37" s="22">
        <f>+'Detailed Assumps'!M627</f>
        <v>0</v>
      </c>
      <c r="N37" s="22">
        <f>+'Detailed Assumps'!N627</f>
        <v>0</v>
      </c>
      <c r="O37" s="22">
        <f>+'Detailed Assumps'!O627</f>
        <v>0</v>
      </c>
      <c r="P37" s="22">
        <f>+'Detailed Assumps'!P627</f>
        <v>0</v>
      </c>
      <c r="Q37" s="22">
        <f>+'Detailed Assumps'!Q627</f>
        <v>0</v>
      </c>
      <c r="R37" s="22">
        <f>+'Detailed Assumps'!R627</f>
        <v>0</v>
      </c>
      <c r="S37" s="22">
        <f>+'Detailed Assumps'!S627</f>
        <v>0</v>
      </c>
      <c r="T37" s="22">
        <f>+'Detailed Assumps'!T627</f>
        <v>0</v>
      </c>
      <c r="U37" s="22">
        <f>+'Detailed Assumps'!U627</f>
        <v>0</v>
      </c>
      <c r="V37" s="22">
        <f>+'Detailed Assumps'!V627</f>
        <v>0</v>
      </c>
      <c r="W37" s="22">
        <f>+'Detailed Assumps'!W627</f>
        <v>0</v>
      </c>
      <c r="X37" s="22">
        <f>+'Detailed Assumps'!X627</f>
        <v>0</v>
      </c>
      <c r="Y37" s="22">
        <f>+'Detailed Assumps'!Y627</f>
        <v>0</v>
      </c>
      <c r="Z37" s="22">
        <f>+'Detailed Assumps'!Z627</f>
        <v>0</v>
      </c>
      <c r="AA37" s="8">
        <f t="shared" si="0"/>
        <v>0</v>
      </c>
    </row>
    <row r="38" spans="1:27" x14ac:dyDescent="0.2">
      <c r="A38" s="2" t="str">
        <f>+'$'!C38</f>
        <v>NextEra Energy</v>
      </c>
      <c r="B38" s="1"/>
      <c r="C38" s="22">
        <f>+'Detailed Assumps'!C547</f>
        <v>0</v>
      </c>
      <c r="D38" s="22">
        <f>+'Detailed Assumps'!D547</f>
        <v>0</v>
      </c>
      <c r="E38" s="22">
        <f>+'Detailed Assumps'!E547</f>
        <v>0</v>
      </c>
      <c r="F38" s="22">
        <f>+'Detailed Assumps'!F547</f>
        <v>0</v>
      </c>
      <c r="G38" s="22">
        <f>+'Detailed Assumps'!G547</f>
        <v>0</v>
      </c>
      <c r="H38" s="22">
        <f>+'Detailed Assumps'!H547</f>
        <v>0</v>
      </c>
      <c r="I38" s="22">
        <f>+'Detailed Assumps'!I547</f>
        <v>0</v>
      </c>
      <c r="J38" s="22">
        <f>+'Detailed Assumps'!J547</f>
        <v>0</v>
      </c>
      <c r="K38" s="22">
        <f>+'Detailed Assumps'!K547</f>
        <v>0</v>
      </c>
      <c r="L38" s="22">
        <f>+'Detailed Assumps'!L547</f>
        <v>0</v>
      </c>
      <c r="M38" s="22">
        <f>+'Detailed Assumps'!M547</f>
        <v>0</v>
      </c>
      <c r="N38" s="22">
        <f>+'Detailed Assumps'!N547</f>
        <v>0</v>
      </c>
      <c r="O38" s="22">
        <f>+'Detailed Assumps'!O547</f>
        <v>0</v>
      </c>
      <c r="P38" s="22">
        <f>+'Detailed Assumps'!P547</f>
        <v>0</v>
      </c>
      <c r="Q38" s="22">
        <f>+'Detailed Assumps'!Q547</f>
        <v>0</v>
      </c>
      <c r="R38" s="22">
        <f>+'Detailed Assumps'!R547</f>
        <v>0</v>
      </c>
      <c r="S38" s="22">
        <f>+'Detailed Assumps'!S547</f>
        <v>0</v>
      </c>
      <c r="T38" s="22">
        <f>+'Detailed Assumps'!T547</f>
        <v>0</v>
      </c>
      <c r="U38" s="22">
        <f>+'Detailed Assumps'!U547</f>
        <v>0</v>
      </c>
      <c r="V38" s="22">
        <f>+'Detailed Assumps'!V547</f>
        <v>0</v>
      </c>
      <c r="W38" s="22">
        <f>+'Detailed Assumps'!W547</f>
        <v>0</v>
      </c>
      <c r="X38" s="22">
        <f>+'Detailed Assumps'!X547</f>
        <v>0</v>
      </c>
      <c r="Y38" s="22">
        <f>+'Detailed Assumps'!Y547</f>
        <v>0</v>
      </c>
      <c r="Z38" s="22">
        <f>+'Detailed Assumps'!Z547</f>
        <v>0</v>
      </c>
      <c r="AA38" s="8">
        <f t="shared" si="0"/>
        <v>0</v>
      </c>
    </row>
    <row r="39" spans="1:27" x14ac:dyDescent="0.2">
      <c r="A39" s="2" t="str">
        <f>+'$'!C39</f>
        <v>NextEra - Capacity</v>
      </c>
      <c r="B39" s="7" t="str">
        <f>+'$'!D39</f>
        <v>Demand</v>
      </c>
      <c r="C39" s="108"/>
      <c r="D39" s="108"/>
      <c r="E39" s="108"/>
      <c r="F39" s="108"/>
      <c r="G39" s="108"/>
      <c r="H39" s="108"/>
      <c r="I39" s="108"/>
      <c r="J39" s="108"/>
      <c r="K39" s="108"/>
      <c r="L39" s="108"/>
      <c r="M39" s="108"/>
      <c r="N39" s="108"/>
      <c r="O39" s="108"/>
      <c r="P39" s="108"/>
      <c r="Q39" s="108"/>
      <c r="R39" s="108"/>
      <c r="S39" s="108"/>
      <c r="T39" s="108"/>
      <c r="U39" s="108"/>
      <c r="V39" s="108"/>
      <c r="W39" s="108"/>
      <c r="X39" s="108"/>
      <c r="Y39" s="108"/>
      <c r="Z39" s="108"/>
      <c r="AA39" s="8">
        <f t="shared" si="0"/>
        <v>0</v>
      </c>
    </row>
    <row r="40" spans="1:27" x14ac:dyDescent="0.2">
      <c r="A40" s="2" t="str">
        <f>+'$'!C40</f>
        <v xml:space="preserve">NextEra - Seabrook - Energy </v>
      </c>
      <c r="B40" s="1"/>
      <c r="C40" s="22">
        <f>+'Detailed Assumps'!C555</f>
        <v>7254</v>
      </c>
      <c r="D40" s="22">
        <f>+'Detailed Assumps'!D555</f>
        <v>6786</v>
      </c>
      <c r="E40" s="22">
        <f>+'Detailed Assumps'!E555</f>
        <v>7244.25</v>
      </c>
      <c r="F40" s="22">
        <f>+'Detailed Assumps'!F555</f>
        <v>7020</v>
      </c>
      <c r="G40" s="22">
        <f>+'Detailed Assumps'!G555</f>
        <v>7254</v>
      </c>
      <c r="H40" s="22">
        <f>+'Detailed Assumps'!H555</f>
        <v>7020</v>
      </c>
      <c r="I40" s="22">
        <f>+'Detailed Assumps'!I555</f>
        <v>7254</v>
      </c>
      <c r="J40" s="22">
        <f>+'Detailed Assumps'!J555</f>
        <v>7254</v>
      </c>
      <c r="K40" s="22">
        <f>+'Detailed Assumps'!K555</f>
        <v>7020</v>
      </c>
      <c r="L40" s="22">
        <f>+'Detailed Assumps'!L555</f>
        <v>0</v>
      </c>
      <c r="M40" s="22">
        <f>+'Detailed Assumps'!M555</f>
        <v>7029.75</v>
      </c>
      <c r="N40" s="22">
        <f>+'Detailed Assumps'!N555</f>
        <v>7254</v>
      </c>
      <c r="O40" s="22">
        <f>+'Detailed Assumps'!O555</f>
        <v>7254</v>
      </c>
      <c r="P40" s="22">
        <f>+'Detailed Assumps'!P555</f>
        <v>6552</v>
      </c>
      <c r="Q40" s="22">
        <f>+'Detailed Assumps'!Q555</f>
        <v>7244.25</v>
      </c>
      <c r="R40" s="22">
        <f>+'Detailed Assumps'!R555</f>
        <v>7020</v>
      </c>
      <c r="S40" s="22">
        <f>+'Detailed Assumps'!S555</f>
        <v>7254</v>
      </c>
      <c r="T40" s="22">
        <f>+'Detailed Assumps'!T555</f>
        <v>7020</v>
      </c>
      <c r="U40" s="22">
        <f>+'Detailed Assumps'!U555</f>
        <v>7254</v>
      </c>
      <c r="V40" s="22">
        <f>+'Detailed Assumps'!V555</f>
        <v>7254</v>
      </c>
      <c r="W40" s="22">
        <f>+'Detailed Assumps'!W555</f>
        <v>7020</v>
      </c>
      <c r="X40" s="22">
        <f>+'Detailed Assumps'!X555</f>
        <v>7254</v>
      </c>
      <c r="Y40" s="22">
        <f>+'Detailed Assumps'!Y555</f>
        <v>7029.75</v>
      </c>
      <c r="Z40" s="22">
        <f>+'Detailed Assumps'!Z555</f>
        <v>7254</v>
      </c>
      <c r="AA40" s="8">
        <f t="shared" si="0"/>
        <v>85410</v>
      </c>
    </row>
    <row r="41" spans="1:27" x14ac:dyDescent="0.2">
      <c r="A41" s="2" t="str">
        <f>+'$'!C41</f>
        <v xml:space="preserve">NextEra - Seabrook - Capacity </v>
      </c>
      <c r="B41" s="1"/>
      <c r="C41" s="108"/>
      <c r="D41" s="108"/>
      <c r="E41" s="108"/>
      <c r="F41" s="108"/>
      <c r="G41" s="108"/>
      <c r="H41" s="108"/>
      <c r="I41" s="108"/>
      <c r="J41" s="108"/>
      <c r="K41" s="108"/>
      <c r="L41" s="108"/>
      <c r="M41" s="108"/>
      <c r="N41" s="108"/>
      <c r="O41" s="108"/>
      <c r="P41" s="108"/>
      <c r="Q41" s="108"/>
      <c r="R41" s="108"/>
      <c r="S41" s="108"/>
      <c r="T41" s="108"/>
      <c r="U41" s="108"/>
      <c r="V41" s="108"/>
      <c r="W41" s="108"/>
      <c r="X41" s="108"/>
      <c r="Y41" s="108"/>
      <c r="Z41" s="108"/>
      <c r="AA41" s="8">
        <f t="shared" si="0"/>
        <v>0</v>
      </c>
    </row>
    <row r="42" spans="1:27" x14ac:dyDescent="0.2">
      <c r="A42" s="2" t="str">
        <f>+'$'!C42</f>
        <v>JP Morgan</v>
      </c>
      <c r="B42" s="1"/>
      <c r="C42" s="22">
        <f>+'Detailed Assumps'!C635</f>
        <v>0</v>
      </c>
      <c r="D42" s="22">
        <f>+'Detailed Assumps'!D635</f>
        <v>0</v>
      </c>
      <c r="E42" s="22">
        <f>+'Detailed Assumps'!E635</f>
        <v>0</v>
      </c>
      <c r="F42" s="22">
        <f>+'Detailed Assumps'!F635</f>
        <v>0</v>
      </c>
      <c r="G42" s="22">
        <f>+'Detailed Assumps'!G635</f>
        <v>0</v>
      </c>
      <c r="H42" s="22">
        <f>+'Detailed Assumps'!H635</f>
        <v>0</v>
      </c>
      <c r="I42" s="22">
        <f>+'Detailed Assumps'!I635</f>
        <v>0</v>
      </c>
      <c r="J42" s="22">
        <f>+'Detailed Assumps'!J635</f>
        <v>0</v>
      </c>
      <c r="K42" s="22">
        <f>+'Detailed Assumps'!K635</f>
        <v>0</v>
      </c>
      <c r="L42" s="22">
        <f>+'Detailed Assumps'!L635</f>
        <v>0</v>
      </c>
      <c r="M42" s="22">
        <f>+'Detailed Assumps'!M635</f>
        <v>0</v>
      </c>
      <c r="N42" s="22">
        <f>+'Detailed Assumps'!N635</f>
        <v>0</v>
      </c>
      <c r="O42" s="22">
        <f>+'Detailed Assumps'!O635</f>
        <v>0</v>
      </c>
      <c r="P42" s="22">
        <f>+'Detailed Assumps'!P635</f>
        <v>0</v>
      </c>
      <c r="Q42" s="22">
        <f>+'Detailed Assumps'!Q635</f>
        <v>0</v>
      </c>
      <c r="R42" s="22">
        <f>+'Detailed Assumps'!R635</f>
        <v>0</v>
      </c>
      <c r="S42" s="22">
        <f>+'Detailed Assumps'!S635</f>
        <v>0</v>
      </c>
      <c r="T42" s="22">
        <f>+'Detailed Assumps'!T635</f>
        <v>0</v>
      </c>
      <c r="U42" s="22">
        <f>+'Detailed Assumps'!U635</f>
        <v>0</v>
      </c>
      <c r="V42" s="22">
        <f>+'Detailed Assumps'!V635</f>
        <v>0</v>
      </c>
      <c r="W42" s="22">
        <f>+'Detailed Assumps'!W635</f>
        <v>0</v>
      </c>
      <c r="X42" s="22">
        <f>+'Detailed Assumps'!X635</f>
        <v>0</v>
      </c>
      <c r="Y42" s="22">
        <f>+'Detailed Assumps'!Y635</f>
        <v>0</v>
      </c>
      <c r="Z42" s="22">
        <f>+'Detailed Assumps'!Z635</f>
        <v>0</v>
      </c>
      <c r="AA42" s="8">
        <f t="shared" si="0"/>
        <v>0</v>
      </c>
    </row>
    <row r="43" spans="1:27" x14ac:dyDescent="0.2">
      <c r="A43" s="2" t="str">
        <f>+'$'!C43</f>
        <v>BP Energy</v>
      </c>
      <c r="B43" s="1"/>
      <c r="C43" s="22">
        <f>+'Detailed Assumps'!C597</f>
        <v>0</v>
      </c>
      <c r="D43" s="22">
        <f>+'Detailed Assumps'!D597</f>
        <v>0</v>
      </c>
      <c r="E43" s="22">
        <f>+'Detailed Assumps'!E597</f>
        <v>0</v>
      </c>
      <c r="F43" s="22">
        <f>+'Detailed Assumps'!F597</f>
        <v>0</v>
      </c>
      <c r="G43" s="22">
        <f>+'Detailed Assumps'!G597</f>
        <v>0</v>
      </c>
      <c r="H43" s="22">
        <f>+'Detailed Assumps'!H597</f>
        <v>0</v>
      </c>
      <c r="I43" s="22">
        <f>+'Detailed Assumps'!I597</f>
        <v>0</v>
      </c>
      <c r="J43" s="22">
        <f>+'Detailed Assumps'!J597</f>
        <v>0</v>
      </c>
      <c r="K43" s="22">
        <f>+'Detailed Assumps'!K597</f>
        <v>0</v>
      </c>
      <c r="L43" s="22">
        <f>+'Detailed Assumps'!L597</f>
        <v>0</v>
      </c>
      <c r="M43" s="22">
        <f>+'Detailed Assumps'!M597</f>
        <v>0</v>
      </c>
      <c r="N43" s="22">
        <f>+'Detailed Assumps'!N597</f>
        <v>0</v>
      </c>
      <c r="O43" s="22">
        <f>+'Detailed Assumps'!O597</f>
        <v>0</v>
      </c>
      <c r="P43" s="22">
        <f>+'Detailed Assumps'!P597</f>
        <v>0</v>
      </c>
      <c r="Q43" s="22">
        <f>+'Detailed Assumps'!Q597</f>
        <v>0</v>
      </c>
      <c r="R43" s="22">
        <f>+'Detailed Assumps'!R597</f>
        <v>0</v>
      </c>
      <c r="S43" s="22">
        <f>+'Detailed Assumps'!S597</f>
        <v>0</v>
      </c>
      <c r="T43" s="22">
        <f>+'Detailed Assumps'!T597</f>
        <v>0</v>
      </c>
      <c r="U43" s="22">
        <f>+'Detailed Assumps'!U597</f>
        <v>0</v>
      </c>
      <c r="V43" s="22">
        <f>+'Detailed Assumps'!V597</f>
        <v>0</v>
      </c>
      <c r="W43" s="22">
        <f>+'Detailed Assumps'!W597</f>
        <v>0</v>
      </c>
      <c r="X43" s="22">
        <f>+'Detailed Assumps'!X597</f>
        <v>0</v>
      </c>
      <c r="Y43" s="22">
        <f>+'Detailed Assumps'!Y597</f>
        <v>0</v>
      </c>
      <c r="Z43" s="22">
        <f>+'Detailed Assumps'!Z597</f>
        <v>0</v>
      </c>
      <c r="AA43" s="8">
        <f t="shared" si="0"/>
        <v>0</v>
      </c>
    </row>
    <row r="44" spans="1:27" x14ac:dyDescent="0.2">
      <c r="A44" s="2" t="str">
        <f>+'$'!C44</f>
        <v>Excelon - Energy</v>
      </c>
      <c r="B44" s="1"/>
      <c r="C44" s="22">
        <f>+'Detailed Assumps'!C532</f>
        <v>0</v>
      </c>
      <c r="D44" s="22">
        <f>+'Detailed Assumps'!D532</f>
        <v>0</v>
      </c>
      <c r="E44" s="22">
        <f>+'Detailed Assumps'!E532</f>
        <v>0</v>
      </c>
      <c r="F44" s="22">
        <f>+'Detailed Assumps'!F532</f>
        <v>0</v>
      </c>
      <c r="G44" s="22">
        <f>+'Detailed Assumps'!G532</f>
        <v>0</v>
      </c>
      <c r="H44" s="22">
        <f>+'Detailed Assumps'!H532</f>
        <v>0</v>
      </c>
      <c r="I44" s="22">
        <f>+'Detailed Assumps'!I532</f>
        <v>0</v>
      </c>
      <c r="J44" s="22">
        <f>+'Detailed Assumps'!J532</f>
        <v>0</v>
      </c>
      <c r="K44" s="22">
        <f>+'Detailed Assumps'!K532</f>
        <v>0</v>
      </c>
      <c r="L44" s="22">
        <f>+'Detailed Assumps'!L532</f>
        <v>0</v>
      </c>
      <c r="M44" s="22">
        <f>+'Detailed Assumps'!M532</f>
        <v>0</v>
      </c>
      <c r="N44" s="22">
        <f>+'Detailed Assumps'!N532</f>
        <v>0</v>
      </c>
      <c r="O44" s="22">
        <f>+'Detailed Assumps'!O532</f>
        <v>0</v>
      </c>
      <c r="P44" s="22">
        <f>+'Detailed Assumps'!P532</f>
        <v>0</v>
      </c>
      <c r="Q44" s="22">
        <f>+'Detailed Assumps'!Q532</f>
        <v>0</v>
      </c>
      <c r="R44" s="22">
        <f>+'Detailed Assumps'!R532</f>
        <v>0</v>
      </c>
      <c r="S44" s="22">
        <f>+'Detailed Assumps'!S532</f>
        <v>0</v>
      </c>
      <c r="T44" s="22">
        <f>+'Detailed Assumps'!T532</f>
        <v>0</v>
      </c>
      <c r="U44" s="22">
        <f>+'Detailed Assumps'!U532</f>
        <v>0</v>
      </c>
      <c r="V44" s="22">
        <f>+'Detailed Assumps'!V532</f>
        <v>0</v>
      </c>
      <c r="W44" s="22">
        <f>+'Detailed Assumps'!W532</f>
        <v>0</v>
      </c>
      <c r="X44" s="22">
        <f>+'Detailed Assumps'!X532</f>
        <v>0</v>
      </c>
      <c r="Y44" s="22">
        <f>+'Detailed Assumps'!Y532</f>
        <v>0</v>
      </c>
      <c r="Z44" s="22">
        <f>+'Detailed Assumps'!Z532</f>
        <v>0</v>
      </c>
      <c r="AA44" s="8">
        <f t="shared" si="0"/>
        <v>0</v>
      </c>
    </row>
    <row r="45" spans="1:27" x14ac:dyDescent="0.2">
      <c r="A45" s="2" t="str">
        <f>+'$'!C45</f>
        <v>Excelon - Capacity</v>
      </c>
      <c r="B45" s="7" t="str">
        <f>+'$'!D45</f>
        <v>Demand</v>
      </c>
      <c r="C45" s="108"/>
      <c r="D45" s="108"/>
      <c r="E45" s="108"/>
      <c r="F45" s="108"/>
      <c r="G45" s="108"/>
      <c r="H45" s="108"/>
      <c r="I45" s="108"/>
      <c r="J45" s="108"/>
      <c r="K45" s="108"/>
      <c r="L45" s="108"/>
      <c r="M45" s="108"/>
      <c r="N45" s="108"/>
      <c r="O45" s="108"/>
      <c r="P45" s="108"/>
      <c r="Q45" s="108"/>
      <c r="R45" s="108"/>
      <c r="S45" s="108"/>
      <c r="T45" s="108"/>
      <c r="U45" s="108"/>
      <c r="V45" s="108"/>
      <c r="W45" s="108"/>
      <c r="X45" s="108"/>
      <c r="Y45" s="108"/>
      <c r="Z45" s="108"/>
      <c r="AA45" s="8">
        <f t="shared" si="0"/>
        <v>0</v>
      </c>
    </row>
    <row r="46" spans="1:27" x14ac:dyDescent="0.2">
      <c r="A46" s="2" t="str">
        <f>+'$'!C46</f>
        <v>Brookfield - Capacity</v>
      </c>
      <c r="B46" s="7"/>
      <c r="C46" s="108"/>
      <c r="D46" s="108"/>
      <c r="E46" s="108"/>
      <c r="F46" s="108"/>
      <c r="G46" s="108"/>
      <c r="H46" s="108"/>
      <c r="I46" s="108"/>
      <c r="J46" s="108"/>
      <c r="K46" s="108"/>
      <c r="L46" s="108"/>
      <c r="M46" s="108"/>
      <c r="N46" s="108"/>
      <c r="O46" s="108"/>
      <c r="P46" s="108"/>
      <c r="Q46" s="108"/>
      <c r="R46" s="108"/>
      <c r="S46" s="108"/>
      <c r="T46" s="108"/>
      <c r="U46" s="108"/>
      <c r="V46" s="108"/>
      <c r="W46" s="108"/>
      <c r="X46" s="108"/>
      <c r="Y46" s="108"/>
      <c r="Z46" s="108"/>
      <c r="AA46" s="8">
        <f t="shared" si="0"/>
        <v>0</v>
      </c>
    </row>
    <row r="47" spans="1:27" x14ac:dyDescent="0.2">
      <c r="A47" s="2" t="str">
        <f>+'$'!C47</f>
        <v>HQ ICC Settlement</v>
      </c>
      <c r="B47" s="7"/>
      <c r="C47" s="108"/>
      <c r="D47" s="108"/>
      <c r="E47" s="108"/>
      <c r="F47" s="108"/>
      <c r="G47" s="108"/>
      <c r="H47" s="108"/>
      <c r="I47" s="108"/>
      <c r="J47" s="108"/>
      <c r="K47" s="108"/>
      <c r="L47" s="108"/>
      <c r="M47" s="108"/>
      <c r="N47" s="108"/>
      <c r="O47" s="108"/>
      <c r="P47" s="108"/>
      <c r="Q47" s="108"/>
      <c r="R47" s="108"/>
      <c r="S47" s="108"/>
      <c r="T47" s="108"/>
      <c r="U47" s="108"/>
      <c r="V47" s="108"/>
      <c r="W47" s="108"/>
      <c r="X47" s="108"/>
      <c r="Y47" s="108"/>
      <c r="Z47" s="108"/>
      <c r="AA47" s="8">
        <f t="shared" si="0"/>
        <v>0</v>
      </c>
    </row>
    <row r="48" spans="1:27" x14ac:dyDescent="0.2">
      <c r="A48" s="2" t="str">
        <f>+'$'!C48</f>
        <v>Net Metering</v>
      </c>
      <c r="B48" s="7" t="str">
        <f>+'$'!D48</f>
        <v>Energy</v>
      </c>
      <c r="C48" s="186">
        <f>+'Detailed Assumps'!C300</f>
        <v>430.53100000000001</v>
      </c>
      <c r="D48" s="186">
        <f>+'Detailed Assumps'!D300</f>
        <v>395.31299999999999</v>
      </c>
      <c r="E48" s="186">
        <f>+'Detailed Assumps'!E300</f>
        <v>626.71799999999996</v>
      </c>
      <c r="F48" s="186">
        <f>+'Detailed Assumps'!F300</f>
        <v>1376.009</v>
      </c>
      <c r="G48" s="186">
        <f>+'Detailed Assumps'!G300</f>
        <v>2250.1590000000001</v>
      </c>
      <c r="H48" s="186">
        <f>+'Detailed Assumps'!H300</f>
        <v>2966.8330000000001</v>
      </c>
      <c r="I48" s="186">
        <f>+'Detailed Assumps'!I300</f>
        <v>2493.7660000000001</v>
      </c>
      <c r="J48" s="186">
        <f>+'Detailed Assumps'!J300</f>
        <v>2211.4859999999999</v>
      </c>
      <c r="K48" s="186">
        <f>+'Detailed Assumps'!K300</f>
        <v>1698.8209999999999</v>
      </c>
      <c r="L48" s="186">
        <f>+'Detailed Assumps'!L300</f>
        <v>1312.9960000000001</v>
      </c>
      <c r="M48" s="186">
        <f>+'Detailed Assumps'!M300</f>
        <v>1202.5719999999999</v>
      </c>
      <c r="N48" s="186">
        <f>+'Detailed Assumps'!N300</f>
        <v>612.94000000000005</v>
      </c>
      <c r="O48" s="186">
        <f>+'Detailed Assumps'!O300</f>
        <v>314.54000000000002</v>
      </c>
      <c r="P48" s="186">
        <f>+'Detailed Assumps'!P300</f>
        <v>436.35500000000002</v>
      </c>
      <c r="Q48" s="186">
        <f>+'Detailed Assumps'!Q300</f>
        <v>1449.615</v>
      </c>
      <c r="R48" s="186">
        <f>+'Detailed Assumps'!R300</f>
        <v>1568.808</v>
      </c>
      <c r="S48" s="186">
        <f>+'Detailed Assumps'!S300</f>
        <v>2332.5340000000001</v>
      </c>
      <c r="T48" s="186">
        <f>+'Detailed Assumps'!T300</f>
        <v>3240.2579999999998</v>
      </c>
      <c r="U48" s="186">
        <f>+'Detailed Assumps'!U300</f>
        <v>2058.4160000000002</v>
      </c>
      <c r="V48" s="186">
        <f>+'Detailed Assumps'!V300</f>
        <v>1990.952</v>
      </c>
      <c r="W48" s="186">
        <f>+'Detailed Assumps'!W300</f>
        <v>1810.067</v>
      </c>
      <c r="X48" s="186">
        <f>+'Detailed Assumps'!X300</f>
        <v>1478.998</v>
      </c>
      <c r="Y48" s="186">
        <f>+'Detailed Assumps'!Y300</f>
        <v>574.27300000000002</v>
      </c>
      <c r="Z48" s="186">
        <f>+'Detailed Assumps'!Z300</f>
        <v>393.69900000000001</v>
      </c>
      <c r="AA48" s="8">
        <f t="shared" si="0"/>
        <v>17648.515000000003</v>
      </c>
    </row>
    <row r="49" spans="1:27" x14ac:dyDescent="0.2">
      <c r="A49" s="2" t="str">
        <f>+'$'!C49</f>
        <v>Settlement - Energy</v>
      </c>
      <c r="B49" s="1" t="s">
        <v>2</v>
      </c>
      <c r="C49" s="22">
        <f>+'Detailed Assumps'!C706+C70</f>
        <v>6929.4939923358907</v>
      </c>
      <c r="D49" s="22">
        <f>+'Detailed Assumps'!D706+D70</f>
        <v>2727.9315919861983</v>
      </c>
      <c r="E49" s="22">
        <f>+'Detailed Assumps'!E706+E70</f>
        <v>849.10542187518149</v>
      </c>
      <c r="F49" s="22">
        <f>+'Detailed Assumps'!F706+F70</f>
        <v>-9125.625379122197</v>
      </c>
      <c r="G49" s="22">
        <f>+'Detailed Assumps'!G706+G70</f>
        <v>-6453.1901799193292</v>
      </c>
      <c r="H49" s="22">
        <f>+'Detailed Assumps'!H706+H70</f>
        <v>1627.9702257182071</v>
      </c>
      <c r="I49" s="22">
        <f>+'Detailed Assumps'!I706+I70</f>
        <v>-6939.7026673883593</v>
      </c>
      <c r="J49" s="22">
        <f>+'Detailed Assumps'!J706+J70</f>
        <v>379.53345697150507</v>
      </c>
      <c r="K49" s="22">
        <f>+'Detailed Assumps'!K706+K70</f>
        <v>-6834.3890030856492</v>
      </c>
      <c r="L49" s="22">
        <f>+'Detailed Assumps'!L706+L70</f>
        <v>-2875.455734619507</v>
      </c>
      <c r="M49" s="22">
        <f>+'Detailed Assumps'!M706+M70</f>
        <v>-7455.4834601085895</v>
      </c>
      <c r="N49" s="22">
        <f>+'Detailed Assumps'!N706+N70</f>
        <v>-6273.4454232424541</v>
      </c>
      <c r="O49" s="22">
        <f>+'Detailed Assumps'!O706+O70</f>
        <v>4906.1099727097899</v>
      </c>
      <c r="P49" s="22">
        <f>+'Detailed Assumps'!P706+P70</f>
        <v>-1366.5417987590408</v>
      </c>
      <c r="Q49" s="22">
        <f>+'Detailed Assumps'!Q706+Q70</f>
        <v>-4569.8358651279996</v>
      </c>
      <c r="R49" s="22">
        <f>+'Detailed Assumps'!R706+R70</f>
        <v>-5728.7852430080093</v>
      </c>
      <c r="S49" s="22">
        <f>+'Detailed Assumps'!S706+S70</f>
        <v>-6792.0316822199966</v>
      </c>
      <c r="T49" s="22">
        <f>+'Detailed Assumps'!T706+T70</f>
        <v>-8129.2642136499999</v>
      </c>
      <c r="U49" s="22">
        <f>+'Detailed Assumps'!U706+U70</f>
        <v>-5948.6692409839961</v>
      </c>
      <c r="V49" s="22">
        <f>+'Detailed Assumps'!V706+V70</f>
        <v>-11145.390051392002</v>
      </c>
      <c r="W49" s="22">
        <f>+'Detailed Assumps'!W706+W70</f>
        <v>-1524.5412575359951</v>
      </c>
      <c r="X49" s="22">
        <f>+'Detailed Assumps'!X706+X70</f>
        <v>-7244.2086052239974</v>
      </c>
      <c r="Y49" s="22">
        <f>+'Detailed Assumps'!Y706+Y70</f>
        <v>-6199.9366896119973</v>
      </c>
      <c r="Z49" s="22">
        <f>+'Detailed Assumps'!Z706+Z70</f>
        <v>5590.6080616060062</v>
      </c>
      <c r="AA49" s="8">
        <f t="shared" si="0"/>
        <v>-48152.486613197238</v>
      </c>
    </row>
    <row r="50" spans="1:27" x14ac:dyDescent="0.2">
      <c r="A50" s="2"/>
      <c r="B50" s="1" t="s">
        <v>154</v>
      </c>
      <c r="C50" s="40"/>
      <c r="D50" s="40"/>
      <c r="E50" s="40"/>
      <c r="F50" s="40"/>
      <c r="G50" s="40"/>
      <c r="H50" s="40"/>
      <c r="I50" s="40"/>
      <c r="J50" s="40"/>
      <c r="K50" s="40"/>
      <c r="L50" s="40"/>
      <c r="M50" s="40"/>
      <c r="N50" s="40"/>
      <c r="O50" s="40"/>
      <c r="P50" s="40"/>
      <c r="Q50" s="40"/>
      <c r="R50" s="40"/>
      <c r="S50" s="40"/>
      <c r="T50" s="40"/>
      <c r="U50" s="40"/>
      <c r="V50" s="40"/>
      <c r="W50" s="40"/>
      <c r="X50" s="40"/>
      <c r="Y50" s="40"/>
      <c r="Z50" s="40"/>
      <c r="AA50" s="8">
        <f t="shared" si="0"/>
        <v>0</v>
      </c>
    </row>
    <row r="51" spans="1:27" x14ac:dyDescent="0.2">
      <c r="A51" s="2"/>
      <c r="B51" s="1" t="s">
        <v>156</v>
      </c>
      <c r="C51" s="40"/>
      <c r="D51" s="40"/>
      <c r="E51" s="40"/>
      <c r="F51" s="40"/>
      <c r="G51" s="40"/>
      <c r="H51" s="40"/>
      <c r="I51" s="40"/>
      <c r="J51" s="40"/>
      <c r="K51" s="40"/>
      <c r="L51" s="40"/>
      <c r="M51" s="40"/>
      <c r="N51" s="40"/>
      <c r="O51" s="40"/>
      <c r="P51" s="40"/>
      <c r="Q51" s="40"/>
      <c r="R51" s="40"/>
      <c r="S51" s="40"/>
      <c r="T51" s="40"/>
      <c r="U51" s="40"/>
      <c r="V51" s="40"/>
      <c r="W51" s="40"/>
      <c r="X51" s="40"/>
      <c r="Y51" s="40"/>
      <c r="Z51" s="40"/>
      <c r="AA51" s="8">
        <f t="shared" si="0"/>
        <v>0</v>
      </c>
    </row>
    <row r="52" spans="1:27" x14ac:dyDescent="0.2">
      <c r="A52" s="2"/>
      <c r="B52" s="1" t="s">
        <v>155</v>
      </c>
      <c r="C52" s="40"/>
      <c r="D52" s="40"/>
      <c r="E52" s="40"/>
      <c r="F52" s="40"/>
      <c r="G52" s="40"/>
      <c r="H52" s="40"/>
      <c r="I52" s="40"/>
      <c r="J52" s="40"/>
      <c r="K52" s="40"/>
      <c r="L52" s="40"/>
      <c r="M52" s="40"/>
      <c r="N52" s="40"/>
      <c r="O52" s="40"/>
      <c r="P52" s="40"/>
      <c r="Q52" s="40"/>
      <c r="R52" s="40"/>
      <c r="S52" s="40"/>
      <c r="T52" s="40"/>
      <c r="U52" s="40"/>
      <c r="V52" s="40"/>
      <c r="W52" s="40"/>
      <c r="X52" s="40"/>
      <c r="Y52" s="40"/>
      <c r="Z52" s="40"/>
      <c r="AA52" s="8">
        <f t="shared" si="0"/>
        <v>0</v>
      </c>
    </row>
    <row r="53" spans="1:27" x14ac:dyDescent="0.2">
      <c r="A53" s="2"/>
      <c r="B53" s="1" t="s">
        <v>157</v>
      </c>
      <c r="C53" s="40"/>
      <c r="D53" s="40"/>
      <c r="E53" s="40"/>
      <c r="F53" s="40"/>
      <c r="G53" s="40"/>
      <c r="H53" s="40"/>
      <c r="I53" s="40"/>
      <c r="J53" s="40"/>
      <c r="K53" s="40"/>
      <c r="L53" s="40"/>
      <c r="M53" s="40"/>
      <c r="N53" s="40"/>
      <c r="O53" s="40"/>
      <c r="P53" s="40"/>
      <c r="Q53" s="40"/>
      <c r="R53" s="40"/>
      <c r="S53" s="40"/>
      <c r="T53" s="40"/>
      <c r="U53" s="40"/>
      <c r="V53" s="40"/>
      <c r="W53" s="40"/>
      <c r="X53" s="40"/>
      <c r="Y53" s="40"/>
      <c r="Z53" s="40"/>
      <c r="AA53" s="8">
        <f t="shared" si="0"/>
        <v>0</v>
      </c>
    </row>
    <row r="54" spans="1:27" x14ac:dyDescent="0.2">
      <c r="A54" s="2"/>
      <c r="B54" s="1" t="s">
        <v>59</v>
      </c>
      <c r="C54" s="40"/>
      <c r="D54" s="40"/>
      <c r="E54" s="40"/>
      <c r="F54" s="40"/>
      <c r="G54" s="40"/>
      <c r="H54" s="40"/>
      <c r="I54" s="40"/>
      <c r="J54" s="40"/>
      <c r="K54" s="40"/>
      <c r="L54" s="40"/>
      <c r="M54" s="40"/>
      <c r="N54" s="40"/>
      <c r="O54" s="40"/>
      <c r="P54" s="40"/>
      <c r="Q54" s="40"/>
      <c r="R54" s="40"/>
      <c r="S54" s="40"/>
      <c r="T54" s="40"/>
      <c r="U54" s="40"/>
      <c r="V54" s="40"/>
      <c r="W54" s="40"/>
      <c r="X54" s="40"/>
      <c r="Y54" s="40"/>
      <c r="Z54" s="40"/>
      <c r="AA54" s="8">
        <f t="shared" si="0"/>
        <v>0</v>
      </c>
    </row>
    <row r="55" spans="1:27" x14ac:dyDescent="0.2">
      <c r="A55" s="2"/>
      <c r="B55" s="1" t="s">
        <v>60</v>
      </c>
      <c r="C55" s="40"/>
      <c r="D55" s="40"/>
      <c r="E55" s="40"/>
      <c r="F55" s="40"/>
      <c r="G55" s="40"/>
      <c r="H55" s="40"/>
      <c r="I55" s="40"/>
      <c r="J55" s="40"/>
      <c r="K55" s="40"/>
      <c r="L55" s="40"/>
      <c r="M55" s="40"/>
      <c r="N55" s="40"/>
      <c r="O55" s="40"/>
      <c r="P55" s="40"/>
      <c r="Q55" s="40"/>
      <c r="R55" s="40"/>
      <c r="S55" s="40"/>
      <c r="T55" s="40"/>
      <c r="U55" s="40"/>
      <c r="V55" s="40"/>
      <c r="W55" s="40"/>
      <c r="X55" s="40"/>
      <c r="Y55" s="40"/>
      <c r="Z55" s="40"/>
      <c r="AA55" s="8">
        <f t="shared" si="0"/>
        <v>0</v>
      </c>
    </row>
    <row r="56" spans="1:27" x14ac:dyDescent="0.2">
      <c r="A56" s="2"/>
      <c r="B56" s="1" t="s">
        <v>57</v>
      </c>
      <c r="C56" s="40"/>
      <c r="D56" s="40"/>
      <c r="E56" s="40"/>
      <c r="F56" s="40"/>
      <c r="G56" s="40"/>
      <c r="H56" s="40"/>
      <c r="I56" s="40"/>
      <c r="J56" s="40"/>
      <c r="K56" s="40"/>
      <c r="L56" s="40"/>
      <c r="M56" s="40"/>
      <c r="N56" s="40"/>
      <c r="O56" s="40"/>
      <c r="P56" s="40"/>
      <c r="Q56" s="40"/>
      <c r="R56" s="40"/>
      <c r="S56" s="40"/>
      <c r="T56" s="40"/>
      <c r="U56" s="40"/>
      <c r="V56" s="40"/>
      <c r="W56" s="40"/>
      <c r="X56" s="40"/>
      <c r="Y56" s="40"/>
      <c r="Z56" s="40"/>
      <c r="AA56" s="8">
        <f t="shared" si="0"/>
        <v>0</v>
      </c>
    </row>
    <row r="57" spans="1:27" x14ac:dyDescent="0.2">
      <c r="A57" s="2"/>
      <c r="B57" s="1" t="s">
        <v>58</v>
      </c>
      <c r="C57" s="40"/>
      <c r="D57" s="40"/>
      <c r="E57" s="40"/>
      <c r="F57" s="40"/>
      <c r="G57" s="40"/>
      <c r="H57" s="40"/>
      <c r="I57" s="40"/>
      <c r="J57" s="40"/>
      <c r="K57" s="40"/>
      <c r="L57" s="40"/>
      <c r="M57" s="40"/>
      <c r="N57" s="40"/>
      <c r="O57" s="40"/>
      <c r="P57" s="40"/>
      <c r="Q57" s="40"/>
      <c r="R57" s="40"/>
      <c r="S57" s="40"/>
      <c r="T57" s="40"/>
      <c r="U57" s="40"/>
      <c r="V57" s="40"/>
      <c r="W57" s="40"/>
      <c r="X57" s="40"/>
      <c r="Y57" s="40"/>
      <c r="Z57" s="40"/>
      <c r="AA57" s="8">
        <f t="shared" si="0"/>
        <v>0</v>
      </c>
    </row>
    <row r="58" spans="1:27" x14ac:dyDescent="0.2">
      <c r="A58" s="2"/>
      <c r="B58" s="1" t="s">
        <v>4</v>
      </c>
      <c r="C58" s="40"/>
      <c r="D58" s="40"/>
      <c r="E58" s="40"/>
      <c r="F58" s="40"/>
      <c r="G58" s="40"/>
      <c r="H58" s="40"/>
      <c r="I58" s="40"/>
      <c r="J58" s="40"/>
      <c r="K58" s="40"/>
      <c r="L58" s="40"/>
      <c r="M58" s="40"/>
      <c r="N58" s="40"/>
      <c r="O58" s="40"/>
      <c r="P58" s="40"/>
      <c r="Q58" s="40"/>
      <c r="R58" s="40"/>
      <c r="S58" s="40"/>
      <c r="T58" s="40"/>
      <c r="U58" s="40"/>
      <c r="V58" s="40"/>
      <c r="W58" s="40"/>
      <c r="X58" s="40"/>
      <c r="Y58" s="40"/>
      <c r="Z58" s="40"/>
      <c r="AA58" s="8">
        <f t="shared" si="0"/>
        <v>0</v>
      </c>
    </row>
    <row r="59" spans="1:27" x14ac:dyDescent="0.2">
      <c r="A59" s="2"/>
      <c r="B59" s="1" t="s">
        <v>5</v>
      </c>
      <c r="C59" s="40"/>
      <c r="D59" s="40"/>
      <c r="E59" s="40"/>
      <c r="F59" s="40"/>
      <c r="G59" s="40"/>
      <c r="H59" s="40"/>
      <c r="I59" s="40"/>
      <c r="J59" s="40"/>
      <c r="K59" s="40"/>
      <c r="L59" s="40"/>
      <c r="M59" s="40"/>
      <c r="N59" s="40"/>
      <c r="O59" s="40"/>
      <c r="P59" s="40"/>
      <c r="Q59" s="40"/>
      <c r="R59" s="40"/>
      <c r="S59" s="40"/>
      <c r="T59" s="40"/>
      <c r="U59" s="40"/>
      <c r="V59" s="40"/>
      <c r="W59" s="40"/>
      <c r="X59" s="40"/>
      <c r="Y59" s="40"/>
      <c r="Z59" s="40"/>
      <c r="AA59" s="8">
        <f t="shared" si="0"/>
        <v>0</v>
      </c>
    </row>
    <row r="60" spans="1:27" x14ac:dyDescent="0.2">
      <c r="A60" s="2" t="str">
        <f>+'$'!C62</f>
        <v>Renewable Energy Certificates</v>
      </c>
      <c r="B60" s="1"/>
      <c r="C60" s="40"/>
      <c r="D60" s="40"/>
      <c r="E60" s="40"/>
      <c r="F60" s="40"/>
      <c r="G60" s="40"/>
      <c r="H60" s="40"/>
      <c r="I60" s="40"/>
      <c r="J60" s="40"/>
      <c r="K60" s="40"/>
      <c r="L60" s="40"/>
      <c r="M60" s="40"/>
      <c r="N60" s="40"/>
      <c r="O60" s="40"/>
      <c r="P60" s="40"/>
      <c r="Q60" s="40"/>
      <c r="R60" s="40"/>
      <c r="S60" s="40"/>
      <c r="T60" s="40"/>
      <c r="U60" s="40"/>
      <c r="V60" s="40"/>
      <c r="W60" s="40"/>
      <c r="X60" s="40"/>
      <c r="Y60" s="40"/>
      <c r="Z60" s="40"/>
      <c r="AA60" s="8">
        <f t="shared" si="0"/>
        <v>0</v>
      </c>
    </row>
    <row r="61" spans="1:27" x14ac:dyDescent="0.2">
      <c r="A61" s="87" t="str">
        <f>+'$'!C79</f>
        <v>VPPSA Peaker</v>
      </c>
      <c r="B61" s="80"/>
      <c r="C61" s="22">
        <f>+'Detailed Assumps'!C647</f>
        <v>1.194</v>
      </c>
      <c r="D61" s="22">
        <f>+'Detailed Assumps'!D647</f>
        <v>0</v>
      </c>
      <c r="E61" s="22">
        <f>+'Detailed Assumps'!E647</f>
        <v>0</v>
      </c>
      <c r="F61" s="22">
        <f>+'Detailed Assumps'!F647</f>
        <v>1.0229999999999999</v>
      </c>
      <c r="G61" s="22">
        <f>+'Detailed Assumps'!G647</f>
        <v>4.984</v>
      </c>
      <c r="H61" s="22">
        <f>+'Detailed Assumps'!H647</f>
        <v>0</v>
      </c>
      <c r="I61" s="22">
        <f>+'Detailed Assumps'!I647</f>
        <v>36.862000000000002</v>
      </c>
      <c r="J61" s="22">
        <f>+'Detailed Assumps'!J647</f>
        <v>12.957000000000001</v>
      </c>
      <c r="K61" s="22">
        <f>+'Detailed Assumps'!K647</f>
        <v>0</v>
      </c>
      <c r="L61" s="22">
        <f>+'Detailed Assumps'!L647</f>
        <v>0</v>
      </c>
      <c r="M61" s="22">
        <f>+'Detailed Assumps'!M647</f>
        <v>0</v>
      </c>
      <c r="N61" s="22">
        <f>+'Detailed Assumps'!N647</f>
        <v>9.0619999999999994</v>
      </c>
      <c r="O61" s="22">
        <f>+'Detailed Assumps'!O647</f>
        <v>1.3</v>
      </c>
      <c r="P61" s="22">
        <f>+'Detailed Assumps'!P647</f>
        <v>0.86199999999999999</v>
      </c>
      <c r="Q61" s="22">
        <f>+'Detailed Assumps'!Q647</f>
        <v>0</v>
      </c>
      <c r="R61" s="22">
        <f>+'Detailed Assumps'!R647</f>
        <v>8.0000000000000002E-3</v>
      </c>
      <c r="S61" s="22">
        <f>+'Detailed Assumps'!S647</f>
        <v>2.0339999999999998</v>
      </c>
      <c r="T61" s="22">
        <f>+'Detailed Assumps'!T647</f>
        <v>0</v>
      </c>
      <c r="U61" s="22">
        <f>+'Detailed Assumps'!U647</f>
        <v>6.5229999999999997</v>
      </c>
      <c r="V61" s="22">
        <f>+'Detailed Assumps'!V647</f>
        <v>10.169</v>
      </c>
      <c r="W61" s="22">
        <f>+'Detailed Assumps'!W647</f>
        <v>12.398</v>
      </c>
      <c r="X61" s="22">
        <f>+'Detailed Assumps'!X647</f>
        <v>13.186999999999999</v>
      </c>
      <c r="Y61" s="22">
        <f>+'Detailed Assumps'!Y647</f>
        <v>11.18</v>
      </c>
      <c r="Z61" s="22">
        <f>+'Detailed Assumps'!Z647</f>
        <v>19.559999999999999</v>
      </c>
      <c r="AA61" s="8">
        <f t="shared" si="0"/>
        <v>77.220999999999989</v>
      </c>
    </row>
    <row r="62" spans="1:27" x14ac:dyDescent="0.2">
      <c r="A62" s="87" t="str">
        <f>+'$'!C80</f>
        <v>VPPSA FCM Settlement</v>
      </c>
      <c r="B62" s="1"/>
      <c r="C62" s="40"/>
      <c r="D62" s="40"/>
      <c r="E62" s="40"/>
      <c r="F62" s="40"/>
      <c r="G62" s="40"/>
      <c r="H62" s="40"/>
      <c r="I62" s="40"/>
      <c r="J62" s="40"/>
      <c r="K62" s="40"/>
      <c r="L62" s="40"/>
      <c r="M62" s="40"/>
      <c r="N62" s="40"/>
      <c r="O62" s="40"/>
      <c r="P62" s="40"/>
      <c r="Q62" s="40"/>
      <c r="R62" s="40"/>
      <c r="S62" s="40"/>
      <c r="T62" s="40"/>
      <c r="U62" s="40"/>
      <c r="V62" s="40"/>
      <c r="W62" s="40"/>
      <c r="X62" s="40"/>
      <c r="Y62" s="40"/>
      <c r="Z62" s="40"/>
      <c r="AA62" s="8">
        <f t="shared" si="0"/>
        <v>0</v>
      </c>
    </row>
    <row r="63" spans="1:27" x14ac:dyDescent="0.2">
      <c r="A63" s="87" t="str">
        <f>+'$'!C81</f>
        <v>VELCO FCM Settlement</v>
      </c>
      <c r="B63" s="1"/>
      <c r="C63" s="40"/>
      <c r="D63" s="40"/>
      <c r="E63" s="40"/>
      <c r="F63" s="40"/>
      <c r="G63" s="40"/>
      <c r="H63" s="40"/>
      <c r="I63" s="40"/>
      <c r="J63" s="40"/>
      <c r="K63" s="40"/>
      <c r="L63" s="40"/>
      <c r="M63" s="40"/>
      <c r="N63" s="40"/>
      <c r="O63" s="40"/>
      <c r="P63" s="40"/>
      <c r="Q63" s="40"/>
      <c r="R63" s="40"/>
      <c r="S63" s="40"/>
      <c r="T63" s="40"/>
      <c r="U63" s="40"/>
      <c r="V63" s="40"/>
      <c r="W63" s="40"/>
      <c r="X63" s="40"/>
      <c r="Y63" s="40"/>
      <c r="Z63" s="40"/>
      <c r="AA63" s="8">
        <f t="shared" si="0"/>
        <v>0</v>
      </c>
    </row>
    <row r="64" spans="1:27" x14ac:dyDescent="0.2">
      <c r="A64" s="87" t="str">
        <f>+'$'!C82</f>
        <v>VELCO - VJO &amp; NYPA Fees</v>
      </c>
      <c r="B64" s="7"/>
      <c r="C64" s="40"/>
      <c r="D64" s="40"/>
      <c r="E64" s="40"/>
      <c r="F64" s="40"/>
      <c r="G64" s="40"/>
      <c r="H64" s="40"/>
      <c r="I64" s="40"/>
      <c r="J64" s="40"/>
      <c r="K64" s="40"/>
      <c r="L64" s="40"/>
      <c r="M64" s="40"/>
      <c r="N64" s="40"/>
      <c r="O64" s="40"/>
      <c r="P64" s="40"/>
      <c r="Q64" s="40"/>
      <c r="R64" s="40"/>
      <c r="S64" s="40"/>
      <c r="T64" s="40"/>
      <c r="U64" s="40"/>
      <c r="V64" s="40"/>
      <c r="W64" s="40"/>
      <c r="X64" s="40"/>
      <c r="Y64" s="40"/>
      <c r="Z64" s="40"/>
      <c r="AA64" s="8">
        <f t="shared" si="0"/>
        <v>0</v>
      </c>
    </row>
    <row r="65" spans="1:27" x14ac:dyDescent="0.2">
      <c r="A65" s="87" t="str">
        <f>+'$'!C84</f>
        <v>Viridity Battery</v>
      </c>
      <c r="B65" s="87" t="str">
        <f>+'$'!D84</f>
        <v>Service</v>
      </c>
      <c r="C65" s="40"/>
      <c r="D65" s="40"/>
      <c r="E65" s="40"/>
      <c r="F65" s="40"/>
      <c r="G65" s="40"/>
      <c r="H65" s="40"/>
      <c r="I65" s="40"/>
      <c r="J65" s="40"/>
      <c r="K65" s="40"/>
      <c r="L65" s="40"/>
      <c r="M65" s="40"/>
      <c r="N65" s="40"/>
      <c r="O65" s="40"/>
      <c r="P65" s="40"/>
      <c r="Q65" s="40"/>
      <c r="R65" s="40"/>
      <c r="S65" s="40"/>
      <c r="T65" s="40"/>
      <c r="U65" s="40"/>
      <c r="V65" s="40"/>
      <c r="W65" s="40"/>
      <c r="X65" s="40"/>
      <c r="Y65" s="40"/>
      <c r="Z65" s="40"/>
      <c r="AA65" s="8">
        <f t="shared" si="0"/>
        <v>0</v>
      </c>
    </row>
    <row r="66" spans="1:27" x14ac:dyDescent="0.2">
      <c r="A66" s="87" t="str">
        <f>+'$'!C88</f>
        <v>ISO Winter Reliability Program</v>
      </c>
      <c r="B66" s="1"/>
      <c r="C66" s="40"/>
      <c r="D66" s="40"/>
      <c r="E66" s="40"/>
      <c r="F66" s="40"/>
      <c r="G66" s="40"/>
      <c r="H66" s="40"/>
      <c r="I66" s="40"/>
      <c r="J66" s="40"/>
      <c r="K66" s="40"/>
      <c r="L66" s="40"/>
      <c r="M66" s="40"/>
      <c r="N66" s="40"/>
      <c r="O66" s="40"/>
      <c r="P66" s="40"/>
      <c r="Q66" s="40"/>
      <c r="R66" s="40"/>
      <c r="S66" s="40"/>
      <c r="T66" s="40"/>
      <c r="U66" s="40"/>
      <c r="V66" s="40"/>
      <c r="W66" s="40"/>
      <c r="X66" s="40"/>
      <c r="Y66" s="40"/>
      <c r="Z66" s="40"/>
      <c r="AA66" s="8">
        <f t="shared" si="0"/>
        <v>0</v>
      </c>
    </row>
    <row r="67" spans="1:27" x14ac:dyDescent="0.2">
      <c r="A67" s="2"/>
      <c r="B67" s="1"/>
      <c r="C67" s="22"/>
      <c r="D67" s="22"/>
      <c r="E67" s="22"/>
      <c r="F67" s="22"/>
      <c r="G67" s="22"/>
      <c r="H67" s="22"/>
      <c r="I67" s="22"/>
      <c r="J67" s="22"/>
      <c r="K67" s="22"/>
      <c r="L67" s="22"/>
      <c r="M67" s="22"/>
      <c r="N67" s="22"/>
      <c r="O67" s="22"/>
      <c r="P67" s="22"/>
      <c r="Q67" s="22"/>
      <c r="R67" s="22"/>
      <c r="S67" s="22"/>
      <c r="T67" s="22"/>
      <c r="U67" s="22"/>
      <c r="V67" s="22"/>
      <c r="W67" s="22"/>
      <c r="X67" s="22"/>
      <c r="Y67" s="22"/>
      <c r="Z67" s="22"/>
      <c r="AA67" s="8">
        <f t="shared" si="0"/>
        <v>0</v>
      </c>
    </row>
    <row r="68" spans="1:27" x14ac:dyDescent="0.2">
      <c r="A68" s="154" t="s">
        <v>7</v>
      </c>
      <c r="B68" s="4"/>
      <c r="C68" s="92">
        <f t="shared" ref="C68:Z68" si="1">+SUM(C7:C67)</f>
        <v>49214.000000000007</v>
      </c>
      <c r="D68" s="92">
        <f t="shared" si="1"/>
        <v>47992.714285714297</v>
      </c>
      <c r="E68" s="92">
        <f t="shared" si="1"/>
        <v>47261.999999999993</v>
      </c>
      <c r="F68" s="92">
        <f t="shared" si="1"/>
        <v>39836.000000000007</v>
      </c>
      <c r="G68" s="92">
        <f t="shared" si="1"/>
        <v>38181.000000000007</v>
      </c>
      <c r="H68" s="92">
        <f t="shared" si="1"/>
        <v>41648</v>
      </c>
      <c r="I68" s="92">
        <f t="shared" si="1"/>
        <v>45402</v>
      </c>
      <c r="J68" s="92">
        <f t="shared" si="1"/>
        <v>46569.999999999993</v>
      </c>
      <c r="K68" s="92">
        <f t="shared" si="1"/>
        <v>39465.000000000007</v>
      </c>
      <c r="L68" s="92">
        <f t="shared" si="1"/>
        <v>38734.000000000007</v>
      </c>
      <c r="M68" s="92">
        <f t="shared" si="1"/>
        <v>41709.999999999993</v>
      </c>
      <c r="N68" s="92">
        <f t="shared" si="1"/>
        <v>48349</v>
      </c>
      <c r="O68" s="92">
        <f t="shared" si="1"/>
        <v>51802.000000000007</v>
      </c>
      <c r="P68" s="92">
        <f t="shared" si="1"/>
        <v>45360.275862068964</v>
      </c>
      <c r="Q68" s="92">
        <f t="shared" si="1"/>
        <v>49455.999999999993</v>
      </c>
      <c r="R68" s="92">
        <f t="shared" si="1"/>
        <v>40947.999999999993</v>
      </c>
      <c r="S68" s="92">
        <f t="shared" si="1"/>
        <v>39190</v>
      </c>
      <c r="T68" s="92">
        <f t="shared" si="1"/>
        <v>43096</v>
      </c>
      <c r="U68" s="92">
        <f t="shared" si="1"/>
        <v>47607.000000000007</v>
      </c>
      <c r="V68" s="92">
        <f t="shared" si="1"/>
        <v>41332</v>
      </c>
      <c r="W68" s="92">
        <f t="shared" si="1"/>
        <v>38686.000000000007</v>
      </c>
      <c r="X68" s="92">
        <f t="shared" si="1"/>
        <v>40706</v>
      </c>
      <c r="Y68" s="92">
        <f t="shared" si="1"/>
        <v>44895.000000000007</v>
      </c>
      <c r="Z68" s="92">
        <f t="shared" si="1"/>
        <v>49010.000000000007</v>
      </c>
      <c r="AA68" s="8">
        <f t="shared" si="0"/>
        <v>532088.27586206899</v>
      </c>
    </row>
    <row r="69" spans="1:27" x14ac:dyDescent="0.2">
      <c r="A69" s="5"/>
      <c r="C69" s="82">
        <f t="shared" ref="C69:Z69" si="2">+C3</f>
        <v>0</v>
      </c>
      <c r="D69" s="82">
        <f t="shared" si="2"/>
        <v>0</v>
      </c>
      <c r="E69" s="82">
        <f t="shared" si="2"/>
        <v>0</v>
      </c>
      <c r="F69" s="82">
        <f t="shared" si="2"/>
        <v>0</v>
      </c>
      <c r="G69" s="82">
        <f t="shared" si="2"/>
        <v>0</v>
      </c>
      <c r="H69" s="82">
        <f t="shared" si="2"/>
        <v>0</v>
      </c>
      <c r="I69" s="82">
        <f t="shared" si="2"/>
        <v>0</v>
      </c>
      <c r="J69" s="82">
        <f t="shared" si="2"/>
        <v>0</v>
      </c>
      <c r="K69" s="82">
        <f t="shared" si="2"/>
        <v>0</v>
      </c>
      <c r="L69" s="82">
        <f t="shared" si="2"/>
        <v>0</v>
      </c>
      <c r="M69" s="82">
        <f t="shared" si="2"/>
        <v>0</v>
      </c>
      <c r="N69" s="82">
        <f t="shared" si="2"/>
        <v>0</v>
      </c>
      <c r="O69" s="82">
        <f t="shared" si="2"/>
        <v>0</v>
      </c>
      <c r="P69" s="82">
        <f t="shared" si="2"/>
        <v>0</v>
      </c>
      <c r="Q69" s="82">
        <f t="shared" si="2"/>
        <v>0</v>
      </c>
      <c r="R69" s="82">
        <f t="shared" si="2"/>
        <v>0</v>
      </c>
      <c r="S69" s="82">
        <f t="shared" si="2"/>
        <v>0</v>
      </c>
      <c r="T69" s="82">
        <f t="shared" si="2"/>
        <v>0</v>
      </c>
      <c r="U69" s="82">
        <f t="shared" si="2"/>
        <v>0</v>
      </c>
      <c r="V69" s="82">
        <f t="shared" si="2"/>
        <v>0</v>
      </c>
      <c r="W69" s="82">
        <f t="shared" si="2"/>
        <v>0</v>
      </c>
      <c r="X69" s="82">
        <f t="shared" si="2"/>
        <v>0</v>
      </c>
      <c r="Y69" s="82">
        <f t="shared" si="2"/>
        <v>0</v>
      </c>
      <c r="Z69" s="82">
        <f t="shared" si="2"/>
        <v>0</v>
      </c>
      <c r="AA69" s="8">
        <f t="shared" si="0"/>
        <v>0</v>
      </c>
    </row>
    <row r="70" spans="1:27" ht="13.2" x14ac:dyDescent="0.25">
      <c r="A70" s="5" t="s">
        <v>261</v>
      </c>
      <c r="B70" s="89" t="s">
        <v>250</v>
      </c>
      <c r="C70" s="82">
        <f>+'ACCT 447 Est'!B48</f>
        <v>2500</v>
      </c>
      <c r="D70" s="82">
        <f>+'ACCT 447 Est'!C48</f>
        <v>2500</v>
      </c>
      <c r="E70" s="82">
        <f>+'ACCT 447 Est'!D48</f>
        <v>2500</v>
      </c>
      <c r="F70" s="82">
        <f>+'ACCT 447 Est'!E48</f>
        <v>2500</v>
      </c>
      <c r="G70" s="82">
        <f>+'ACCT 447 Est'!F48</f>
        <v>2500</v>
      </c>
      <c r="H70" s="82">
        <f>+'ACCT 447 Est'!G48</f>
        <v>2500</v>
      </c>
      <c r="I70" s="82">
        <f>+'ACCT 447 Est'!H48</f>
        <v>2500</v>
      </c>
      <c r="J70" s="82">
        <f>+'ACCT 447 Est'!I48</f>
        <v>2500</v>
      </c>
      <c r="K70" s="82">
        <f>+'ACCT 447 Est'!J48</f>
        <v>2500</v>
      </c>
      <c r="L70" s="82">
        <f>+'ACCT 447 Est'!K48</f>
        <v>2500</v>
      </c>
      <c r="M70" s="82">
        <f>+'ACCT 447 Est'!L48</f>
        <v>2500</v>
      </c>
      <c r="N70" s="82">
        <f>+'ACCT 447 Est'!M48</f>
        <v>2500</v>
      </c>
      <c r="O70" s="82">
        <f>+'ACCT 447 Est'!N48</f>
        <v>2500</v>
      </c>
      <c r="P70" s="82">
        <f>+'ACCT 447 Est'!O48</f>
        <v>2500</v>
      </c>
      <c r="Q70" s="82">
        <f>+'ACCT 447 Est'!P48</f>
        <v>2500</v>
      </c>
      <c r="R70" s="82">
        <f>+'ACCT 447 Est'!Q48</f>
        <v>2500</v>
      </c>
      <c r="S70" s="82">
        <f>+'ACCT 447 Est'!R48</f>
        <v>2500</v>
      </c>
      <c r="T70" s="82">
        <f>+'ACCT 447 Est'!S48</f>
        <v>2500</v>
      </c>
      <c r="U70" s="82">
        <f>+'ACCT 447 Est'!T48</f>
        <v>2500</v>
      </c>
      <c r="V70" s="82">
        <f>+'ACCT 447 Est'!U48</f>
        <v>2500</v>
      </c>
      <c r="W70" s="82">
        <f>+'ACCT 447 Est'!V48</f>
        <v>2500</v>
      </c>
      <c r="X70" s="82">
        <f>+'ACCT 447 Est'!W48</f>
        <v>2500</v>
      </c>
      <c r="Y70" s="82">
        <f>+'ACCT 447 Est'!X48</f>
        <v>2500</v>
      </c>
      <c r="Z70" s="82">
        <f>+'ACCT 447 Est'!Y48</f>
        <v>2500</v>
      </c>
      <c r="AA70" s="8">
        <f t="shared" si="0"/>
        <v>30000</v>
      </c>
    </row>
    <row r="71" spans="1:27" x14ac:dyDescent="0.2">
      <c r="A71" s="5" t="s">
        <v>251</v>
      </c>
      <c r="C71" s="82"/>
      <c r="D71" s="82"/>
      <c r="E71" s="82"/>
      <c r="F71" s="82"/>
      <c r="G71" s="82"/>
      <c r="H71" s="82"/>
      <c r="I71" s="82"/>
      <c r="J71" s="82"/>
      <c r="K71" s="82"/>
      <c r="L71" s="82"/>
      <c r="M71" s="82"/>
      <c r="N71" s="82"/>
      <c r="O71" s="82"/>
      <c r="P71" s="82"/>
      <c r="Q71" s="82"/>
      <c r="R71" s="82"/>
      <c r="S71" s="82"/>
      <c r="T71" s="82"/>
      <c r="U71" s="82"/>
      <c r="V71" s="82"/>
      <c r="W71" s="82"/>
      <c r="X71" s="82"/>
      <c r="Y71" s="82"/>
      <c r="Z71" s="82"/>
      <c r="AA71" s="8">
        <f t="shared" si="0"/>
        <v>0</v>
      </c>
    </row>
    <row r="72" spans="1:27" x14ac:dyDescent="0.2">
      <c r="A72" s="5" t="s">
        <v>252</v>
      </c>
      <c r="C72" s="91">
        <f t="shared" ref="C72:Z72" si="3">+C71+C70</f>
        <v>2500</v>
      </c>
      <c r="D72" s="91">
        <f t="shared" si="3"/>
        <v>2500</v>
      </c>
      <c r="E72" s="91">
        <f t="shared" si="3"/>
        <v>2500</v>
      </c>
      <c r="F72" s="91">
        <f t="shared" si="3"/>
        <v>2500</v>
      </c>
      <c r="G72" s="91">
        <f t="shared" si="3"/>
        <v>2500</v>
      </c>
      <c r="H72" s="91">
        <f t="shared" si="3"/>
        <v>2500</v>
      </c>
      <c r="I72" s="91">
        <f t="shared" si="3"/>
        <v>2500</v>
      </c>
      <c r="J72" s="91">
        <f t="shared" si="3"/>
        <v>2500</v>
      </c>
      <c r="K72" s="91">
        <f t="shared" si="3"/>
        <v>2500</v>
      </c>
      <c r="L72" s="91">
        <f t="shared" si="3"/>
        <v>2500</v>
      </c>
      <c r="M72" s="91">
        <f t="shared" si="3"/>
        <v>2500</v>
      </c>
      <c r="N72" s="91">
        <f t="shared" si="3"/>
        <v>2500</v>
      </c>
      <c r="O72" s="91">
        <f t="shared" si="3"/>
        <v>2500</v>
      </c>
      <c r="P72" s="91">
        <f t="shared" si="3"/>
        <v>2500</v>
      </c>
      <c r="Q72" s="91">
        <f t="shared" si="3"/>
        <v>2500</v>
      </c>
      <c r="R72" s="91">
        <f t="shared" si="3"/>
        <v>2500</v>
      </c>
      <c r="S72" s="91">
        <f t="shared" si="3"/>
        <v>2500</v>
      </c>
      <c r="T72" s="91">
        <f t="shared" si="3"/>
        <v>2500</v>
      </c>
      <c r="U72" s="91">
        <f t="shared" si="3"/>
        <v>2500</v>
      </c>
      <c r="V72" s="91">
        <f t="shared" si="3"/>
        <v>2500</v>
      </c>
      <c r="W72" s="91">
        <f t="shared" si="3"/>
        <v>2500</v>
      </c>
      <c r="X72" s="91">
        <f t="shared" si="3"/>
        <v>2500</v>
      </c>
      <c r="Y72" s="91">
        <f t="shared" si="3"/>
        <v>2500</v>
      </c>
      <c r="Z72" s="91">
        <f t="shared" si="3"/>
        <v>2500</v>
      </c>
      <c r="AA72" s="8">
        <f t="shared" ref="AA72:AA73" si="4">SUM(O72:Z72)</f>
        <v>30000</v>
      </c>
    </row>
    <row r="73" spans="1:27" x14ac:dyDescent="0.2">
      <c r="A73" s="7" t="s">
        <v>256</v>
      </c>
      <c r="C73" s="82">
        <f t="shared" ref="C73:Z73" si="5">+C69+C68-C72</f>
        <v>46714.000000000007</v>
      </c>
      <c r="D73" s="82">
        <f t="shared" si="5"/>
        <v>45492.714285714297</v>
      </c>
      <c r="E73" s="82">
        <f t="shared" si="5"/>
        <v>44761.999999999993</v>
      </c>
      <c r="F73" s="82">
        <f t="shared" si="5"/>
        <v>37336.000000000007</v>
      </c>
      <c r="G73" s="82">
        <f t="shared" si="5"/>
        <v>35681.000000000007</v>
      </c>
      <c r="H73" s="82">
        <f t="shared" si="5"/>
        <v>39148</v>
      </c>
      <c r="I73" s="82">
        <f t="shared" si="5"/>
        <v>42902</v>
      </c>
      <c r="J73" s="82">
        <f t="shared" si="5"/>
        <v>44069.999999999993</v>
      </c>
      <c r="K73" s="82">
        <f t="shared" si="5"/>
        <v>36965.000000000007</v>
      </c>
      <c r="L73" s="82">
        <f t="shared" si="5"/>
        <v>36234.000000000007</v>
      </c>
      <c r="M73" s="82">
        <f t="shared" si="5"/>
        <v>39209.999999999993</v>
      </c>
      <c r="N73" s="82">
        <f t="shared" si="5"/>
        <v>45849</v>
      </c>
      <c r="O73" s="82">
        <f t="shared" si="5"/>
        <v>49302.000000000007</v>
      </c>
      <c r="P73" s="82">
        <f t="shared" si="5"/>
        <v>42860.275862068964</v>
      </c>
      <c r="Q73" s="82">
        <f t="shared" si="5"/>
        <v>46955.999999999993</v>
      </c>
      <c r="R73" s="82">
        <f t="shared" si="5"/>
        <v>38447.999999999993</v>
      </c>
      <c r="S73" s="82">
        <f t="shared" si="5"/>
        <v>36690</v>
      </c>
      <c r="T73" s="82">
        <f t="shared" si="5"/>
        <v>40596</v>
      </c>
      <c r="U73" s="82">
        <f t="shared" si="5"/>
        <v>45107.000000000007</v>
      </c>
      <c r="V73" s="82">
        <f t="shared" si="5"/>
        <v>38832</v>
      </c>
      <c r="W73" s="82">
        <f t="shared" si="5"/>
        <v>36186.000000000007</v>
      </c>
      <c r="X73" s="82">
        <f t="shared" si="5"/>
        <v>38206</v>
      </c>
      <c r="Y73" s="82">
        <f t="shared" si="5"/>
        <v>42395.000000000007</v>
      </c>
      <c r="Z73" s="82">
        <f t="shared" si="5"/>
        <v>46510.000000000007</v>
      </c>
      <c r="AA73" s="8">
        <f t="shared" si="4"/>
        <v>502088.27586206899</v>
      </c>
    </row>
    <row r="74" spans="1:27" x14ac:dyDescent="0.2">
      <c r="C74" s="13" t="e">
        <f>+C73-#REF!</f>
        <v>#REF!</v>
      </c>
      <c r="D74" s="13" t="e">
        <f>+D73-#REF!</f>
        <v>#REF!</v>
      </c>
      <c r="E74" s="13" t="e">
        <f>+E73-#REF!</f>
        <v>#REF!</v>
      </c>
      <c r="F74" s="13" t="e">
        <f>+F73-#REF!</f>
        <v>#REF!</v>
      </c>
      <c r="G74" s="13" t="e">
        <f>+G73-#REF!</f>
        <v>#REF!</v>
      </c>
      <c r="H74" s="13" t="e">
        <f>+H73-#REF!</f>
        <v>#REF!</v>
      </c>
      <c r="I74" s="13" t="e">
        <f>+I73-#REF!</f>
        <v>#REF!</v>
      </c>
      <c r="J74" s="13" t="e">
        <f>+J73-#REF!</f>
        <v>#REF!</v>
      </c>
      <c r="K74" s="13" t="e">
        <f>+K73-#REF!</f>
        <v>#REF!</v>
      </c>
      <c r="L74" s="13" t="e">
        <f>+L73-#REF!</f>
        <v>#REF!</v>
      </c>
      <c r="M74" s="13" t="e">
        <f>+M73-#REF!</f>
        <v>#REF!</v>
      </c>
      <c r="N74" s="13" t="e">
        <f>+N73-#REF!</f>
        <v>#REF!</v>
      </c>
      <c r="O74" s="13"/>
      <c r="P74" s="13"/>
      <c r="Q74" s="13"/>
      <c r="R74" s="13"/>
      <c r="S74" s="13"/>
      <c r="T74" s="13"/>
      <c r="U74" s="13"/>
      <c r="V74" s="13"/>
      <c r="W74" s="13"/>
      <c r="X74" s="13"/>
      <c r="Y74" s="13"/>
      <c r="Z74" s="13"/>
      <c r="AA74" s="8"/>
    </row>
    <row r="75" spans="1:27" x14ac:dyDescent="0.2">
      <c r="C75" s="20"/>
      <c r="D75" s="20"/>
      <c r="E75" s="20"/>
      <c r="F75" s="20"/>
      <c r="G75" s="20"/>
      <c r="H75" s="20"/>
      <c r="I75" s="20"/>
      <c r="J75" s="20"/>
      <c r="K75" s="20"/>
      <c r="L75" s="20"/>
      <c r="M75" s="20"/>
      <c r="N75" s="20"/>
      <c r="O75" s="20"/>
      <c r="P75" s="20"/>
      <c r="Q75" s="20"/>
      <c r="R75" s="20"/>
      <c r="S75" s="20"/>
      <c r="T75" s="20"/>
      <c r="U75" s="20"/>
      <c r="V75" s="20"/>
      <c r="W75" s="20"/>
      <c r="X75" s="20"/>
      <c r="Y75" s="20"/>
      <c r="Z75" s="20"/>
    </row>
    <row r="76" spans="1:27" x14ac:dyDescent="0.2">
      <c r="C76" s="73">
        <f>+C49-'ACCT 447 Est'!B10</f>
        <v>2486.2954423652964</v>
      </c>
      <c r="D76" s="73">
        <f>+D49-'ACCT 447 Est'!C10</f>
        <v>967.93084493265724</v>
      </c>
      <c r="E76" s="73">
        <f>+E49-'ACCT 447 Est'!D10</f>
        <v>-2126.8204271137538</v>
      </c>
      <c r="F76" s="73">
        <f>+F49-'ACCT 447 Est'!E10</f>
        <v>-9125.625379122197</v>
      </c>
      <c r="G76" s="73">
        <f>+G49-'ACCT 447 Est'!F10</f>
        <v>-6453.1901799193292</v>
      </c>
      <c r="H76" s="73">
        <f>+H49-'ACCT 447 Est'!G10</f>
        <v>-10515.610363436052</v>
      </c>
      <c r="I76" s="73">
        <f>+I49-'ACCT 447 Est'!H10</f>
        <v>-6939.7026673883593</v>
      </c>
      <c r="J76" s="73">
        <f>+J49-'ACCT 447 Est'!I10</f>
        <v>-2339.6571123195386</v>
      </c>
      <c r="K76" s="73">
        <f>+K49-'ACCT 447 Est'!J10</f>
        <v>-6834.3890030856492</v>
      </c>
      <c r="L76" s="73">
        <f>+L49-'ACCT 447 Est'!K10</f>
        <v>-3261.6732852807022</v>
      </c>
      <c r="M76" s="73">
        <f>+M49-'ACCT 447 Est'!L10</f>
        <v>-7455.4834601085895</v>
      </c>
      <c r="N76" s="73">
        <f>+N49-'ACCT 447 Est'!M10</f>
        <v>-6273.4454232424541</v>
      </c>
      <c r="O76" s="73"/>
      <c r="P76" s="73"/>
      <c r="Q76" s="73"/>
      <c r="R76" s="73"/>
      <c r="S76" s="73"/>
      <c r="T76" s="73"/>
      <c r="U76" s="73"/>
      <c r="V76" s="73"/>
      <c r="W76" s="73"/>
      <c r="X76" s="73"/>
      <c r="Y76" s="73"/>
      <c r="Z76" s="73"/>
    </row>
    <row r="77" spans="1:27" x14ac:dyDescent="0.2">
      <c r="C77" s="73"/>
      <c r="D77" s="73"/>
      <c r="E77" s="73"/>
      <c r="F77" s="73"/>
      <c r="G77" s="73"/>
      <c r="H77" s="73"/>
      <c r="I77" s="73"/>
      <c r="J77" s="73"/>
      <c r="K77" s="73"/>
      <c r="L77" s="73"/>
      <c r="M77" s="73"/>
      <c r="N77" s="73"/>
      <c r="O77" s="73"/>
      <c r="P77" s="73"/>
      <c r="Q77" s="73"/>
      <c r="R77" s="73"/>
      <c r="S77" s="73"/>
      <c r="T77" s="73"/>
      <c r="U77" s="73"/>
      <c r="V77" s="73"/>
      <c r="W77" s="73"/>
      <c r="X77" s="73"/>
      <c r="Y77" s="73"/>
      <c r="Z77" s="73"/>
    </row>
    <row r="78" spans="1:27" x14ac:dyDescent="0.2">
      <c r="C78" s="73"/>
      <c r="D78" s="73"/>
      <c r="E78" s="73"/>
      <c r="F78" s="73"/>
      <c r="G78" s="73"/>
      <c r="H78" s="73"/>
      <c r="I78" s="73"/>
      <c r="J78" s="73"/>
      <c r="K78" s="73"/>
      <c r="L78" s="73"/>
      <c r="M78" s="73"/>
      <c r="N78" s="73"/>
      <c r="O78" s="73"/>
      <c r="P78" s="73"/>
      <c r="Q78" s="73"/>
      <c r="R78" s="73"/>
      <c r="S78" s="73"/>
      <c r="T78" s="73"/>
      <c r="U78" s="73"/>
      <c r="V78" s="73"/>
      <c r="W78" s="73"/>
      <c r="X78" s="73"/>
      <c r="Y78" s="73"/>
      <c r="Z78" s="73"/>
    </row>
    <row r="80" spans="1:27" x14ac:dyDescent="0.2">
      <c r="C80" s="12"/>
      <c r="D80" s="12"/>
      <c r="E80" s="12"/>
      <c r="F80" s="12"/>
      <c r="G80" s="12"/>
      <c r="H80" s="12"/>
      <c r="I80" s="12"/>
      <c r="J80" s="12"/>
      <c r="K80" s="12"/>
      <c r="L80" s="12"/>
      <c r="M80" s="12"/>
      <c r="N80" s="12"/>
      <c r="O80" s="12"/>
      <c r="P80" s="12"/>
      <c r="Q80" s="12"/>
      <c r="R80" s="12"/>
      <c r="S80" s="12"/>
      <c r="T80" s="12"/>
      <c r="U80" s="12"/>
      <c r="V80" s="12"/>
      <c r="W80" s="12"/>
      <c r="X80" s="12"/>
      <c r="Y80" s="12"/>
      <c r="Z80" s="12"/>
    </row>
    <row r="94" ht="12" customHeight="1" x14ac:dyDescent="0.2"/>
    <row r="95" ht="12" customHeight="1" x14ac:dyDescent="0.2"/>
  </sheetData>
  <phoneticPr fontId="0" type="noConversion"/>
  <pageMargins left="0.75" right="0.75" top="1" bottom="1" header="0.5" footer="0.5"/>
  <pageSetup scale="68" orientation="portrait"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WJI1222"/>
  <sheetViews>
    <sheetView zoomScale="120" zoomScaleNormal="120" workbookViewId="0">
      <pane xSplit="2" ySplit="2" topLeftCell="C1189" activePane="bottomRight" state="frozen"/>
      <selection pane="topRight" activeCell="C1" sqref="C1"/>
      <selection pane="bottomLeft" activeCell="A3" sqref="A3"/>
      <selection pane="bottomRight" activeCell="O927" sqref="O927:Z927"/>
    </sheetView>
  </sheetViews>
  <sheetFormatPr defaultRowHeight="10.199999999999999" x14ac:dyDescent="0.2"/>
  <cols>
    <col min="1" max="1" width="61" customWidth="1"/>
    <col min="2" max="2" width="31.140625" customWidth="1"/>
    <col min="3" max="4" width="15.28515625" bestFit="1" customWidth="1"/>
    <col min="5" max="8" width="10.85546875" customWidth="1"/>
    <col min="9" max="12" width="12.42578125" bestFit="1" customWidth="1"/>
    <col min="13" max="14" width="12.85546875" bestFit="1" customWidth="1"/>
    <col min="15" max="18" width="10.85546875" customWidth="1"/>
    <col min="19" max="19" width="15" bestFit="1" customWidth="1"/>
    <col min="20" max="25" width="10.85546875" customWidth="1"/>
    <col min="26" max="26" width="12.42578125" bestFit="1" customWidth="1"/>
  </cols>
  <sheetData>
    <row r="1" spans="1:26" x14ac:dyDescent="0.2">
      <c r="A1" s="14" t="s">
        <v>96</v>
      </c>
    </row>
    <row r="2" spans="1:26" x14ac:dyDescent="0.2">
      <c r="A2" t="s">
        <v>95</v>
      </c>
      <c r="C2" s="33">
        <v>45307</v>
      </c>
      <c r="D2" s="33">
        <v>45338</v>
      </c>
      <c r="E2" s="33">
        <v>45366</v>
      </c>
      <c r="F2" s="33">
        <v>45397</v>
      </c>
      <c r="G2" s="33">
        <v>45427</v>
      </c>
      <c r="H2" s="33">
        <v>45458</v>
      </c>
      <c r="I2" s="33">
        <v>45488</v>
      </c>
      <c r="J2" s="33">
        <v>45519</v>
      </c>
      <c r="K2" s="33">
        <v>45550</v>
      </c>
      <c r="L2" s="33">
        <v>45580</v>
      </c>
      <c r="M2" s="33">
        <v>45611</v>
      </c>
      <c r="N2" s="33">
        <v>45641</v>
      </c>
      <c r="O2" s="33">
        <f t="shared" ref="O2" si="0">+C2+366</f>
        <v>45673</v>
      </c>
      <c r="P2" s="33">
        <f t="shared" ref="P2" si="1">+D2+366</f>
        <v>45704</v>
      </c>
      <c r="Q2" s="33">
        <f t="shared" ref="Q2" si="2">+E2+366</f>
        <v>45732</v>
      </c>
      <c r="R2" s="33">
        <f t="shared" ref="R2" si="3">+F2+366</f>
        <v>45763</v>
      </c>
      <c r="S2" s="33">
        <f t="shared" ref="S2" si="4">+G2+366</f>
        <v>45793</v>
      </c>
      <c r="T2" s="33">
        <f t="shared" ref="T2" si="5">+H2+366</f>
        <v>45824</v>
      </c>
      <c r="U2" s="33">
        <f t="shared" ref="U2" si="6">+I2+366</f>
        <v>45854</v>
      </c>
      <c r="V2" s="33">
        <f t="shared" ref="V2" si="7">+J2+366</f>
        <v>45885</v>
      </c>
      <c r="W2" s="33">
        <f t="shared" ref="W2" si="8">+K2+366</f>
        <v>45916</v>
      </c>
      <c r="X2" s="33">
        <f t="shared" ref="X2" si="9">+L2+366</f>
        <v>45946</v>
      </c>
      <c r="Y2" s="33">
        <f t="shared" ref="Y2" si="10">+M2+366</f>
        <v>45977</v>
      </c>
      <c r="Z2" s="33">
        <f t="shared" ref="Z2" si="11">+N2+366</f>
        <v>46007</v>
      </c>
    </row>
    <row r="3" spans="1:26" x14ac:dyDescent="0.2">
      <c r="A3" s="54" t="s">
        <v>412</v>
      </c>
      <c r="B3" s="171">
        <v>45601</v>
      </c>
      <c r="C3" s="207">
        <v>2.6190000000000002</v>
      </c>
      <c r="D3" s="207">
        <v>2.4900000000000002</v>
      </c>
      <c r="E3" s="207">
        <v>1.615</v>
      </c>
      <c r="F3" s="207">
        <v>1.659</v>
      </c>
      <c r="G3" s="207">
        <v>1.8120000000000001</v>
      </c>
      <c r="H3" s="207">
        <v>2.032</v>
      </c>
      <c r="I3" s="207">
        <v>2.3370000000000002</v>
      </c>
      <c r="J3" s="207">
        <v>2.4329999999999998</v>
      </c>
      <c r="K3" s="207">
        <v>2.4329999999999998</v>
      </c>
      <c r="L3" s="207">
        <v>2.5259999999999998</v>
      </c>
      <c r="M3" s="207">
        <v>2.9140000000000001</v>
      </c>
      <c r="N3" s="207">
        <v>3.4060000000000001</v>
      </c>
      <c r="O3" s="207">
        <v>3.4390000000000001</v>
      </c>
      <c r="P3" s="207">
        <v>3.2959999999999998</v>
      </c>
      <c r="Q3" s="207">
        <v>2.964</v>
      </c>
      <c r="R3" s="207">
        <v>2.8319999999999999</v>
      </c>
      <c r="S3" s="207">
        <v>2.8759999999999999</v>
      </c>
      <c r="T3" s="207">
        <v>3.0219999999999998</v>
      </c>
      <c r="U3" s="207">
        <v>3.1829999999999998</v>
      </c>
      <c r="V3" s="207">
        <v>3.218</v>
      </c>
      <c r="W3" s="207">
        <v>3.1859999999999999</v>
      </c>
      <c r="X3" s="207">
        <v>3.25</v>
      </c>
      <c r="Y3" s="207">
        <v>3.5270000000000001</v>
      </c>
      <c r="Z3" s="207">
        <v>3.9350000000000001</v>
      </c>
    </row>
    <row r="4" spans="1:26" x14ac:dyDescent="0.2">
      <c r="A4" t="s">
        <v>163</v>
      </c>
      <c r="C4" s="130">
        <v>0.55616903801231699</v>
      </c>
      <c r="D4" s="130">
        <v>0.80090061112898048</v>
      </c>
      <c r="E4" s="130">
        <v>0.65891472868217049</v>
      </c>
      <c r="F4" s="130">
        <v>0.65237907982697596</v>
      </c>
      <c r="G4" s="130">
        <v>0.67536339918002242</v>
      </c>
      <c r="H4" s="130">
        <v>0.95086569957884881</v>
      </c>
      <c r="I4" s="130">
        <v>1.0068935803532959</v>
      </c>
      <c r="J4" s="130">
        <v>1.012063227953411</v>
      </c>
      <c r="K4" s="130">
        <v>1.0137499999999999</v>
      </c>
      <c r="L4" s="130">
        <v>0.92595307917888547</v>
      </c>
      <c r="M4" s="130">
        <v>0.9710096634455182</v>
      </c>
      <c r="N4" s="130">
        <v>1.0017647058823531</v>
      </c>
      <c r="O4" s="130">
        <f t="shared" ref="O4:Z4" si="12">+O3/C3</f>
        <v>1.3130966017563954</v>
      </c>
      <c r="P4" s="130">
        <f t="shared" si="12"/>
        <v>1.3236947791164657</v>
      </c>
      <c r="Q4" s="130">
        <f t="shared" si="12"/>
        <v>1.8352941176470587</v>
      </c>
      <c r="R4" s="130">
        <f t="shared" si="12"/>
        <v>1.7070524412296564</v>
      </c>
      <c r="S4" s="130">
        <f t="shared" si="12"/>
        <v>1.5871964679911699</v>
      </c>
      <c r="T4" s="130">
        <f t="shared" si="12"/>
        <v>1.4872047244094486</v>
      </c>
      <c r="U4" s="130">
        <f t="shared" si="12"/>
        <v>1.3620025673940948</v>
      </c>
      <c r="V4" s="130">
        <f t="shared" si="12"/>
        <v>1.3226469379367038</v>
      </c>
      <c r="W4" s="130">
        <f t="shared" si="12"/>
        <v>1.309494451294698</v>
      </c>
      <c r="X4" s="130">
        <f t="shared" si="12"/>
        <v>1.2866191607284245</v>
      </c>
      <c r="Y4" s="130">
        <f t="shared" si="12"/>
        <v>1.2103637611530542</v>
      </c>
      <c r="Z4" s="130">
        <f t="shared" si="12"/>
        <v>1.1553141514973575</v>
      </c>
    </row>
    <row r="5" spans="1:26" x14ac:dyDescent="0.2">
      <c r="A5" t="s">
        <v>82</v>
      </c>
      <c r="C5" s="128">
        <v>10.434777148311296</v>
      </c>
      <c r="D5" s="128">
        <v>22.306059405106513</v>
      </c>
      <c r="E5" s="128">
        <v>14.289808373323043</v>
      </c>
      <c r="F5" s="128">
        <v>14.457593894748591</v>
      </c>
      <c r="G5" s="128">
        <v>11.821766701713219</v>
      </c>
      <c r="H5" s="128">
        <v>15.368956645779178</v>
      </c>
      <c r="I5" s="128">
        <v>14.444581302077927</v>
      </c>
      <c r="J5" s="128">
        <v>11.459513102633887</v>
      </c>
      <c r="K5" s="128">
        <v>7.1880962139301738</v>
      </c>
      <c r="L5" s="128">
        <v>7.7132728690326253</v>
      </c>
      <c r="M5" s="128">
        <v>11.91369391952694</v>
      </c>
      <c r="N5" s="128">
        <v>17.208566425724424</v>
      </c>
      <c r="O5" s="236">
        <v>26.909043507535895</v>
      </c>
      <c r="P5" s="236">
        <v>14.692771084337338</v>
      </c>
      <c r="Q5" s="236">
        <v>14.995003937680485</v>
      </c>
      <c r="R5" s="236">
        <v>16.205961199294528</v>
      </c>
      <c r="S5" s="236">
        <v>16.871785519180289</v>
      </c>
      <c r="T5" s="236">
        <v>14.094776485269866</v>
      </c>
      <c r="U5" s="236">
        <v>16.283276468155517</v>
      </c>
      <c r="V5" s="236">
        <v>10.811640259583351</v>
      </c>
      <c r="W5" s="236">
        <v>11.846863588941062</v>
      </c>
      <c r="X5" s="236">
        <v>9.5247556914554323</v>
      </c>
      <c r="Y5" s="236">
        <v>12.528874596492086</v>
      </c>
      <c r="Z5" s="236">
        <v>14.094897638859081</v>
      </c>
    </row>
    <row r="6" spans="1:26" x14ac:dyDescent="0.2">
      <c r="A6" t="s">
        <v>83</v>
      </c>
      <c r="C6" s="128">
        <v>11.241081765185402</v>
      </c>
      <c r="D6" s="128">
        <v>23.288652184900982</v>
      </c>
      <c r="E6" s="128">
        <v>15.297344072860328</v>
      </c>
      <c r="F6" s="128">
        <v>15.477251799765597</v>
      </c>
      <c r="G6" s="128">
        <v>12.554988800341324</v>
      </c>
      <c r="H6" s="128">
        <v>16.622535534158644</v>
      </c>
      <c r="I6" s="128">
        <v>16.163987138263668</v>
      </c>
      <c r="J6" s="128">
        <v>12.681876329851422</v>
      </c>
      <c r="K6" s="128">
        <v>7.5860441391353914</v>
      </c>
      <c r="L6" s="128">
        <v>8.1665496364626922</v>
      </c>
      <c r="M6" s="128">
        <v>12.572060997557534</v>
      </c>
      <c r="N6" s="128">
        <v>18.316508227921101</v>
      </c>
      <c r="O6" s="236">
        <v>29.56764813079246</v>
      </c>
      <c r="P6" s="236">
        <v>15.566539969401411</v>
      </c>
      <c r="Q6" s="236">
        <v>16.2920905204187</v>
      </c>
      <c r="R6" s="236">
        <v>17.856709956709956</v>
      </c>
      <c r="S6" s="236">
        <v>18.716204798918554</v>
      </c>
      <c r="T6" s="236">
        <v>18.118732450862424</v>
      </c>
      <c r="U6" s="236">
        <v>21.075769230769247</v>
      </c>
      <c r="V6" s="236">
        <v>11.707463884430171</v>
      </c>
      <c r="W6" s="236">
        <v>14.581389377934261</v>
      </c>
      <c r="X6" s="236">
        <v>10.942423283120641</v>
      </c>
      <c r="Y6" s="236">
        <v>13.811969478056703</v>
      </c>
      <c r="Z6" s="236">
        <v>16.843114837398375</v>
      </c>
    </row>
    <row r="7" spans="1:26" x14ac:dyDescent="0.2">
      <c r="A7" t="s">
        <v>84</v>
      </c>
      <c r="C7" s="128">
        <v>8.8221679145630514</v>
      </c>
      <c r="D7" s="128">
        <v>20.340873845517628</v>
      </c>
      <c r="E7" s="128">
        <v>12.266578790446594</v>
      </c>
      <c r="F7" s="128">
        <v>12.418278084714554</v>
      </c>
      <c r="G7" s="128">
        <v>10.355322504457011</v>
      </c>
      <c r="H7" s="128">
        <v>12.861798869020323</v>
      </c>
      <c r="I7" s="128">
        <v>11.005769629706464</v>
      </c>
      <c r="J7" s="128">
        <v>9.0147866481988288</v>
      </c>
      <c r="K7" s="128">
        <v>6.3922003635197315</v>
      </c>
      <c r="L7" s="128">
        <v>6.8067193341725076</v>
      </c>
      <c r="M7" s="128">
        <v>10.596959763465739</v>
      </c>
      <c r="N7" s="128">
        <v>14.992682821331078</v>
      </c>
      <c r="O7" s="236">
        <v>24.521725070325953</v>
      </c>
      <c r="P7" s="236">
        <v>13.877253458277567</v>
      </c>
      <c r="Q7" s="236">
        <v>13.924190444314288</v>
      </c>
      <c r="R7" s="236">
        <v>14.626984126984128</v>
      </c>
      <c r="S7" s="236">
        <v>15.215572288394911</v>
      </c>
      <c r="T7" s="236">
        <v>10.875611712795834</v>
      </c>
      <c r="U7" s="236">
        <v>12.666300798258337</v>
      </c>
      <c r="V7" s="236">
        <v>9.9348767118609391</v>
      </c>
      <c r="W7" s="236">
        <v>9.6592429577464785</v>
      </c>
      <c r="X7" s="236">
        <v>8.2517480581233951</v>
      </c>
      <c r="Y7" s="236">
        <v>11.409082699853878</v>
      </c>
      <c r="Z7" s="236">
        <v>12.020771451282261</v>
      </c>
    </row>
    <row r="8" spans="1:26" x14ac:dyDescent="0.2">
      <c r="A8" t="s">
        <v>114</v>
      </c>
      <c r="C8" s="128">
        <v>9.9697093036974138</v>
      </c>
      <c r="D8" s="128">
        <v>29.62892509649404</v>
      </c>
      <c r="E8" s="128">
        <v>15.225067574459404</v>
      </c>
      <c r="F8" s="128">
        <v>14.607515067805119</v>
      </c>
      <c r="G8" s="128">
        <v>10.696888285309399</v>
      </c>
      <c r="H8" s="128">
        <v>14.500587459880792</v>
      </c>
      <c r="I8" s="128">
        <v>14.017112138263666</v>
      </c>
      <c r="J8" s="128">
        <v>10.635765008058019</v>
      </c>
      <c r="K8" s="128">
        <v>7.2122497460707793</v>
      </c>
      <c r="L8" s="128">
        <v>7.3013067850902713</v>
      </c>
      <c r="M8" s="128">
        <v>11.523573081372923</v>
      </c>
      <c r="N8" s="128">
        <v>17.802546848099595</v>
      </c>
      <c r="O8" s="236">
        <v>25.954509778965658</v>
      </c>
      <c r="P8" s="236">
        <v>14.427491214859442</v>
      </c>
      <c r="Q8" s="236">
        <v>14.579837461300311</v>
      </c>
      <c r="R8" s="236">
        <v>15.605208333333332</v>
      </c>
      <c r="S8" s="236">
        <v>16.837567121024367</v>
      </c>
      <c r="T8" s="236">
        <v>11.658568993180911</v>
      </c>
      <c r="U8" s="236">
        <v>13.964816433566437</v>
      </c>
      <c r="V8" s="236">
        <v>10.693782604333867</v>
      </c>
      <c r="W8" s="236">
        <v>10.905540884194055</v>
      </c>
      <c r="X8" s="236">
        <v>9.6627522511657791</v>
      </c>
      <c r="Y8" s="236">
        <v>12.339711511448229</v>
      </c>
      <c r="Z8" s="236">
        <v>11.857026473157291</v>
      </c>
    </row>
    <row r="9" spans="1:26" x14ac:dyDescent="0.2">
      <c r="A9" t="s">
        <v>85</v>
      </c>
      <c r="C9" s="128">
        <v>8.8221679145630514</v>
      </c>
      <c r="D9" s="128">
        <v>20.340873845517628</v>
      </c>
      <c r="E9" s="128">
        <v>12.266578790446594</v>
      </c>
      <c r="F9" s="128">
        <v>12.418278084714554</v>
      </c>
      <c r="G9" s="128">
        <v>10.355322504457011</v>
      </c>
      <c r="H9" s="128">
        <v>12.861798869020323</v>
      </c>
      <c r="I9" s="128">
        <v>11.005769629706464</v>
      </c>
      <c r="J9" s="128">
        <v>9.0147866481988288</v>
      </c>
      <c r="K9" s="128">
        <v>6.3922003635197315</v>
      </c>
      <c r="L9" s="128">
        <v>6.8067193341725076</v>
      </c>
      <c r="M9" s="128">
        <v>10.596959763465739</v>
      </c>
      <c r="N9" s="128">
        <v>14.992682821331078</v>
      </c>
      <c r="O9" s="236">
        <v>23.63787845996027</v>
      </c>
      <c r="P9" s="236">
        <v>13.66259125170634</v>
      </c>
      <c r="Q9" s="236">
        <v>13.540735007453268</v>
      </c>
      <c r="R9" s="236">
        <v>14.093575207860932</v>
      </c>
      <c r="S9" s="236">
        <v>14.119170392704389</v>
      </c>
      <c r="T9" s="236">
        <v>10.146658262181729</v>
      </c>
      <c r="U9" s="236">
        <v>11.41343495214463</v>
      </c>
      <c r="V9" s="236">
        <v>9.412849228129085</v>
      </c>
      <c r="W9" s="236">
        <v>8.7106714360235511</v>
      </c>
      <c r="X9" s="236">
        <v>7.383592202578245</v>
      </c>
      <c r="Y9" s="236">
        <v>10.821383420624885</v>
      </c>
      <c r="Z9" s="236">
        <v>12.085619599388275</v>
      </c>
    </row>
    <row r="10" spans="1:26" x14ac:dyDescent="0.2">
      <c r="A10" t="s">
        <v>104</v>
      </c>
      <c r="C10" s="44">
        <v>123.59936581910749</v>
      </c>
      <c r="D10" s="44">
        <v>111.6325325752731</v>
      </c>
      <c r="E10" s="44">
        <v>24.231502373123369</v>
      </c>
      <c r="F10" s="44">
        <v>26.108624101104503</v>
      </c>
      <c r="G10" s="44">
        <v>27.023895419958119</v>
      </c>
      <c r="H10" s="44">
        <v>39.849638466518719</v>
      </c>
      <c r="I10" s="44">
        <v>57.460239839276483</v>
      </c>
      <c r="J10" s="44">
        <v>48.207773686173496</v>
      </c>
      <c r="K10" s="44">
        <v>39.417751467707141</v>
      </c>
      <c r="L10" s="44">
        <v>38.015961060519231</v>
      </c>
      <c r="M10" s="44">
        <v>51.551209411740651</v>
      </c>
      <c r="N10" s="44">
        <v>76.617146377200413</v>
      </c>
      <c r="O10" s="44">
        <f t="shared" ref="O10:Z10" si="13">O11*O5/O6</f>
        <v>89.188232086413137</v>
      </c>
      <c r="P10" s="44">
        <f t="shared" si="13"/>
        <v>80.134459392533046</v>
      </c>
      <c r="Q10" s="44">
        <f t="shared" si="13"/>
        <v>48.550335312789407</v>
      </c>
      <c r="R10" s="44">
        <f t="shared" si="13"/>
        <v>39.56943412320657</v>
      </c>
      <c r="S10" s="44">
        <f t="shared" si="13"/>
        <v>35.47218933071867</v>
      </c>
      <c r="T10" s="44">
        <f t="shared" si="13"/>
        <v>38.117680122008196</v>
      </c>
      <c r="U10" s="44">
        <f t="shared" si="13"/>
        <v>53.773412954676715</v>
      </c>
      <c r="V10" s="44">
        <f t="shared" si="13"/>
        <v>52.638513420128824</v>
      </c>
      <c r="W10" s="44">
        <f t="shared" si="13"/>
        <v>37.170258275541478</v>
      </c>
      <c r="X10" s="44">
        <f t="shared" si="13"/>
        <v>36.340995027278552</v>
      </c>
      <c r="Y10" s="44">
        <f t="shared" si="13"/>
        <v>51.523432498988967</v>
      </c>
      <c r="Z10" s="44">
        <f t="shared" si="13"/>
        <v>70.838030652156689</v>
      </c>
    </row>
    <row r="11" spans="1:26" x14ac:dyDescent="0.2">
      <c r="A11" t="s">
        <v>105</v>
      </c>
      <c r="B11" s="172">
        <f>+B3</f>
        <v>45601</v>
      </c>
      <c r="C11" s="122">
        <v>133.15</v>
      </c>
      <c r="D11" s="122">
        <v>116.55</v>
      </c>
      <c r="E11" s="217">
        <v>25.94</v>
      </c>
      <c r="F11" s="217">
        <v>27.95</v>
      </c>
      <c r="G11" s="217">
        <v>28.7</v>
      </c>
      <c r="H11" s="217">
        <v>43.1</v>
      </c>
      <c r="I11" s="217">
        <v>64.3</v>
      </c>
      <c r="J11" s="217">
        <v>53.35</v>
      </c>
      <c r="K11" s="217">
        <v>41.6</v>
      </c>
      <c r="L11" s="217">
        <v>40.25</v>
      </c>
      <c r="M11" s="217">
        <v>54.4</v>
      </c>
      <c r="N11" s="217">
        <v>81.55</v>
      </c>
      <c r="O11" s="217">
        <v>98</v>
      </c>
      <c r="P11" s="217">
        <v>84.9</v>
      </c>
      <c r="Q11" s="217">
        <v>52.75</v>
      </c>
      <c r="R11" s="217">
        <v>43.6</v>
      </c>
      <c r="S11" s="217">
        <v>39.35</v>
      </c>
      <c r="T11" s="217">
        <v>49</v>
      </c>
      <c r="U11" s="217">
        <v>69.599999999999994</v>
      </c>
      <c r="V11" s="217">
        <v>57</v>
      </c>
      <c r="W11" s="217">
        <v>45.75</v>
      </c>
      <c r="X11" s="217">
        <v>41.75</v>
      </c>
      <c r="Y11" s="217">
        <v>56.8</v>
      </c>
      <c r="Z11" s="217">
        <v>84.65</v>
      </c>
    </row>
    <row r="12" spans="1:26" x14ac:dyDescent="0.2">
      <c r="A12" t="s">
        <v>106</v>
      </c>
      <c r="B12" s="172">
        <f>+B3</f>
        <v>45601</v>
      </c>
      <c r="C12" s="127">
        <v>122.15</v>
      </c>
      <c r="D12" s="127">
        <v>107.3</v>
      </c>
      <c r="E12" s="102">
        <v>22.74</v>
      </c>
      <c r="F12" s="102">
        <v>24.5</v>
      </c>
      <c r="G12" s="102">
        <v>23.9</v>
      </c>
      <c r="H12" s="102">
        <v>32.15</v>
      </c>
      <c r="I12" s="102">
        <v>40.35</v>
      </c>
      <c r="J12" s="102">
        <v>35.049999999999997</v>
      </c>
      <c r="K12" s="102">
        <v>31</v>
      </c>
      <c r="L12" s="102">
        <v>31.9</v>
      </c>
      <c r="M12" s="102">
        <v>47.15</v>
      </c>
      <c r="N12" s="102">
        <v>72.8</v>
      </c>
      <c r="O12" s="102">
        <v>88.6</v>
      </c>
      <c r="P12" s="102">
        <v>74.650000000000006</v>
      </c>
      <c r="Q12" s="102">
        <v>46.45</v>
      </c>
      <c r="R12" s="102">
        <v>36.1</v>
      </c>
      <c r="S12" s="102">
        <v>32.049999999999997</v>
      </c>
      <c r="T12" s="102">
        <v>35.9</v>
      </c>
      <c r="U12" s="102">
        <v>44.9</v>
      </c>
      <c r="V12" s="102">
        <v>36.75</v>
      </c>
      <c r="W12" s="102">
        <v>33.15</v>
      </c>
      <c r="X12" s="102">
        <v>32.5</v>
      </c>
      <c r="Y12" s="102">
        <v>48.7</v>
      </c>
      <c r="Z12" s="102">
        <v>77.05</v>
      </c>
    </row>
    <row r="13" spans="1:26" x14ac:dyDescent="0.2">
      <c r="A13" t="s">
        <v>107</v>
      </c>
      <c r="C13" s="127">
        <v>128.25</v>
      </c>
      <c r="D13" s="127">
        <v>112.55</v>
      </c>
      <c r="E13" s="102">
        <v>24.49</v>
      </c>
      <c r="F13" s="102">
        <v>24.05</v>
      </c>
      <c r="G13" s="102">
        <v>22.75</v>
      </c>
      <c r="H13" s="102">
        <v>37.700000000000003</v>
      </c>
      <c r="I13" s="102">
        <v>56.1</v>
      </c>
      <c r="J13" s="102">
        <v>45.55</v>
      </c>
      <c r="K13" s="102">
        <v>34.6</v>
      </c>
      <c r="L13" s="102">
        <v>33.35</v>
      </c>
      <c r="M13" s="102">
        <v>44.2</v>
      </c>
      <c r="N13" s="102">
        <v>70.900000000000006</v>
      </c>
      <c r="O13" s="102">
        <v>80.400000000000006</v>
      </c>
      <c r="P13" s="102">
        <v>68.45</v>
      </c>
      <c r="Q13" s="102">
        <v>44.2</v>
      </c>
      <c r="R13" s="102">
        <v>33.450000000000003</v>
      </c>
      <c r="S13" s="102">
        <v>30.9</v>
      </c>
      <c r="T13" s="102">
        <v>39.799999999999997</v>
      </c>
      <c r="U13" s="102">
        <v>57.05</v>
      </c>
      <c r="V13" s="102">
        <v>45.15</v>
      </c>
      <c r="W13" s="102">
        <v>35.700000000000003</v>
      </c>
      <c r="X13" s="102">
        <v>32.549999999999997</v>
      </c>
      <c r="Y13" s="102">
        <v>46.6</v>
      </c>
      <c r="Z13" s="102">
        <v>72.7</v>
      </c>
    </row>
    <row r="14" spans="1:26" x14ac:dyDescent="0.2">
      <c r="A14" t="s">
        <v>108</v>
      </c>
      <c r="C14" s="44">
        <v>104.49809745732207</v>
      </c>
      <c r="D14" s="44">
        <v>101.79759772581959</v>
      </c>
      <c r="E14" s="44">
        <v>20.800673130488587</v>
      </c>
      <c r="F14" s="44">
        <v>22.425872303313465</v>
      </c>
      <c r="G14" s="44">
        <v>23.671686259874363</v>
      </c>
      <c r="H14" s="44">
        <v>33.348915399556354</v>
      </c>
      <c r="I14" s="44">
        <v>43.780719517829532</v>
      </c>
      <c r="J14" s="44">
        <v>37.923321058520536</v>
      </c>
      <c r="K14" s="44">
        <v>35.053254403121386</v>
      </c>
      <c r="L14" s="44">
        <v>33.547883181557765</v>
      </c>
      <c r="M14" s="44">
        <v>45.853628235221905</v>
      </c>
      <c r="N14" s="44">
        <v>66.751439131601273</v>
      </c>
      <c r="O14" s="44">
        <f t="shared" ref="O14:Z14" si="14">+O$11*O9/O$6</f>
        <v>78.346173453803885</v>
      </c>
      <c r="P14" s="44">
        <f t="shared" si="14"/>
        <v>74.515852562608529</v>
      </c>
      <c r="Q14" s="44">
        <f t="shared" si="14"/>
        <v>43.841750740825333</v>
      </c>
      <c r="R14" s="44">
        <f t="shared" si="14"/>
        <v>34.41170745072418</v>
      </c>
      <c r="S14" s="44">
        <f t="shared" si="14"/>
        <v>29.684936712437576</v>
      </c>
      <c r="T14" s="44">
        <f t="shared" si="14"/>
        <v>27.440454578997848</v>
      </c>
      <c r="U14" s="44">
        <f t="shared" si="14"/>
        <v>37.691391662683913</v>
      </c>
      <c r="V14" s="44">
        <f t="shared" si="14"/>
        <v>45.828234987501922</v>
      </c>
      <c r="W14" s="44">
        <f t="shared" si="14"/>
        <v>27.330263795104461</v>
      </c>
      <c r="X14" s="44">
        <f t="shared" si="14"/>
        <v>28.171545413817007</v>
      </c>
      <c r="Y14" s="44">
        <f t="shared" si="14"/>
        <v>44.501588225198802</v>
      </c>
      <c r="Z14" s="44">
        <f t="shared" si="14"/>
        <v>60.739816177981943</v>
      </c>
    </row>
    <row r="15" spans="1:26" x14ac:dyDescent="0.2">
      <c r="A15" t="s">
        <v>115</v>
      </c>
      <c r="C15" s="129">
        <v>1.1588680959674116</v>
      </c>
      <c r="D15" s="129">
        <v>1.0330874878765661</v>
      </c>
      <c r="E15" s="129">
        <v>1.1713522267221617</v>
      </c>
      <c r="F15" s="129">
        <v>1.2696425601536048</v>
      </c>
      <c r="G15" s="129">
        <v>1.2394527370961499</v>
      </c>
      <c r="H15" s="129">
        <v>1.2136324455463856</v>
      </c>
      <c r="I15" s="129">
        <v>1.3206068184186344</v>
      </c>
      <c r="J15" s="129">
        <v>1.2931720371697957</v>
      </c>
      <c r="K15" s="129">
        <v>1.1652007101765136</v>
      </c>
      <c r="L15" s="129">
        <v>1.1955782427854265</v>
      </c>
      <c r="M15" s="129">
        <v>1.1898060585068053</v>
      </c>
      <c r="N15" s="129">
        <v>1.1777288079941937</v>
      </c>
      <c r="O15" s="235">
        <v>1.0766899772030731</v>
      </c>
      <c r="P15" s="235">
        <v>1.1349300768835631</v>
      </c>
      <c r="Q15" s="235">
        <v>1.1139954347712966</v>
      </c>
      <c r="R15" s="235">
        <v>1.1516917581840371</v>
      </c>
      <c r="S15" s="235">
        <v>1.2026182146484592</v>
      </c>
      <c r="T15" s="235">
        <v>1.3892605711755586</v>
      </c>
      <c r="U15" s="235">
        <v>1.3911309013267141</v>
      </c>
      <c r="V15" s="235">
        <v>1.1723259193025599</v>
      </c>
      <c r="W15" s="235">
        <v>1.3093844669099928</v>
      </c>
      <c r="X15" s="235">
        <v>1.2493152949552839</v>
      </c>
      <c r="Y15" s="235">
        <v>1.1805355104620412</v>
      </c>
      <c r="Z15" s="235">
        <v>1.1547723347405077</v>
      </c>
    </row>
    <row r="16" spans="1:26" x14ac:dyDescent="0.2">
      <c r="A16" t="s">
        <v>116</v>
      </c>
      <c r="C16" s="129">
        <v>0.99508672629294925</v>
      </c>
      <c r="D16" s="129">
        <v>0.82656179785609651</v>
      </c>
      <c r="E16" s="129">
        <v>0.92450302387188621</v>
      </c>
      <c r="F16" s="129">
        <v>0.91830394156761774</v>
      </c>
      <c r="G16" s="129">
        <v>0.96603379279730484</v>
      </c>
      <c r="H16" s="129">
        <v>0.97041428886096937</v>
      </c>
      <c r="I16" s="129">
        <v>0.94626506044846992</v>
      </c>
      <c r="J16" s="129">
        <v>0.948367238312393</v>
      </c>
      <c r="K16" s="129">
        <v>0.95097102497964336</v>
      </c>
      <c r="L16" s="129">
        <v>0.98448581866951312</v>
      </c>
      <c r="M16" s="129">
        <v>0.95783599120106622</v>
      </c>
      <c r="N16" s="129">
        <v>0.93591104285220816</v>
      </c>
      <c r="O16" s="235">
        <v>1.0187397258436066</v>
      </c>
      <c r="P16" s="235">
        <v>1.0829789854958802</v>
      </c>
      <c r="Q16" s="235">
        <v>1.0676287925477466</v>
      </c>
      <c r="R16" s="235">
        <v>1.122564587424342</v>
      </c>
      <c r="S16" s="235">
        <v>1.1532870094206291</v>
      </c>
      <c r="T16" s="235">
        <v>1.2363167715614025</v>
      </c>
      <c r="U16" s="235">
        <v>1.2307933958845492</v>
      </c>
      <c r="V16" s="235">
        <v>1.1100587054985183</v>
      </c>
      <c r="W16" s="235">
        <v>1.1594781186099956</v>
      </c>
      <c r="X16" s="235">
        <v>1.1352149722778091</v>
      </c>
      <c r="Y16" s="235">
        <v>1.0924232854391485</v>
      </c>
      <c r="Z16" s="235">
        <v>1.095241980564293</v>
      </c>
    </row>
    <row r="17" spans="1:26" x14ac:dyDescent="0.2">
      <c r="A17" t="s">
        <v>117</v>
      </c>
      <c r="C17" s="129">
        <v>1</v>
      </c>
      <c r="D17" s="129">
        <v>1</v>
      </c>
      <c r="E17" s="129">
        <v>1</v>
      </c>
      <c r="F17" s="129">
        <v>1</v>
      </c>
      <c r="G17" s="129">
        <v>1</v>
      </c>
      <c r="H17" s="129">
        <v>1</v>
      </c>
      <c r="I17" s="129">
        <v>1</v>
      </c>
      <c r="J17" s="129">
        <v>1</v>
      </c>
      <c r="K17" s="129">
        <v>1</v>
      </c>
      <c r="L17" s="129">
        <v>1</v>
      </c>
      <c r="M17" s="129">
        <v>1</v>
      </c>
      <c r="N17" s="129">
        <v>1</v>
      </c>
      <c r="O17" s="235">
        <v>0.96395658919464688</v>
      </c>
      <c r="P17" s="235">
        <v>0.98453136226007432</v>
      </c>
      <c r="Q17" s="235">
        <v>0.97246120423341409</v>
      </c>
      <c r="R17" s="235">
        <v>0.96353254269694921</v>
      </c>
      <c r="S17" s="235">
        <v>0.92794211910604496</v>
      </c>
      <c r="T17" s="235">
        <v>0.93297356784479102</v>
      </c>
      <c r="U17" s="235">
        <v>0.90108668141798898</v>
      </c>
      <c r="V17" s="235">
        <v>0.94745506171117133</v>
      </c>
      <c r="W17" s="235">
        <v>0.90179649421053254</v>
      </c>
      <c r="X17" s="235">
        <v>0.8947912794440569</v>
      </c>
      <c r="Y17" s="235">
        <v>0.94848847232595479</v>
      </c>
      <c r="Z17" s="235">
        <v>1.005394674407448</v>
      </c>
    </row>
    <row r="18" spans="1:26" x14ac:dyDescent="0.2">
      <c r="A18" t="s">
        <v>118</v>
      </c>
      <c r="C18" s="129">
        <v>1.4328083309310764</v>
      </c>
      <c r="D18" s="129">
        <v>1.5488116021011298</v>
      </c>
      <c r="E18" s="129">
        <v>1.4514781885633881</v>
      </c>
      <c r="F18" s="129">
        <v>1.3861876153321138</v>
      </c>
      <c r="G18" s="129">
        <v>1.3323013366539687</v>
      </c>
      <c r="H18" s="129">
        <v>1.3368764092341794</v>
      </c>
      <c r="I18" s="129">
        <v>1.631652217757374</v>
      </c>
      <c r="J18" s="129">
        <v>1.4325107974568048</v>
      </c>
      <c r="K18" s="129">
        <v>1.3802379309623856</v>
      </c>
      <c r="L18" s="129">
        <v>1.2975418936589367</v>
      </c>
      <c r="M18" s="129">
        <v>1.3657967761990688</v>
      </c>
      <c r="N18" s="129">
        <v>1.4774589024244624</v>
      </c>
      <c r="O18" s="235">
        <v>1.2236990736290443</v>
      </c>
      <c r="P18" s="235">
        <v>1.2898299539292744</v>
      </c>
      <c r="Q18" s="235">
        <v>1.2367455891543668</v>
      </c>
      <c r="R18" s="235">
        <v>1.316668475311991</v>
      </c>
      <c r="S18" s="235">
        <v>1.3252743668397617</v>
      </c>
      <c r="T18" s="235">
        <v>1.294763747146191</v>
      </c>
      <c r="U18" s="235">
        <v>1.3477533198482292</v>
      </c>
      <c r="V18" s="235">
        <v>1.3763488704358191</v>
      </c>
      <c r="W18" s="235">
        <v>1.4601467656175162</v>
      </c>
      <c r="X18" s="235">
        <v>1.4909985741809311</v>
      </c>
      <c r="Y18" s="235">
        <v>1.4025945960984876</v>
      </c>
      <c r="Z18" s="235">
        <v>1.1365240723910564</v>
      </c>
    </row>
    <row r="19" spans="1:26" x14ac:dyDescent="0.2">
      <c r="A19" t="s">
        <v>119</v>
      </c>
      <c r="C19" s="129">
        <v>0.99246859386277686</v>
      </c>
      <c r="D19" s="129">
        <v>1.4147148289778622</v>
      </c>
      <c r="E19" s="129">
        <v>1.1455941014339379</v>
      </c>
      <c r="F19" s="129">
        <v>1.0808841879814834</v>
      </c>
      <c r="G19" s="129">
        <v>0.89693148312791415</v>
      </c>
      <c r="H19" s="129">
        <v>1.032205549894688</v>
      </c>
      <c r="I19" s="129">
        <v>1.1108706582990111</v>
      </c>
      <c r="J19" s="129">
        <v>1.0649507727341068</v>
      </c>
      <c r="K19" s="129">
        <v>1.0137668474242512</v>
      </c>
      <c r="L19" s="129">
        <v>0.97044335593402098</v>
      </c>
      <c r="M19" s="129">
        <v>0.96091627298505544</v>
      </c>
      <c r="N19" s="129">
        <v>1.0555778691644115</v>
      </c>
      <c r="O19" s="235">
        <v>1.0041052197562137</v>
      </c>
      <c r="P19" s="235">
        <v>1.0256554286040427</v>
      </c>
      <c r="Q19" s="235">
        <v>1.017427236345255</v>
      </c>
      <c r="R19" s="235">
        <v>1.0244915018110898</v>
      </c>
      <c r="S19" s="235">
        <v>1.0087872307555223</v>
      </c>
      <c r="T19" s="235">
        <v>1.0175301627043618</v>
      </c>
      <c r="U19" s="235">
        <v>1.0073993877039149</v>
      </c>
      <c r="V19" s="235">
        <v>1.022287754050877</v>
      </c>
      <c r="W19" s="235">
        <v>1.0114694099255479</v>
      </c>
      <c r="X19" s="235">
        <v>0.99567677723944858</v>
      </c>
      <c r="Y19" s="235">
        <v>1.0262928850575781</v>
      </c>
      <c r="Z19" s="235">
        <v>1.0214528642886029</v>
      </c>
    </row>
    <row r="20" spans="1:26" x14ac:dyDescent="0.2">
      <c r="A20" t="s">
        <v>164</v>
      </c>
      <c r="C20" s="44">
        <v>154.30328697806087</v>
      </c>
      <c r="D20" s="44">
        <v>120.40634671201379</v>
      </c>
      <c r="E20" s="44">
        <v>30.384876761172876</v>
      </c>
      <c r="F20" s="44">
        <v>35.48650955629325</v>
      </c>
      <c r="G20" s="44">
        <v>35.572293554659502</v>
      </c>
      <c r="H20" s="44">
        <v>52.307558403049221</v>
      </c>
      <c r="I20" s="44">
        <v>84.915018424318191</v>
      </c>
      <c r="J20" s="44">
        <v>68.990728183008599</v>
      </c>
      <c r="K20" s="44">
        <v>48.472349543342965</v>
      </c>
      <c r="L20" s="44">
        <v>48.122024272113414</v>
      </c>
      <c r="M20" s="44">
        <v>64.72544958277021</v>
      </c>
      <c r="N20" s="44">
        <v>96.043784291926485</v>
      </c>
      <c r="O20" s="44">
        <f t="shared" ref="O20:Z20" si="15">+O15*O11</f>
        <v>105.51561776590117</v>
      </c>
      <c r="P20" s="44">
        <f t="shared" si="15"/>
        <v>96.355563527414517</v>
      </c>
      <c r="Q20" s="44">
        <f t="shared" si="15"/>
        <v>58.763259184185898</v>
      </c>
      <c r="R20" s="44">
        <f t="shared" si="15"/>
        <v>50.213760656824022</v>
      </c>
      <c r="S20" s="44">
        <f t="shared" si="15"/>
        <v>47.323026746416872</v>
      </c>
      <c r="T20" s="44">
        <f t="shared" si="15"/>
        <v>68.073767987602366</v>
      </c>
      <c r="U20" s="44">
        <f t="shared" si="15"/>
        <v>96.822710732339289</v>
      </c>
      <c r="V20" s="44">
        <f t="shared" si="15"/>
        <v>66.822577400245919</v>
      </c>
      <c r="W20" s="44">
        <f t="shared" si="15"/>
        <v>59.904339361132166</v>
      </c>
      <c r="X20" s="44">
        <f t="shared" si="15"/>
        <v>52.158913564383106</v>
      </c>
      <c r="Y20" s="44">
        <f t="shared" si="15"/>
        <v>67.054416994243937</v>
      </c>
      <c r="Z20" s="44">
        <f t="shared" si="15"/>
        <v>97.751478135783984</v>
      </c>
    </row>
    <row r="21" spans="1:26" x14ac:dyDescent="0.2">
      <c r="A21" t="s">
        <v>168</v>
      </c>
      <c r="C21" s="44">
        <v>132.4957976059062</v>
      </c>
      <c r="D21" s="44">
        <v>96.335777540128049</v>
      </c>
      <c r="E21" s="44">
        <v>23.98160843923673</v>
      </c>
      <c r="F21" s="44">
        <v>25.666595166814915</v>
      </c>
      <c r="G21" s="44">
        <v>27.725169853282647</v>
      </c>
      <c r="H21" s="44">
        <v>41.824855849907784</v>
      </c>
      <c r="I21" s="44">
        <v>60.844843386836615</v>
      </c>
      <c r="J21" s="44">
        <v>50.595392163966167</v>
      </c>
      <c r="K21" s="44">
        <v>39.560394639153166</v>
      </c>
      <c r="L21" s="44">
        <v>39.625554201447905</v>
      </c>
      <c r="M21" s="44">
        <v>52.106277921337998</v>
      </c>
      <c r="N21" s="44">
        <v>76.323545544597579</v>
      </c>
      <c r="O21" s="44">
        <f t="shared" ref="O21:Z21" si="16">+O16*O11</f>
        <v>99.836493132673453</v>
      </c>
      <c r="P21" s="44">
        <f t="shared" si="16"/>
        <v>91.944915868600233</v>
      </c>
      <c r="Q21" s="44">
        <f t="shared" si="16"/>
        <v>56.317418806893635</v>
      </c>
      <c r="R21" s="44">
        <f t="shared" si="16"/>
        <v>48.943816011701308</v>
      </c>
      <c r="S21" s="44">
        <f t="shared" si="16"/>
        <v>45.381843820701761</v>
      </c>
      <c r="T21" s="44">
        <f t="shared" si="16"/>
        <v>60.579521806508723</v>
      </c>
      <c r="U21" s="44">
        <f t="shared" si="16"/>
        <v>85.663220353564611</v>
      </c>
      <c r="V21" s="44">
        <f t="shared" si="16"/>
        <v>63.273346213415543</v>
      </c>
      <c r="W21" s="44">
        <f t="shared" si="16"/>
        <v>53.046123926407297</v>
      </c>
      <c r="X21" s="44">
        <f t="shared" si="16"/>
        <v>47.39522509259853</v>
      </c>
      <c r="Y21" s="44">
        <f t="shared" si="16"/>
        <v>62.049642612943629</v>
      </c>
      <c r="Z21" s="44">
        <f t="shared" si="16"/>
        <v>92.712233654767402</v>
      </c>
    </row>
    <row r="22" spans="1:26" x14ac:dyDescent="0.2">
      <c r="A22" t="s">
        <v>167</v>
      </c>
      <c r="C22" s="44">
        <v>122.15</v>
      </c>
      <c r="D22" s="44">
        <v>107.3</v>
      </c>
      <c r="E22" s="44">
        <v>22.74</v>
      </c>
      <c r="F22" s="44">
        <v>24.5</v>
      </c>
      <c r="G22" s="44">
        <v>23.9</v>
      </c>
      <c r="H22" s="44">
        <v>32.15</v>
      </c>
      <c r="I22" s="44">
        <v>40.35</v>
      </c>
      <c r="J22" s="44">
        <v>35.049999999999997</v>
      </c>
      <c r="K22" s="44">
        <v>31</v>
      </c>
      <c r="L22" s="44">
        <v>31.9</v>
      </c>
      <c r="M22" s="44">
        <v>47.15</v>
      </c>
      <c r="N22" s="44">
        <v>72.8</v>
      </c>
      <c r="O22" s="44">
        <f t="shared" ref="O22:Z22" si="17">+O17*O12</f>
        <v>85.406553802645703</v>
      </c>
      <c r="P22" s="44">
        <f t="shared" si="17"/>
        <v>73.495266192714553</v>
      </c>
      <c r="Q22" s="44">
        <f t="shared" si="17"/>
        <v>45.170822936642089</v>
      </c>
      <c r="R22" s="44">
        <f t="shared" si="17"/>
        <v>34.783524791359866</v>
      </c>
      <c r="S22" s="44">
        <f t="shared" si="17"/>
        <v>29.740544917348739</v>
      </c>
      <c r="T22" s="44">
        <f t="shared" si="17"/>
        <v>33.493751085627999</v>
      </c>
      <c r="U22" s="44">
        <f t="shared" si="17"/>
        <v>40.458791995667703</v>
      </c>
      <c r="V22" s="44">
        <f t="shared" si="17"/>
        <v>34.818973517885546</v>
      </c>
      <c r="W22" s="44">
        <f t="shared" si="17"/>
        <v>29.894553783079154</v>
      </c>
      <c r="X22" s="44">
        <f t="shared" si="17"/>
        <v>29.080716581931849</v>
      </c>
      <c r="Y22" s="44">
        <f t="shared" si="17"/>
        <v>46.191388602274003</v>
      </c>
      <c r="Z22" s="44">
        <f t="shared" si="17"/>
        <v>77.465659663093859</v>
      </c>
    </row>
    <row r="23" spans="1:26" x14ac:dyDescent="0.2">
      <c r="A23" t="s">
        <v>166</v>
      </c>
      <c r="C23" s="44">
        <v>175.01753762323099</v>
      </c>
      <c r="D23" s="44">
        <v>166.18748490545121</v>
      </c>
      <c r="E23" s="44">
        <v>33.006614007931439</v>
      </c>
      <c r="F23" s="44">
        <v>33.96159657563679</v>
      </c>
      <c r="G23" s="44">
        <v>31.84200194602985</v>
      </c>
      <c r="H23" s="44">
        <v>42.980576556878866</v>
      </c>
      <c r="I23" s="44">
        <v>65.837166986510042</v>
      </c>
      <c r="J23" s="44">
        <v>50.209503450861</v>
      </c>
      <c r="K23" s="44">
        <v>42.787375859833951</v>
      </c>
      <c r="L23" s="44">
        <v>41.391586407720077</v>
      </c>
      <c r="M23" s="44">
        <v>64.397317997786089</v>
      </c>
      <c r="N23" s="44">
        <v>107.55900809650086</v>
      </c>
      <c r="O23" s="44">
        <f t="shared" ref="O23:Z23" si="18">+O18*O12</f>
        <v>108.41973792353332</v>
      </c>
      <c r="P23" s="44">
        <f t="shared" si="18"/>
        <v>96.285806060820335</v>
      </c>
      <c r="Q23" s="44">
        <f t="shared" si="18"/>
        <v>57.446832616220341</v>
      </c>
      <c r="R23" s="44">
        <f t="shared" si="18"/>
        <v>47.531731958762876</v>
      </c>
      <c r="S23" s="44">
        <f t="shared" si="18"/>
        <v>42.475043457214362</v>
      </c>
      <c r="T23" s="44">
        <f t="shared" si="18"/>
        <v>46.482018522548259</v>
      </c>
      <c r="U23" s="44">
        <f t="shared" si="18"/>
        <v>60.514124061185491</v>
      </c>
      <c r="V23" s="44">
        <f t="shared" si="18"/>
        <v>50.580820988516351</v>
      </c>
      <c r="W23" s="44">
        <f t="shared" si="18"/>
        <v>48.403865280220657</v>
      </c>
      <c r="X23" s="44">
        <f t="shared" si="18"/>
        <v>48.457453660880262</v>
      </c>
      <c r="Y23" s="44">
        <f t="shared" si="18"/>
        <v>68.306356829996346</v>
      </c>
      <c r="Z23" s="44">
        <f t="shared" si="18"/>
        <v>87.569179777730895</v>
      </c>
    </row>
    <row r="24" spans="1:26" x14ac:dyDescent="0.2">
      <c r="A24" t="s">
        <v>165</v>
      </c>
      <c r="C24" s="44">
        <v>121.2300387403382</v>
      </c>
      <c r="D24" s="44">
        <v>151.79890114932459</v>
      </c>
      <c r="E24" s="44">
        <v>26.050809866607747</v>
      </c>
      <c r="F24" s="44">
        <v>26.481662605546344</v>
      </c>
      <c r="G24" s="44">
        <v>21.436662446757147</v>
      </c>
      <c r="H24" s="44">
        <v>33.185408429114219</v>
      </c>
      <c r="I24" s="44">
        <v>44.823631062365102</v>
      </c>
      <c r="J24" s="44">
        <v>37.326524584330436</v>
      </c>
      <c r="K24" s="44">
        <v>31.426772270151787</v>
      </c>
      <c r="L24" s="44">
        <v>30.957143054295269</v>
      </c>
      <c r="M24" s="44">
        <v>45.307202271245366</v>
      </c>
      <c r="N24" s="44">
        <v>76.846068875169152</v>
      </c>
      <c r="O24" s="44">
        <f t="shared" ref="O24:Z24" si="19">+O19*O12</f>
        <v>88.963722470400526</v>
      </c>
      <c r="P24" s="44">
        <f t="shared" si="19"/>
        <v>76.565177745291791</v>
      </c>
      <c r="Q24" s="44">
        <f t="shared" si="19"/>
        <v>47.259495128237099</v>
      </c>
      <c r="R24" s="44">
        <f t="shared" si="19"/>
        <v>36.984143215380342</v>
      </c>
      <c r="S24" s="44">
        <f t="shared" si="19"/>
        <v>32.331630745714492</v>
      </c>
      <c r="T24" s="44">
        <f t="shared" si="19"/>
        <v>36.529332841086585</v>
      </c>
      <c r="U24" s="44">
        <f t="shared" si="19"/>
        <v>45.232232507905778</v>
      </c>
      <c r="V24" s="44">
        <f t="shared" si="19"/>
        <v>37.569074961369729</v>
      </c>
      <c r="W24" s="44">
        <f t="shared" si="19"/>
        <v>33.53021093903191</v>
      </c>
      <c r="X24" s="44">
        <f t="shared" si="19"/>
        <v>32.359495260282081</v>
      </c>
      <c r="Y24" s="44">
        <f t="shared" si="19"/>
        <v>49.980463502304055</v>
      </c>
      <c r="Z24" s="44">
        <f t="shared" si="19"/>
        <v>78.702943193436852</v>
      </c>
    </row>
    <row r="25" spans="1:26" x14ac:dyDescent="0.2">
      <c r="A25" t="s">
        <v>125</v>
      </c>
      <c r="C25" s="44">
        <v>121.10807716309068</v>
      </c>
      <c r="D25" s="44">
        <v>109.78721472155758</v>
      </c>
      <c r="E25" s="44">
        <v>23.929362006010962</v>
      </c>
      <c r="F25" s="44">
        <v>25.492903140578232</v>
      </c>
      <c r="G25" s="44">
        <v>26.955018528769809</v>
      </c>
      <c r="H25" s="44">
        <v>39.326907155622337</v>
      </c>
      <c r="I25" s="44">
        <v>56.98812872189378</v>
      </c>
      <c r="J25" s="44">
        <v>48.110274005788767</v>
      </c>
      <c r="K25" s="44">
        <v>38.954016296705305</v>
      </c>
      <c r="L25" s="44">
        <v>37.510052802507076</v>
      </c>
      <c r="M25" s="44">
        <v>50.842929506093682</v>
      </c>
      <c r="N25" s="44">
        <v>74.954531738486864</v>
      </c>
      <c r="O25" s="44">
        <f t="shared" ref="O25:Z25" si="20">+O10*(1+AVERAGE(O$772:O$773)+AVERAGE(O$830:O$831))</f>
        <v>88.040126323376668</v>
      </c>
      <c r="P25" s="44">
        <f t="shared" si="20"/>
        <v>79.826620707208946</v>
      </c>
      <c r="Q25" s="44">
        <f t="shared" si="20"/>
        <v>48.203772530767708</v>
      </c>
      <c r="R25" s="44">
        <f t="shared" si="20"/>
        <v>39.347585947899049</v>
      </c>
      <c r="S25" s="44">
        <f t="shared" si="20"/>
        <v>35.462512049416581</v>
      </c>
      <c r="T25" s="44">
        <f t="shared" si="20"/>
        <v>38.013752675307593</v>
      </c>
      <c r="U25" s="44">
        <f t="shared" si="20"/>
        <v>53.354454029396202</v>
      </c>
      <c r="V25" s="44">
        <f t="shared" si="20"/>
        <v>52.57068111787634</v>
      </c>
      <c r="W25" s="44">
        <f t="shared" si="20"/>
        <v>37.261752506883383</v>
      </c>
      <c r="X25" s="44">
        <f t="shared" si="20"/>
        <v>36.767637045125724</v>
      </c>
      <c r="Y25" s="44">
        <f t="shared" si="20"/>
        <v>51.106614213839073</v>
      </c>
      <c r="Z25" s="44">
        <f t="shared" si="20"/>
        <v>70.096950270752487</v>
      </c>
    </row>
    <row r="26" spans="1:26" x14ac:dyDescent="0.2">
      <c r="A26" t="s">
        <v>126</v>
      </c>
      <c r="C26" s="44">
        <v>130.71651939028663</v>
      </c>
      <c r="D26" s="44">
        <v>114.8133002994439</v>
      </c>
      <c r="E26" s="44">
        <v>25.666823040095434</v>
      </c>
      <c r="F26" s="44">
        <v>27.270681165367254</v>
      </c>
      <c r="G26" s="44">
        <v>28.560952299165209</v>
      </c>
      <c r="H26" s="44">
        <v>42.318245441078012</v>
      </c>
      <c r="I26" s="44">
        <v>63.791415352903144</v>
      </c>
      <c r="J26" s="44">
        <v>53.380263025580604</v>
      </c>
      <c r="K26" s="44">
        <v>41.17918278850243</v>
      </c>
      <c r="L26" s="44">
        <v>39.681339701549284</v>
      </c>
      <c r="M26" s="44">
        <v>53.814893840750607</v>
      </c>
      <c r="N26" s="44">
        <v>79.756418933667277</v>
      </c>
      <c r="O26" s="44">
        <f t="shared" ref="O26:Z26" si="21">+O11*(1+O$772+O$830)</f>
        <v>96.925396617431289</v>
      </c>
      <c r="P26" s="44">
        <f t="shared" si="21"/>
        <v>84.407754851004981</v>
      </c>
      <c r="Q26" s="44">
        <f t="shared" si="21"/>
        <v>52.361747150125439</v>
      </c>
      <c r="R26" s="44">
        <f t="shared" si="21"/>
        <v>43.323199350287283</v>
      </c>
      <c r="S26" s="44">
        <f t="shared" si="21"/>
        <v>39.338885108004625</v>
      </c>
      <c r="T26" s="44">
        <f t="shared" si="21"/>
        <v>48.736734835067523</v>
      </c>
      <c r="U26" s="44">
        <f t="shared" si="21"/>
        <v>68.591559756921001</v>
      </c>
      <c r="V26" s="44">
        <f t="shared" si="21"/>
        <v>56.625924891024923</v>
      </c>
      <c r="W26" s="44">
        <f t="shared" si="21"/>
        <v>45.633859793996209</v>
      </c>
      <c r="X26" s="44">
        <f t="shared" si="21"/>
        <v>42.23796353437239</v>
      </c>
      <c r="Y26" s="44">
        <f t="shared" si="21"/>
        <v>56.203190729818061</v>
      </c>
      <c r="Z26" s="44">
        <f t="shared" si="21"/>
        <v>83.551442562847356</v>
      </c>
    </row>
    <row r="27" spans="1:26" x14ac:dyDescent="0.2">
      <c r="A27" t="s">
        <v>127</v>
      </c>
      <c r="C27" s="44">
        <v>119.45829201949982</v>
      </c>
      <c r="D27" s="44">
        <v>105.3514667013831</v>
      </c>
      <c r="E27" s="44">
        <v>22.412391488734006</v>
      </c>
      <c r="F27" s="44">
        <v>23.939897915619817</v>
      </c>
      <c r="G27" s="44">
        <v>23.893962550127885</v>
      </c>
      <c r="H27" s="44">
        <v>31.889680556551184</v>
      </c>
      <c r="I27" s="44">
        <v>40.006094527032069</v>
      </c>
      <c r="J27" s="44">
        <v>34.888341269067716</v>
      </c>
      <c r="K27" s="44">
        <v>30.584182831217287</v>
      </c>
      <c r="L27" s="44">
        <v>31.501653057574153</v>
      </c>
      <c r="M27" s="44">
        <v>46.3615075238163</v>
      </c>
      <c r="N27" s="44">
        <v>71.241573869411738</v>
      </c>
      <c r="O27" s="44">
        <f t="shared" ref="O27:Z27" si="22">+O12*(1+O$773+O$831)</f>
        <v>87.290462088521394</v>
      </c>
      <c r="P27" s="44">
        <f t="shared" si="22"/>
        <v>74.509276285273529</v>
      </c>
      <c r="Q27" s="44">
        <f t="shared" si="22"/>
        <v>46.128743045570367</v>
      </c>
      <c r="R27" s="44">
        <f t="shared" si="22"/>
        <v>35.924392649036307</v>
      </c>
      <c r="S27" s="44">
        <f t="shared" si="22"/>
        <v>32.041565591320087</v>
      </c>
      <c r="T27" s="44">
        <f t="shared" si="22"/>
        <v>35.897120097813215</v>
      </c>
      <c r="U27" s="44">
        <f t="shared" si="22"/>
        <v>44.850910927295374</v>
      </c>
      <c r="V27" s="44">
        <f t="shared" si="22"/>
        <v>36.896464673591936</v>
      </c>
      <c r="W27" s="44">
        <f t="shared" si="22"/>
        <v>33.397350859845616</v>
      </c>
      <c r="X27" s="44">
        <f t="shared" si="22"/>
        <v>32.883245886493967</v>
      </c>
      <c r="Y27" s="44">
        <f t="shared" si="22"/>
        <v>48.423746784793849</v>
      </c>
      <c r="Z27" s="44">
        <f t="shared" si="22"/>
        <v>76.437792096861884</v>
      </c>
    </row>
    <row r="28" spans="1:26" x14ac:dyDescent="0.2">
      <c r="A28" t="s">
        <v>128</v>
      </c>
      <c r="C28" s="44">
        <v>151.4832039373087</v>
      </c>
      <c r="D28" s="44">
        <v>118.61218398117029</v>
      </c>
      <c r="E28" s="44">
        <v>30.064890320899469</v>
      </c>
      <c r="F28" s="44">
        <v>34.624017451929568</v>
      </c>
      <c r="G28" s="44">
        <v>35.39995050127289</v>
      </c>
      <c r="H28" s="44">
        <v>51.358795705887694</v>
      </c>
      <c r="I28" s="44">
        <v>84.243378071619048</v>
      </c>
      <c r="J28" s="44">
        <v>69.029863481449595</v>
      </c>
      <c r="K28" s="44">
        <v>47.982013029651498</v>
      </c>
      <c r="L28" s="44">
        <v>47.442146391749873</v>
      </c>
      <c r="M28" s="44">
        <v>64.029286729625639</v>
      </c>
      <c r="N28" s="44">
        <v>93.931432200633509</v>
      </c>
      <c r="O28" s="44">
        <f t="shared" ref="O28:Z28" si="23">+O20*(1+O$772+O$830)</f>
        <v>104.35860307442091</v>
      </c>
      <c r="P28" s="44">
        <f t="shared" si="23"/>
        <v>95.796899702620038</v>
      </c>
      <c r="Q28" s="44">
        <f t="shared" si="23"/>
        <v>58.330747281888691</v>
      </c>
      <c r="R28" s="44">
        <f t="shared" si="23"/>
        <v>49.894971629889895</v>
      </c>
      <c r="S28" s="44">
        <f t="shared" si="23"/>
        <v>47.309659774849386</v>
      </c>
      <c r="T28" s="44">
        <f t="shared" si="23"/>
        <v>67.708024074197638</v>
      </c>
      <c r="U28" s="44">
        <f t="shared" si="23"/>
        <v>95.419838348050675</v>
      </c>
      <c r="V28" s="44">
        <f t="shared" si="23"/>
        <v>66.384039454228514</v>
      </c>
      <c r="W28" s="44">
        <f t="shared" si="23"/>
        <v>59.75226717940707</v>
      </c>
      <c r="X28" s="44">
        <f t="shared" si="23"/>
        <v>52.768533871254974</v>
      </c>
      <c r="Y28" s="44">
        <f t="shared" si="23"/>
        <v>66.349862457821217</v>
      </c>
      <c r="Z28" s="44">
        <f t="shared" si="23"/>
        <v>96.48289439923667</v>
      </c>
    </row>
    <row r="29" spans="1:26" x14ac:dyDescent="0.2">
      <c r="A29" t="s">
        <v>129</v>
      </c>
      <c r="C29" s="44">
        <v>130.07427335248914</v>
      </c>
      <c r="D29" s="44">
        <v>94.900287913300247</v>
      </c>
      <c r="E29" s="44">
        <v>23.729055513752829</v>
      </c>
      <c r="F29" s="44">
        <v>25.042774003390544</v>
      </c>
      <c r="G29" s="44">
        <v>27.590845075465467</v>
      </c>
      <c r="H29" s="44">
        <v>41.066230055547685</v>
      </c>
      <c r="I29" s="44">
        <v>60.363587505008347</v>
      </c>
      <c r="J29" s="44">
        <v>50.624092625959022</v>
      </c>
      <c r="K29" s="44">
        <v>39.160209664206249</v>
      </c>
      <c r="L29" s="44">
        <v>39.065716201982802</v>
      </c>
      <c r="M29" s="44">
        <v>51.545842183335509</v>
      </c>
      <c r="N29" s="44">
        <v>74.644913218366156</v>
      </c>
      <c r="O29" s="44">
        <f t="shared" ref="O29:Z29" si="24">+O21*(1+O$772+O$830)</f>
        <v>98.741751977324796</v>
      </c>
      <c r="P29" s="44">
        <f t="shared" si="24"/>
        <v>91.41182471652634</v>
      </c>
      <c r="Q29" s="44">
        <f t="shared" si="24"/>
        <v>55.902908885578839</v>
      </c>
      <c r="R29" s="44">
        <f t="shared" si="24"/>
        <v>48.633089404557758</v>
      </c>
      <c r="S29" s="44">
        <f t="shared" si="24"/>
        <v>45.369025160152383</v>
      </c>
      <c r="T29" s="44">
        <f t="shared" si="24"/>
        <v>60.254042667734822</v>
      </c>
      <c r="U29" s="44">
        <f t="shared" si="24"/>
        <v>84.42203876223877</v>
      </c>
      <c r="V29" s="44">
        <f t="shared" si="24"/>
        <v>62.858100882187451</v>
      </c>
      <c r="W29" s="44">
        <f t="shared" si="24"/>
        <v>52.911461898855045</v>
      </c>
      <c r="X29" s="44">
        <f t="shared" si="24"/>
        <v>47.949168602743661</v>
      </c>
      <c r="Y29" s="44">
        <f t="shared" si="24"/>
        <v>61.397674269230933</v>
      </c>
      <c r="Z29" s="44">
        <f t="shared" si="24"/>
        <v>91.5090474315367</v>
      </c>
    </row>
    <row r="30" spans="1:26" x14ac:dyDescent="0.2">
      <c r="A30" t="s">
        <v>130</v>
      </c>
      <c r="C30" s="44">
        <v>102.19536833024095</v>
      </c>
      <c r="D30" s="44">
        <v>99.948986272996038</v>
      </c>
      <c r="E30" s="44">
        <v>20.50100393270451</v>
      </c>
      <c r="F30" s="44">
        <v>21.913187494287762</v>
      </c>
      <c r="G30" s="44">
        <v>23.665706485013175</v>
      </c>
      <c r="H30" s="44">
        <v>33.078888304799463</v>
      </c>
      <c r="I30" s="44">
        <v>43.407573816400642</v>
      </c>
      <c r="J30" s="44">
        <v>37.748409904310613</v>
      </c>
      <c r="K30" s="44">
        <v>34.583069080459254</v>
      </c>
      <c r="L30" s="44">
        <v>33.128958520421939</v>
      </c>
      <c r="M30" s="44">
        <v>45.086815067264389</v>
      </c>
      <c r="N30" s="44">
        <v>65.32249425526804</v>
      </c>
      <c r="O30" s="44">
        <f t="shared" ref="O30:Z30" si="25">+O14*(1+O$773+O$831)</f>
        <v>77.188190560383632</v>
      </c>
      <c r="P30" s="44">
        <f t="shared" si="25"/>
        <v>74.375381731012808</v>
      </c>
      <c r="Q30" s="44">
        <f t="shared" si="25"/>
        <v>43.538532929848778</v>
      </c>
      <c r="R30" s="44">
        <f t="shared" si="25"/>
        <v>34.244312747467688</v>
      </c>
      <c r="S30" s="44">
        <f t="shared" si="25"/>
        <v>29.677124703455672</v>
      </c>
      <c r="T30" s="44">
        <f t="shared" si="25"/>
        <v>27.438253302531319</v>
      </c>
      <c r="U30" s="44">
        <f t="shared" si="25"/>
        <v>37.650183745853894</v>
      </c>
      <c r="V30" s="44">
        <f t="shared" si="25"/>
        <v>46.010880361073049</v>
      </c>
      <c r="W30" s="44">
        <f t="shared" si="25"/>
        <v>27.534190318468763</v>
      </c>
      <c r="X30" s="44">
        <f t="shared" si="25"/>
        <v>28.503749379848497</v>
      </c>
      <c r="Y30" s="44">
        <f t="shared" si="25"/>
        <v>44.249150713309859</v>
      </c>
      <c r="Z30" s="44">
        <f t="shared" si="25"/>
        <v>60.257202349308137</v>
      </c>
    </row>
    <row r="31" spans="1:26" x14ac:dyDescent="0.2">
      <c r="A31" t="s">
        <v>131</v>
      </c>
      <c r="C31" s="44">
        <v>171.16083600433666</v>
      </c>
      <c r="D31" s="44">
        <v>163.16957392547297</v>
      </c>
      <c r="E31" s="44">
        <v>32.531097399441123</v>
      </c>
      <c r="F31" s="44">
        <v>33.18519000294728</v>
      </c>
      <c r="G31" s="44">
        <v>31.833958243495253</v>
      </c>
      <c r="H31" s="44">
        <v>42.632561634067173</v>
      </c>
      <c r="I31" s="44">
        <v>65.27603285884301</v>
      </c>
      <c r="J31" s="44">
        <v>49.977925573297341</v>
      </c>
      <c r="K31" s="44">
        <v>42.213449231134661</v>
      </c>
      <c r="L31" s="44">
        <v>40.874714561711599</v>
      </c>
      <c r="M31" s="44">
        <v>63.320397515757179</v>
      </c>
      <c r="N31" s="44">
        <v>105.25649753609233</v>
      </c>
      <c r="O31" s="44">
        <f t="shared" ref="O31:Z31" si="26">+O23*(1+O$773+O$831)</f>
        <v>106.81725759437485</v>
      </c>
      <c r="P31" s="44">
        <f t="shared" si="26"/>
        <v>96.104296398337922</v>
      </c>
      <c r="Q31" s="44">
        <f t="shared" si="26"/>
        <v>57.049519494844319</v>
      </c>
      <c r="R31" s="44">
        <f t="shared" si="26"/>
        <v>47.300515295715932</v>
      </c>
      <c r="S31" s="44">
        <f t="shared" si="26"/>
        <v>42.463865551591425</v>
      </c>
      <c r="T31" s="44">
        <f t="shared" si="26"/>
        <v>46.478289729601478</v>
      </c>
      <c r="U31" s="44">
        <f t="shared" si="26"/>
        <v>60.447964100479567</v>
      </c>
      <c r="V31" s="44">
        <f t="shared" si="26"/>
        <v>50.782407476573361</v>
      </c>
      <c r="W31" s="44">
        <f t="shared" si="26"/>
        <v>48.765033838196949</v>
      </c>
      <c r="X31" s="44">
        <f t="shared" si="26"/>
        <v>49.028872731203478</v>
      </c>
      <c r="Y31" s="44">
        <f t="shared" si="26"/>
        <v>67.918885563193356</v>
      </c>
      <c r="Z31" s="44">
        <f t="shared" si="26"/>
        <v>86.873390758506375</v>
      </c>
    </row>
    <row r="32" spans="1:26" x14ac:dyDescent="0.2">
      <c r="A32" t="s">
        <v>132</v>
      </c>
      <c r="C32" s="44">
        <v>118.55860310584197</v>
      </c>
      <c r="D32" s="44">
        <v>149.04228219701412</v>
      </c>
      <c r="E32" s="44">
        <v>25.675503488521869</v>
      </c>
      <c r="F32" s="44">
        <v>25.876257118884332</v>
      </c>
      <c r="G32" s="44">
        <v>21.431247267889042</v>
      </c>
      <c r="H32" s="44">
        <v>32.916705254840856</v>
      </c>
      <c r="I32" s="44">
        <v>44.441596563216585</v>
      </c>
      <c r="J32" s="44">
        <v>37.154365993904889</v>
      </c>
      <c r="K32" s="44">
        <v>31.005230609850059</v>
      </c>
      <c r="L32" s="44">
        <v>30.570569910661476</v>
      </c>
      <c r="M32" s="44">
        <v>44.549527019754173</v>
      </c>
      <c r="N32" s="44">
        <v>75.201028740992655</v>
      </c>
      <c r="O32" s="44">
        <f t="shared" ref="O32:Z32" si="27">+O24*(1+O$773+O$831)</f>
        <v>87.648808618016218</v>
      </c>
      <c r="P32" s="44">
        <f t="shared" si="27"/>
        <v>76.420843703349249</v>
      </c>
      <c r="Q32" s="44">
        <f t="shared" si="27"/>
        <v>46.932639552935058</v>
      </c>
      <c r="R32" s="44">
        <f t="shared" si="27"/>
        <v>36.804234976662478</v>
      </c>
      <c r="S32" s="44">
        <f t="shared" si="27"/>
        <v>32.323122221939222</v>
      </c>
      <c r="T32" s="44">
        <f t="shared" si="27"/>
        <v>36.526402453745895</v>
      </c>
      <c r="U32" s="44">
        <f t="shared" si="27"/>
        <v>45.182780206120185</v>
      </c>
      <c r="V32" s="44">
        <f t="shared" si="27"/>
        <v>37.718804003583827</v>
      </c>
      <c r="W32" s="44">
        <f t="shared" si="27"/>
        <v>33.780398767284531</v>
      </c>
      <c r="X32" s="44">
        <f t="shared" si="27"/>
        <v>32.741084289436671</v>
      </c>
      <c r="Y32" s="44">
        <f t="shared" si="27"/>
        <v>49.696946793063695</v>
      </c>
      <c r="Z32" s="44">
        <f t="shared" si="27"/>
        <v>78.077601677236302</v>
      </c>
    </row>
    <row r="33" spans="1:26" x14ac:dyDescent="0.2">
      <c r="A33" t="s">
        <v>97</v>
      </c>
      <c r="C33" s="12">
        <v>744</v>
      </c>
      <c r="D33" s="12">
        <v>696</v>
      </c>
      <c r="E33" s="12">
        <v>743</v>
      </c>
      <c r="F33" s="12">
        <v>720</v>
      </c>
      <c r="G33" s="12">
        <v>744</v>
      </c>
      <c r="H33" s="12">
        <v>720</v>
      </c>
      <c r="I33" s="12">
        <v>744</v>
      </c>
      <c r="J33" s="12">
        <v>744</v>
      </c>
      <c r="K33" s="12">
        <v>720</v>
      </c>
      <c r="L33" s="12">
        <v>744</v>
      </c>
      <c r="M33" s="12">
        <v>721</v>
      </c>
      <c r="N33" s="12">
        <v>744</v>
      </c>
      <c r="O33" s="12">
        <f t="shared" ref="O33:Z33" si="28">+O34+O35</f>
        <v>744</v>
      </c>
      <c r="P33" s="12">
        <f t="shared" si="28"/>
        <v>672</v>
      </c>
      <c r="Q33" s="12">
        <f t="shared" si="28"/>
        <v>743</v>
      </c>
      <c r="R33" s="12">
        <f t="shared" si="28"/>
        <v>720</v>
      </c>
      <c r="S33" s="12">
        <f t="shared" si="28"/>
        <v>744</v>
      </c>
      <c r="T33" s="12">
        <f t="shared" si="28"/>
        <v>720</v>
      </c>
      <c r="U33" s="12">
        <f t="shared" si="28"/>
        <v>744</v>
      </c>
      <c r="V33" s="12">
        <f t="shared" si="28"/>
        <v>744</v>
      </c>
      <c r="W33" s="12">
        <f t="shared" si="28"/>
        <v>720</v>
      </c>
      <c r="X33" s="12">
        <f t="shared" si="28"/>
        <v>744</v>
      </c>
      <c r="Y33" s="12">
        <f t="shared" si="28"/>
        <v>721</v>
      </c>
      <c r="Z33" s="12">
        <f t="shared" si="28"/>
        <v>744</v>
      </c>
    </row>
    <row r="34" spans="1:26" x14ac:dyDescent="0.2">
      <c r="A34" t="s">
        <v>100</v>
      </c>
      <c r="C34" s="12">
        <v>352</v>
      </c>
      <c r="D34" s="12">
        <v>336</v>
      </c>
      <c r="E34" s="12">
        <v>336</v>
      </c>
      <c r="F34" s="12">
        <v>352</v>
      </c>
      <c r="G34" s="12">
        <v>352</v>
      </c>
      <c r="H34" s="12">
        <v>320</v>
      </c>
      <c r="I34" s="12">
        <v>352</v>
      </c>
      <c r="J34" s="12">
        <v>352</v>
      </c>
      <c r="K34" s="12">
        <v>320</v>
      </c>
      <c r="L34" s="12">
        <v>368</v>
      </c>
      <c r="M34" s="12">
        <v>320</v>
      </c>
      <c r="N34" s="12">
        <v>336</v>
      </c>
      <c r="O34" s="12">
        <f t="shared" ref="O34:Z34" si="29">16*O38</f>
        <v>352</v>
      </c>
      <c r="P34" s="12">
        <f t="shared" si="29"/>
        <v>320</v>
      </c>
      <c r="Q34" s="12">
        <f t="shared" si="29"/>
        <v>336</v>
      </c>
      <c r="R34" s="12">
        <f t="shared" si="29"/>
        <v>352</v>
      </c>
      <c r="S34" s="12">
        <f t="shared" si="29"/>
        <v>336</v>
      </c>
      <c r="T34" s="12">
        <f t="shared" si="29"/>
        <v>336</v>
      </c>
      <c r="U34" s="12">
        <f t="shared" si="29"/>
        <v>352</v>
      </c>
      <c r="V34" s="12">
        <f t="shared" si="29"/>
        <v>336</v>
      </c>
      <c r="W34" s="12">
        <f t="shared" si="29"/>
        <v>336</v>
      </c>
      <c r="X34" s="12">
        <f t="shared" si="29"/>
        <v>368</v>
      </c>
      <c r="Y34" s="12">
        <f t="shared" si="29"/>
        <v>304</v>
      </c>
      <c r="Z34" s="12">
        <f t="shared" si="29"/>
        <v>352</v>
      </c>
    </row>
    <row r="35" spans="1:26" x14ac:dyDescent="0.2">
      <c r="A35" t="s">
        <v>101</v>
      </c>
      <c r="C35" s="46">
        <v>392</v>
      </c>
      <c r="D35" s="46">
        <v>360</v>
      </c>
      <c r="E35" s="46">
        <v>407</v>
      </c>
      <c r="F35" s="46">
        <v>368</v>
      </c>
      <c r="G35" s="46">
        <v>392</v>
      </c>
      <c r="H35" s="46">
        <v>400</v>
      </c>
      <c r="I35" s="46">
        <v>392</v>
      </c>
      <c r="J35" s="46">
        <v>392</v>
      </c>
      <c r="K35" s="46">
        <v>400</v>
      </c>
      <c r="L35" s="46">
        <v>376</v>
      </c>
      <c r="M35" s="46">
        <v>401</v>
      </c>
      <c r="N35" s="46">
        <v>408</v>
      </c>
      <c r="O35" s="46">
        <f t="shared" ref="O35:Z35" si="30">+O36+O37</f>
        <v>392</v>
      </c>
      <c r="P35" s="46">
        <f t="shared" si="30"/>
        <v>352</v>
      </c>
      <c r="Q35" s="46">
        <f t="shared" si="30"/>
        <v>407</v>
      </c>
      <c r="R35" s="46">
        <f t="shared" si="30"/>
        <v>368</v>
      </c>
      <c r="S35" s="46">
        <f t="shared" si="30"/>
        <v>408</v>
      </c>
      <c r="T35" s="46">
        <f t="shared" si="30"/>
        <v>384</v>
      </c>
      <c r="U35" s="46">
        <f t="shared" si="30"/>
        <v>392</v>
      </c>
      <c r="V35" s="46">
        <f t="shared" si="30"/>
        <v>408</v>
      </c>
      <c r="W35" s="46">
        <f t="shared" si="30"/>
        <v>384</v>
      </c>
      <c r="X35" s="46">
        <f t="shared" si="30"/>
        <v>376</v>
      </c>
      <c r="Y35" s="46">
        <f t="shared" si="30"/>
        <v>417</v>
      </c>
      <c r="Z35" s="46">
        <f t="shared" si="30"/>
        <v>392</v>
      </c>
    </row>
    <row r="36" spans="1:26" x14ac:dyDescent="0.2">
      <c r="A36" t="s">
        <v>102</v>
      </c>
      <c r="C36" s="46">
        <v>248</v>
      </c>
      <c r="D36" s="46">
        <v>232</v>
      </c>
      <c r="E36" s="46">
        <v>247</v>
      </c>
      <c r="F36" s="46">
        <v>240</v>
      </c>
      <c r="G36" s="46">
        <v>248</v>
      </c>
      <c r="H36" s="46">
        <v>240</v>
      </c>
      <c r="I36" s="46">
        <v>248</v>
      </c>
      <c r="J36" s="46">
        <v>248</v>
      </c>
      <c r="K36" s="46">
        <v>240</v>
      </c>
      <c r="L36" s="46">
        <v>248</v>
      </c>
      <c r="M36" s="46">
        <v>241</v>
      </c>
      <c r="N36" s="46">
        <v>248</v>
      </c>
      <c r="O36" s="46">
        <f t="shared" ref="O36:Z36" si="31">+(O38+O39)*8</f>
        <v>248</v>
      </c>
      <c r="P36" s="46">
        <f t="shared" si="31"/>
        <v>224</v>
      </c>
      <c r="Q36" s="46">
        <f>+(Q38+Q39)*8-1</f>
        <v>247</v>
      </c>
      <c r="R36" s="46">
        <f t="shared" si="31"/>
        <v>240</v>
      </c>
      <c r="S36" s="46">
        <f t="shared" si="31"/>
        <v>248</v>
      </c>
      <c r="T36" s="46">
        <f t="shared" si="31"/>
        <v>240</v>
      </c>
      <c r="U36" s="46">
        <f t="shared" si="31"/>
        <v>248</v>
      </c>
      <c r="V36" s="46">
        <f t="shared" si="31"/>
        <v>248</v>
      </c>
      <c r="W36" s="46">
        <f t="shared" si="31"/>
        <v>240</v>
      </c>
      <c r="X36" s="46">
        <f>+(X38+X39)*8</f>
        <v>248</v>
      </c>
      <c r="Y36" s="46">
        <f>+(Y38+Y39)*8+1</f>
        <v>241</v>
      </c>
      <c r="Z36" s="46">
        <f t="shared" si="31"/>
        <v>248</v>
      </c>
    </row>
    <row r="37" spans="1:26" x14ac:dyDescent="0.2">
      <c r="A37" t="s">
        <v>103</v>
      </c>
      <c r="C37" s="46">
        <v>144</v>
      </c>
      <c r="D37" s="46">
        <v>128</v>
      </c>
      <c r="E37" s="46">
        <v>160</v>
      </c>
      <c r="F37" s="46">
        <v>128</v>
      </c>
      <c r="G37" s="46">
        <v>144</v>
      </c>
      <c r="H37" s="46">
        <v>160</v>
      </c>
      <c r="I37" s="46">
        <v>144</v>
      </c>
      <c r="J37" s="46">
        <v>144</v>
      </c>
      <c r="K37" s="46">
        <v>160</v>
      </c>
      <c r="L37" s="46">
        <v>128</v>
      </c>
      <c r="M37" s="46">
        <v>160</v>
      </c>
      <c r="N37" s="46">
        <v>160</v>
      </c>
      <c r="O37" s="46">
        <f t="shared" ref="O37:Z37" si="32">+O39*16</f>
        <v>144</v>
      </c>
      <c r="P37" s="46">
        <f t="shared" si="32"/>
        <v>128</v>
      </c>
      <c r="Q37" s="46">
        <f t="shared" si="32"/>
        <v>160</v>
      </c>
      <c r="R37" s="46">
        <f t="shared" si="32"/>
        <v>128</v>
      </c>
      <c r="S37" s="46">
        <f t="shared" si="32"/>
        <v>160</v>
      </c>
      <c r="T37" s="46">
        <f t="shared" si="32"/>
        <v>144</v>
      </c>
      <c r="U37" s="46">
        <f t="shared" si="32"/>
        <v>144</v>
      </c>
      <c r="V37" s="46">
        <f t="shared" si="32"/>
        <v>160</v>
      </c>
      <c r="W37" s="46">
        <f t="shared" si="32"/>
        <v>144</v>
      </c>
      <c r="X37" s="46">
        <f t="shared" si="32"/>
        <v>128</v>
      </c>
      <c r="Y37" s="46">
        <f t="shared" si="32"/>
        <v>176</v>
      </c>
      <c r="Z37" s="46">
        <f t="shared" si="32"/>
        <v>144</v>
      </c>
    </row>
    <row r="38" spans="1:26" x14ac:dyDescent="0.2">
      <c r="A38" t="s">
        <v>169</v>
      </c>
      <c r="C38" s="116">
        <v>22</v>
      </c>
      <c r="D38" s="116">
        <v>21</v>
      </c>
      <c r="E38" s="116">
        <v>21</v>
      </c>
      <c r="F38" s="116">
        <v>22</v>
      </c>
      <c r="G38" s="116">
        <v>22</v>
      </c>
      <c r="H38" s="116">
        <v>20</v>
      </c>
      <c r="I38" s="116">
        <v>22</v>
      </c>
      <c r="J38" s="116">
        <v>22</v>
      </c>
      <c r="K38" s="116">
        <v>20</v>
      </c>
      <c r="L38" s="116">
        <v>23</v>
      </c>
      <c r="M38" s="116">
        <v>20</v>
      </c>
      <c r="N38" s="116">
        <v>21</v>
      </c>
      <c r="O38" s="192">
        <v>22</v>
      </c>
      <c r="P38" s="192">
        <v>20</v>
      </c>
      <c r="Q38" s="192">
        <v>21</v>
      </c>
      <c r="R38" s="192">
        <v>22</v>
      </c>
      <c r="S38" s="192">
        <v>21</v>
      </c>
      <c r="T38" s="192">
        <v>21</v>
      </c>
      <c r="U38" s="192">
        <v>22</v>
      </c>
      <c r="V38" s="192">
        <v>21</v>
      </c>
      <c r="W38" s="192">
        <v>21</v>
      </c>
      <c r="X38" s="192">
        <v>23</v>
      </c>
      <c r="Y38" s="192">
        <v>19</v>
      </c>
      <c r="Z38" s="192">
        <v>22</v>
      </c>
    </row>
    <row r="39" spans="1:26" x14ac:dyDescent="0.2">
      <c r="A39" s="54" t="s">
        <v>308</v>
      </c>
      <c r="C39" s="83">
        <v>9</v>
      </c>
      <c r="D39" s="83">
        <v>8</v>
      </c>
      <c r="E39" s="83">
        <v>10</v>
      </c>
      <c r="F39" s="83">
        <v>8</v>
      </c>
      <c r="G39" s="83">
        <v>9</v>
      </c>
      <c r="H39" s="83">
        <v>10</v>
      </c>
      <c r="I39" s="83">
        <v>9</v>
      </c>
      <c r="J39" s="83">
        <v>9</v>
      </c>
      <c r="K39" s="83">
        <v>10</v>
      </c>
      <c r="L39" s="83">
        <v>8</v>
      </c>
      <c r="M39" s="83">
        <v>10</v>
      </c>
      <c r="N39" s="83">
        <v>10</v>
      </c>
      <c r="O39" s="83">
        <f>31-O38</f>
        <v>9</v>
      </c>
      <c r="P39" s="83">
        <f>28-P38</f>
        <v>8</v>
      </c>
      <c r="Q39" s="83">
        <f t="shared" ref="Q39" si="33">31-Q38</f>
        <v>10</v>
      </c>
      <c r="R39" s="83">
        <f>30-R38</f>
        <v>8</v>
      </c>
      <c r="S39" s="83">
        <f t="shared" ref="S39" si="34">31-S38</f>
        <v>10</v>
      </c>
      <c r="T39" s="83">
        <f>30-T38</f>
        <v>9</v>
      </c>
      <c r="U39" s="83">
        <f t="shared" ref="U39:V39" si="35">31-U38</f>
        <v>9</v>
      </c>
      <c r="V39" s="83">
        <f t="shared" si="35"/>
        <v>10</v>
      </c>
      <c r="W39" s="83">
        <f>30-W38</f>
        <v>9</v>
      </c>
      <c r="X39" s="83">
        <f t="shared" ref="X39" si="36">31-X38</f>
        <v>8</v>
      </c>
      <c r="Y39" s="83">
        <f>30-Y38</f>
        <v>11</v>
      </c>
      <c r="Z39" s="83">
        <f t="shared" ref="Z39" si="37">31-Z38</f>
        <v>9</v>
      </c>
    </row>
    <row r="40" spans="1:26" x14ac:dyDescent="0.2">
      <c r="A40" s="54" t="s">
        <v>98</v>
      </c>
      <c r="C40" s="116">
        <v>46714</v>
      </c>
      <c r="D40" s="228">
        <v>45492.71428571429</v>
      </c>
      <c r="E40" s="116">
        <v>44762</v>
      </c>
      <c r="F40" s="116">
        <v>37336</v>
      </c>
      <c r="G40" s="116">
        <v>35681</v>
      </c>
      <c r="H40" s="116">
        <v>39148</v>
      </c>
      <c r="I40" s="116">
        <v>42902</v>
      </c>
      <c r="J40" s="116">
        <v>44070</v>
      </c>
      <c r="K40" s="116">
        <v>36965</v>
      </c>
      <c r="L40" s="116">
        <v>36234</v>
      </c>
      <c r="M40" s="116">
        <v>39210</v>
      </c>
      <c r="N40" s="116">
        <v>45849</v>
      </c>
      <c r="O40" s="192">
        <v>49302</v>
      </c>
      <c r="P40" s="192">
        <f>44391*(28/29)</f>
        <v>42860.275862068964</v>
      </c>
      <c r="Q40" s="192">
        <v>46956</v>
      </c>
      <c r="R40" s="192">
        <v>38448</v>
      </c>
      <c r="S40" s="192">
        <v>36690</v>
      </c>
      <c r="T40" s="192">
        <f>36820+3776</f>
        <v>40596</v>
      </c>
      <c r="U40" s="192">
        <v>45107</v>
      </c>
      <c r="V40" s="192">
        <v>38832</v>
      </c>
      <c r="W40" s="192">
        <v>36186</v>
      </c>
      <c r="X40" s="192">
        <v>38206</v>
      </c>
      <c r="Y40" s="192">
        <v>42395</v>
      </c>
      <c r="Z40" s="192">
        <v>46510</v>
      </c>
    </row>
    <row r="41" spans="1:26" x14ac:dyDescent="0.2">
      <c r="A41" s="54" t="s">
        <v>517</v>
      </c>
      <c r="C41" s="117">
        <v>0</v>
      </c>
      <c r="D41" s="117">
        <v>0</v>
      </c>
      <c r="E41" s="117">
        <v>0</v>
      </c>
      <c r="F41" s="117">
        <v>0</v>
      </c>
      <c r="G41" s="117">
        <v>0</v>
      </c>
      <c r="H41" s="117">
        <v>0</v>
      </c>
      <c r="I41" s="117">
        <v>0</v>
      </c>
      <c r="J41" s="117">
        <v>0</v>
      </c>
      <c r="K41" s="117">
        <v>0</v>
      </c>
      <c r="L41" s="117">
        <v>0</v>
      </c>
      <c r="M41" s="117">
        <v>0</v>
      </c>
      <c r="N41" s="117">
        <v>0</v>
      </c>
      <c r="O41" s="117">
        <f t="shared" ref="O41:S41" si="38">C41</f>
        <v>0</v>
      </c>
      <c r="P41" s="117">
        <f t="shared" si="38"/>
        <v>0</v>
      </c>
      <c r="Q41" s="117">
        <f t="shared" si="38"/>
        <v>0</v>
      </c>
      <c r="R41" s="117">
        <f t="shared" si="38"/>
        <v>0</v>
      </c>
      <c r="S41" s="117">
        <f t="shared" si="38"/>
        <v>0</v>
      </c>
      <c r="T41" s="117">
        <f t="shared" ref="T41:Z41" si="39">H41</f>
        <v>0</v>
      </c>
      <c r="U41" s="117">
        <f t="shared" si="39"/>
        <v>0</v>
      </c>
      <c r="V41" s="117">
        <f t="shared" si="39"/>
        <v>0</v>
      </c>
      <c r="W41" s="117">
        <f t="shared" si="39"/>
        <v>0</v>
      </c>
      <c r="X41" s="117">
        <f t="shared" si="39"/>
        <v>0</v>
      </c>
      <c r="Y41" s="117">
        <f t="shared" si="39"/>
        <v>0</v>
      </c>
      <c r="Z41" s="117">
        <f t="shared" si="39"/>
        <v>0</v>
      </c>
    </row>
    <row r="42" spans="1:26" x14ac:dyDescent="0.2">
      <c r="A42" t="s">
        <v>98</v>
      </c>
      <c r="C42" s="83">
        <v>46714</v>
      </c>
      <c r="D42" s="83">
        <v>45492.71428571429</v>
      </c>
      <c r="E42" s="83">
        <v>44762</v>
      </c>
      <c r="F42" s="83">
        <v>37336</v>
      </c>
      <c r="G42" s="83">
        <v>35681</v>
      </c>
      <c r="H42" s="83">
        <v>39148</v>
      </c>
      <c r="I42" s="83">
        <v>42902</v>
      </c>
      <c r="J42" s="83">
        <v>44070</v>
      </c>
      <c r="K42" s="83">
        <v>36965</v>
      </c>
      <c r="L42" s="83">
        <v>36234</v>
      </c>
      <c r="M42" s="83">
        <v>39210</v>
      </c>
      <c r="N42" s="83">
        <v>45849</v>
      </c>
      <c r="O42" s="83">
        <f t="shared" ref="O42:Z42" si="40">+O41+O40</f>
        <v>49302</v>
      </c>
      <c r="P42" s="83">
        <f t="shared" si="40"/>
        <v>42860.275862068964</v>
      </c>
      <c r="Q42" s="83">
        <f t="shared" si="40"/>
        <v>46956</v>
      </c>
      <c r="R42" s="83">
        <f t="shared" si="40"/>
        <v>38448</v>
      </c>
      <c r="S42" s="83">
        <f t="shared" si="40"/>
        <v>36690</v>
      </c>
      <c r="T42" s="83">
        <f t="shared" si="40"/>
        <v>40596</v>
      </c>
      <c r="U42" s="83">
        <f t="shared" si="40"/>
        <v>45107</v>
      </c>
      <c r="V42" s="83">
        <f t="shared" si="40"/>
        <v>38832</v>
      </c>
      <c r="W42" s="83">
        <f t="shared" si="40"/>
        <v>36186</v>
      </c>
      <c r="X42" s="83">
        <f t="shared" si="40"/>
        <v>38206</v>
      </c>
      <c r="Y42" s="83">
        <f t="shared" si="40"/>
        <v>42395</v>
      </c>
      <c r="Z42" s="83">
        <f t="shared" si="40"/>
        <v>46510</v>
      </c>
    </row>
    <row r="43" spans="1:26" x14ac:dyDescent="0.2">
      <c r="A43" t="s">
        <v>99</v>
      </c>
      <c r="C43" s="45">
        <v>0</v>
      </c>
      <c r="D43" s="45">
        <v>0</v>
      </c>
      <c r="E43" s="45">
        <v>0</v>
      </c>
      <c r="F43" s="45">
        <v>0</v>
      </c>
      <c r="G43" s="45">
        <v>0</v>
      </c>
      <c r="H43" s="45">
        <v>0</v>
      </c>
      <c r="I43" s="45">
        <v>0</v>
      </c>
      <c r="J43" s="45">
        <v>0</v>
      </c>
      <c r="K43" s="45">
        <v>0</v>
      </c>
      <c r="L43" s="45">
        <v>0</v>
      </c>
      <c r="M43" s="45">
        <v>0</v>
      </c>
      <c r="N43" s="45">
        <v>0</v>
      </c>
      <c r="O43" s="45">
        <v>0</v>
      </c>
      <c r="P43" s="45">
        <v>0</v>
      </c>
      <c r="Q43" s="45">
        <v>0</v>
      </c>
      <c r="R43" s="45">
        <v>0</v>
      </c>
      <c r="S43" s="45">
        <v>0</v>
      </c>
      <c r="T43" s="45">
        <v>0</v>
      </c>
      <c r="U43" s="45">
        <v>0</v>
      </c>
      <c r="V43" s="45">
        <v>0</v>
      </c>
      <c r="W43" s="45">
        <v>0</v>
      </c>
      <c r="X43" s="45">
        <v>0</v>
      </c>
      <c r="Y43" s="45">
        <v>0</v>
      </c>
      <c r="Z43" s="45">
        <v>0</v>
      </c>
    </row>
    <row r="44" spans="1:26" s="20" customFormat="1" x14ac:dyDescent="0.2">
      <c r="A44" t="s">
        <v>97</v>
      </c>
      <c r="C44" s="12">
        <v>744</v>
      </c>
      <c r="D44" s="12">
        <v>696</v>
      </c>
      <c r="E44" s="12">
        <v>743</v>
      </c>
      <c r="F44" s="12">
        <v>720</v>
      </c>
      <c r="G44" s="12">
        <v>744</v>
      </c>
      <c r="H44" s="12">
        <v>720</v>
      </c>
      <c r="I44" s="12">
        <v>744</v>
      </c>
      <c r="J44" s="12">
        <v>744</v>
      </c>
      <c r="K44" s="12">
        <v>720</v>
      </c>
      <c r="L44" s="12">
        <v>744</v>
      </c>
      <c r="M44" s="12">
        <v>721</v>
      </c>
      <c r="N44" s="12">
        <v>744</v>
      </c>
      <c r="O44" s="12">
        <f t="shared" ref="O44:Z44" si="41">+O33</f>
        <v>744</v>
      </c>
      <c r="P44" s="12">
        <f t="shared" si="41"/>
        <v>672</v>
      </c>
      <c r="Q44" s="12">
        <f t="shared" si="41"/>
        <v>743</v>
      </c>
      <c r="R44" s="12">
        <f t="shared" si="41"/>
        <v>720</v>
      </c>
      <c r="S44" s="12">
        <f t="shared" si="41"/>
        <v>744</v>
      </c>
      <c r="T44" s="12">
        <f t="shared" si="41"/>
        <v>720</v>
      </c>
      <c r="U44" s="12">
        <f t="shared" si="41"/>
        <v>744</v>
      </c>
      <c r="V44" s="12">
        <f t="shared" si="41"/>
        <v>744</v>
      </c>
      <c r="W44" s="12">
        <f t="shared" si="41"/>
        <v>720</v>
      </c>
      <c r="X44" s="12">
        <f t="shared" si="41"/>
        <v>744</v>
      </c>
      <c r="Y44" s="12">
        <f t="shared" si="41"/>
        <v>721</v>
      </c>
      <c r="Z44" s="12">
        <f t="shared" si="41"/>
        <v>744</v>
      </c>
    </row>
    <row r="45" spans="1:26" x14ac:dyDescent="0.2">
      <c r="A45" t="s">
        <v>100</v>
      </c>
      <c r="C45" s="12">
        <v>352</v>
      </c>
      <c r="D45" s="12">
        <v>336</v>
      </c>
      <c r="E45" s="12">
        <v>336</v>
      </c>
      <c r="F45" s="12">
        <v>352</v>
      </c>
      <c r="G45" s="12">
        <v>352</v>
      </c>
      <c r="H45" s="12">
        <v>320</v>
      </c>
      <c r="I45" s="12">
        <v>352</v>
      </c>
      <c r="J45" s="12">
        <v>352</v>
      </c>
      <c r="K45" s="12">
        <v>320</v>
      </c>
      <c r="L45" s="12">
        <v>368</v>
      </c>
      <c r="M45" s="12">
        <v>320</v>
      </c>
      <c r="N45" s="12">
        <v>336</v>
      </c>
      <c r="O45" s="12">
        <f t="shared" ref="O45:Z45" si="42">+O34</f>
        <v>352</v>
      </c>
      <c r="P45" s="12">
        <f t="shared" si="42"/>
        <v>320</v>
      </c>
      <c r="Q45" s="12">
        <f t="shared" si="42"/>
        <v>336</v>
      </c>
      <c r="R45" s="12">
        <f t="shared" si="42"/>
        <v>352</v>
      </c>
      <c r="S45" s="12">
        <f t="shared" si="42"/>
        <v>336</v>
      </c>
      <c r="T45" s="12">
        <f t="shared" si="42"/>
        <v>336</v>
      </c>
      <c r="U45" s="12">
        <f t="shared" si="42"/>
        <v>352</v>
      </c>
      <c r="V45" s="12">
        <f t="shared" si="42"/>
        <v>336</v>
      </c>
      <c r="W45" s="12">
        <f t="shared" si="42"/>
        <v>336</v>
      </c>
      <c r="X45" s="12">
        <f t="shared" si="42"/>
        <v>368</v>
      </c>
      <c r="Y45" s="12">
        <f t="shared" si="42"/>
        <v>304</v>
      </c>
      <c r="Z45" s="12">
        <f t="shared" si="42"/>
        <v>352</v>
      </c>
    </row>
    <row r="46" spans="1:26" x14ac:dyDescent="0.2">
      <c r="A46" t="s">
        <v>101</v>
      </c>
      <c r="C46" s="12">
        <v>392</v>
      </c>
      <c r="D46" s="12">
        <v>360</v>
      </c>
      <c r="E46" s="12">
        <v>407</v>
      </c>
      <c r="F46" s="12">
        <v>368</v>
      </c>
      <c r="G46" s="12">
        <v>392</v>
      </c>
      <c r="H46" s="12">
        <v>400</v>
      </c>
      <c r="I46" s="12">
        <v>392</v>
      </c>
      <c r="J46" s="12">
        <v>392</v>
      </c>
      <c r="K46" s="12">
        <v>400</v>
      </c>
      <c r="L46" s="12">
        <v>376</v>
      </c>
      <c r="M46" s="12">
        <v>401</v>
      </c>
      <c r="N46" s="12">
        <v>408</v>
      </c>
      <c r="O46" s="12">
        <f t="shared" ref="O46:Z46" si="43">+O35</f>
        <v>392</v>
      </c>
      <c r="P46" s="12">
        <f t="shared" si="43"/>
        <v>352</v>
      </c>
      <c r="Q46" s="12">
        <f t="shared" si="43"/>
        <v>407</v>
      </c>
      <c r="R46" s="12">
        <f t="shared" si="43"/>
        <v>368</v>
      </c>
      <c r="S46" s="12">
        <f t="shared" si="43"/>
        <v>408</v>
      </c>
      <c r="T46" s="12">
        <f t="shared" si="43"/>
        <v>384</v>
      </c>
      <c r="U46" s="12">
        <f t="shared" si="43"/>
        <v>392</v>
      </c>
      <c r="V46" s="12">
        <f t="shared" si="43"/>
        <v>408</v>
      </c>
      <c r="W46" s="12">
        <f t="shared" si="43"/>
        <v>384</v>
      </c>
      <c r="X46" s="12">
        <f t="shared" si="43"/>
        <v>376</v>
      </c>
      <c r="Y46" s="12">
        <f t="shared" si="43"/>
        <v>417</v>
      </c>
      <c r="Z46" s="12">
        <f t="shared" si="43"/>
        <v>392</v>
      </c>
    </row>
    <row r="47" spans="1:26" x14ac:dyDescent="0.2">
      <c r="A47" t="s">
        <v>102</v>
      </c>
      <c r="C47" s="12">
        <v>248</v>
      </c>
      <c r="D47" s="12">
        <v>232</v>
      </c>
      <c r="E47" s="12">
        <v>247</v>
      </c>
      <c r="F47" s="12">
        <v>240</v>
      </c>
      <c r="G47" s="12">
        <v>248</v>
      </c>
      <c r="H47" s="12">
        <v>240</v>
      </c>
      <c r="I47" s="12">
        <v>248</v>
      </c>
      <c r="J47" s="12">
        <v>248</v>
      </c>
      <c r="K47" s="12">
        <v>240</v>
      </c>
      <c r="L47" s="12">
        <v>248</v>
      </c>
      <c r="M47" s="12">
        <v>241</v>
      </c>
      <c r="N47" s="12">
        <v>248</v>
      </c>
      <c r="O47" s="12">
        <f t="shared" ref="O47:Z47" si="44">+O36</f>
        <v>248</v>
      </c>
      <c r="P47" s="12">
        <f t="shared" si="44"/>
        <v>224</v>
      </c>
      <c r="Q47" s="12">
        <f t="shared" si="44"/>
        <v>247</v>
      </c>
      <c r="R47" s="12">
        <f t="shared" si="44"/>
        <v>240</v>
      </c>
      <c r="S47" s="12">
        <f t="shared" si="44"/>
        <v>248</v>
      </c>
      <c r="T47" s="12">
        <f t="shared" si="44"/>
        <v>240</v>
      </c>
      <c r="U47" s="12">
        <f t="shared" si="44"/>
        <v>248</v>
      </c>
      <c r="V47" s="12">
        <f t="shared" si="44"/>
        <v>248</v>
      </c>
      <c r="W47" s="12">
        <f t="shared" si="44"/>
        <v>240</v>
      </c>
      <c r="X47" s="12">
        <f t="shared" si="44"/>
        <v>248</v>
      </c>
      <c r="Y47" s="12">
        <f t="shared" si="44"/>
        <v>241</v>
      </c>
      <c r="Z47" s="12">
        <f t="shared" si="44"/>
        <v>248</v>
      </c>
    </row>
    <row r="48" spans="1:26" x14ac:dyDescent="0.2">
      <c r="A48" t="s">
        <v>103</v>
      </c>
      <c r="C48" s="12">
        <v>144</v>
      </c>
      <c r="D48" s="12">
        <v>128</v>
      </c>
      <c r="E48" s="12">
        <v>160</v>
      </c>
      <c r="F48" s="12">
        <v>128</v>
      </c>
      <c r="G48" s="12">
        <v>144</v>
      </c>
      <c r="H48" s="12">
        <v>160</v>
      </c>
      <c r="I48" s="12">
        <v>144</v>
      </c>
      <c r="J48" s="12">
        <v>144</v>
      </c>
      <c r="K48" s="12">
        <v>160</v>
      </c>
      <c r="L48" s="12">
        <v>128</v>
      </c>
      <c r="M48" s="12">
        <v>160</v>
      </c>
      <c r="N48" s="12">
        <v>160</v>
      </c>
      <c r="O48" s="12">
        <f t="shared" ref="O48:Z48" si="45">+O37</f>
        <v>144</v>
      </c>
      <c r="P48" s="12">
        <f t="shared" si="45"/>
        <v>128</v>
      </c>
      <c r="Q48" s="12">
        <f t="shared" si="45"/>
        <v>160</v>
      </c>
      <c r="R48" s="12">
        <f t="shared" si="45"/>
        <v>128</v>
      </c>
      <c r="S48" s="12">
        <f t="shared" si="45"/>
        <v>160</v>
      </c>
      <c r="T48" s="12">
        <f t="shared" si="45"/>
        <v>144</v>
      </c>
      <c r="U48" s="12">
        <f t="shared" si="45"/>
        <v>144</v>
      </c>
      <c r="V48" s="12">
        <f t="shared" si="45"/>
        <v>160</v>
      </c>
      <c r="W48" s="12">
        <f t="shared" si="45"/>
        <v>144</v>
      </c>
      <c r="X48" s="12">
        <f t="shared" si="45"/>
        <v>128</v>
      </c>
      <c r="Y48" s="12">
        <f t="shared" si="45"/>
        <v>176</v>
      </c>
      <c r="Z48" s="12">
        <f t="shared" si="45"/>
        <v>144</v>
      </c>
    </row>
    <row r="49" spans="1:26" x14ac:dyDescent="0.2">
      <c r="A49" t="s">
        <v>235</v>
      </c>
      <c r="C49" s="131">
        <v>39</v>
      </c>
      <c r="D49" s="131">
        <v>39</v>
      </c>
      <c r="E49" s="131">
        <v>39</v>
      </c>
      <c r="F49" s="131">
        <v>39</v>
      </c>
      <c r="G49" s="131">
        <v>39</v>
      </c>
      <c r="H49" s="131">
        <v>39</v>
      </c>
      <c r="I49" s="131">
        <v>39</v>
      </c>
      <c r="J49" s="131">
        <v>39</v>
      </c>
      <c r="K49" s="131">
        <v>39</v>
      </c>
      <c r="L49" s="131">
        <v>39</v>
      </c>
      <c r="M49" s="131">
        <v>39</v>
      </c>
      <c r="N49" s="131">
        <v>39</v>
      </c>
      <c r="O49" s="131">
        <v>39</v>
      </c>
      <c r="P49" s="131">
        <v>39</v>
      </c>
      <c r="Q49" s="131">
        <v>39</v>
      </c>
      <c r="R49" s="131">
        <v>39</v>
      </c>
      <c r="S49" s="131">
        <v>39</v>
      </c>
      <c r="T49" s="131">
        <v>39</v>
      </c>
      <c r="U49" s="131">
        <v>39</v>
      </c>
      <c r="V49" s="131">
        <v>39</v>
      </c>
      <c r="W49" s="131">
        <v>39</v>
      </c>
      <c r="X49" s="131">
        <v>39</v>
      </c>
      <c r="Y49" s="131">
        <v>39</v>
      </c>
      <c r="Z49" s="131">
        <v>39</v>
      </c>
    </row>
    <row r="50" spans="1:26" s="20" customFormat="1" x14ac:dyDescent="0.2">
      <c r="A50" s="109" t="s">
        <v>370</v>
      </c>
      <c r="C50" s="119">
        <v>39</v>
      </c>
      <c r="D50" s="119">
        <v>39</v>
      </c>
      <c r="E50" s="119">
        <v>39</v>
      </c>
      <c r="F50" s="119">
        <v>39</v>
      </c>
      <c r="G50" s="119">
        <v>39</v>
      </c>
      <c r="H50" s="119">
        <v>39</v>
      </c>
      <c r="I50" s="119">
        <v>39</v>
      </c>
      <c r="J50" s="119">
        <v>39</v>
      </c>
      <c r="K50" s="119">
        <v>39</v>
      </c>
      <c r="L50" s="119">
        <v>39</v>
      </c>
      <c r="M50" s="119">
        <v>39</v>
      </c>
      <c r="N50" s="119">
        <v>39</v>
      </c>
      <c r="O50" s="119">
        <f t="shared" ref="O50:Z50" si="46">O49</f>
        <v>39</v>
      </c>
      <c r="P50" s="119">
        <f t="shared" si="46"/>
        <v>39</v>
      </c>
      <c r="Q50" s="119">
        <f t="shared" si="46"/>
        <v>39</v>
      </c>
      <c r="R50" s="119">
        <f t="shared" si="46"/>
        <v>39</v>
      </c>
      <c r="S50" s="119">
        <f t="shared" si="46"/>
        <v>39</v>
      </c>
      <c r="T50" s="119">
        <f t="shared" si="46"/>
        <v>39</v>
      </c>
      <c r="U50" s="119">
        <f t="shared" si="46"/>
        <v>39</v>
      </c>
      <c r="V50" s="119">
        <f t="shared" si="46"/>
        <v>39</v>
      </c>
      <c r="W50" s="119">
        <f t="shared" si="46"/>
        <v>39</v>
      </c>
      <c r="X50" s="119">
        <f t="shared" si="46"/>
        <v>39</v>
      </c>
      <c r="Y50" s="119">
        <f t="shared" si="46"/>
        <v>39</v>
      </c>
      <c r="Z50" s="119">
        <f t="shared" si="46"/>
        <v>39</v>
      </c>
    </row>
    <row r="51" spans="1:26" s="20" customFormat="1" x14ac:dyDescent="0.2">
      <c r="A51" s="109" t="s">
        <v>459</v>
      </c>
      <c r="C51" s="124">
        <v>2.5</v>
      </c>
      <c r="D51" s="124">
        <v>2.5</v>
      </c>
      <c r="E51" s="124">
        <v>2.5</v>
      </c>
      <c r="F51" s="124">
        <v>2.5</v>
      </c>
      <c r="G51" s="124">
        <v>2.5</v>
      </c>
      <c r="H51" s="124">
        <v>2.5</v>
      </c>
      <c r="I51" s="124">
        <v>2.5</v>
      </c>
      <c r="J51" s="124">
        <v>2.5</v>
      </c>
      <c r="K51" s="124">
        <v>2.5</v>
      </c>
      <c r="L51" s="124">
        <v>2.5</v>
      </c>
      <c r="M51" s="124">
        <v>2.5</v>
      </c>
      <c r="N51" s="124">
        <v>2.5</v>
      </c>
      <c r="O51" s="124">
        <v>3.75</v>
      </c>
      <c r="P51" s="124">
        <v>3.75</v>
      </c>
      <c r="Q51" s="124">
        <v>3.75</v>
      </c>
      <c r="R51" s="124">
        <v>3.75</v>
      </c>
      <c r="S51" s="124">
        <v>3.75</v>
      </c>
      <c r="T51" s="124">
        <v>3.75</v>
      </c>
      <c r="U51" s="124">
        <v>3.75</v>
      </c>
      <c r="V51" s="124">
        <v>3.75</v>
      </c>
      <c r="W51" s="124">
        <v>3.75</v>
      </c>
      <c r="X51" s="124">
        <v>3.75</v>
      </c>
      <c r="Y51" s="124">
        <v>3.75</v>
      </c>
      <c r="Z51" s="124">
        <v>3.75</v>
      </c>
    </row>
    <row r="52" spans="1:26" s="20" customFormat="1" x14ac:dyDescent="0.2">
      <c r="A52" s="109" t="s">
        <v>460</v>
      </c>
      <c r="C52" s="119">
        <v>39</v>
      </c>
      <c r="D52" s="119">
        <v>39</v>
      </c>
      <c r="E52" s="119">
        <v>39</v>
      </c>
      <c r="F52" s="119">
        <v>39</v>
      </c>
      <c r="G52" s="119">
        <v>39</v>
      </c>
      <c r="H52" s="119">
        <v>39</v>
      </c>
      <c r="I52" s="119">
        <v>39</v>
      </c>
      <c r="J52" s="119">
        <v>39</v>
      </c>
      <c r="K52" s="119">
        <v>39</v>
      </c>
      <c r="L52" s="119">
        <v>39</v>
      </c>
      <c r="M52" s="119">
        <v>39</v>
      </c>
      <c r="N52" s="119">
        <v>39</v>
      </c>
      <c r="O52" s="119">
        <f t="shared" ref="O52:Z52" si="47">O49</f>
        <v>39</v>
      </c>
      <c r="P52" s="119">
        <f t="shared" si="47"/>
        <v>39</v>
      </c>
      <c r="Q52" s="119">
        <f t="shared" si="47"/>
        <v>39</v>
      </c>
      <c r="R52" s="119">
        <f t="shared" si="47"/>
        <v>39</v>
      </c>
      <c r="S52" s="119">
        <f t="shared" si="47"/>
        <v>39</v>
      </c>
      <c r="T52" s="119">
        <f t="shared" si="47"/>
        <v>39</v>
      </c>
      <c r="U52" s="119">
        <f t="shared" si="47"/>
        <v>39</v>
      </c>
      <c r="V52" s="119">
        <f t="shared" si="47"/>
        <v>39</v>
      </c>
      <c r="W52" s="119">
        <f t="shared" si="47"/>
        <v>39</v>
      </c>
      <c r="X52" s="119">
        <f t="shared" si="47"/>
        <v>39</v>
      </c>
      <c r="Y52" s="119">
        <f t="shared" si="47"/>
        <v>39</v>
      </c>
      <c r="Z52" s="119">
        <f t="shared" si="47"/>
        <v>39</v>
      </c>
    </row>
    <row r="53" spans="1:26" s="20" customFormat="1" x14ac:dyDescent="0.2">
      <c r="A53" s="109" t="s">
        <v>461</v>
      </c>
      <c r="C53" s="124">
        <v>11.678340382812495</v>
      </c>
      <c r="D53" s="124">
        <v>11.678340382812495</v>
      </c>
      <c r="E53" s="124">
        <v>11.678340382812495</v>
      </c>
      <c r="F53" s="124">
        <v>11.678340382812495</v>
      </c>
      <c r="G53" s="124">
        <v>11.678340382812495</v>
      </c>
      <c r="H53" s="124">
        <v>11.678340382812495</v>
      </c>
      <c r="I53" s="124">
        <v>11.678340382812495</v>
      </c>
      <c r="J53" s="124">
        <v>11.678340382812495</v>
      </c>
      <c r="K53" s="124">
        <v>11.678340382812495</v>
      </c>
      <c r="L53" s="124">
        <v>11.678340382812495</v>
      </c>
      <c r="M53" s="124">
        <v>11.678340382812495</v>
      </c>
      <c r="N53" s="124">
        <v>11.678340382812495</v>
      </c>
      <c r="O53" s="124">
        <f t="shared" ref="O53:O54" si="48">+C53*(1+O$55)</f>
        <v>11.970298892382806</v>
      </c>
      <c r="P53" s="124">
        <f t="shared" ref="P53:P54" si="49">+D53*(1+P$55)</f>
        <v>11.970298892382806</v>
      </c>
      <c r="Q53" s="124">
        <f t="shared" ref="Q53:Q54" si="50">+E53*(1+Q$55)</f>
        <v>11.970298892382806</v>
      </c>
      <c r="R53" s="124">
        <f t="shared" ref="R53:R54" si="51">+F53*(1+R$55)</f>
        <v>11.970298892382806</v>
      </c>
      <c r="S53" s="124">
        <f t="shared" ref="S53:S54" si="52">+G53*(1+S$55)</f>
        <v>11.970298892382806</v>
      </c>
      <c r="T53" s="124">
        <f t="shared" ref="T53:T54" si="53">+H53*(1+T$55)</f>
        <v>11.970298892382806</v>
      </c>
      <c r="U53" s="124">
        <f t="shared" ref="U53:U54" si="54">+I53*(1+U$55)</f>
        <v>11.970298892382806</v>
      </c>
      <c r="V53" s="124">
        <f t="shared" ref="V53:V54" si="55">+J53*(1+V$55)</f>
        <v>11.970298892382806</v>
      </c>
      <c r="W53" s="124">
        <f t="shared" ref="W53:W54" si="56">+K53*(1+W$55)</f>
        <v>11.970298892382806</v>
      </c>
      <c r="X53" s="124">
        <f t="shared" ref="X53:X54" si="57">+L53*(1+X$55)</f>
        <v>11.970298892382806</v>
      </c>
      <c r="Y53" s="124">
        <f t="shared" ref="Y53:Y54" si="58">+M53*(1+Y$55)</f>
        <v>11.970298892382806</v>
      </c>
      <c r="Z53" s="124">
        <f t="shared" ref="Z53:Z54" si="59">+N53*(1+Z$55)</f>
        <v>11.970298892382806</v>
      </c>
    </row>
    <row r="54" spans="1:26" s="20" customFormat="1" x14ac:dyDescent="0.2">
      <c r="A54" s="109" t="s">
        <v>462</v>
      </c>
      <c r="C54" s="124">
        <v>70.070042296874973</v>
      </c>
      <c r="D54" s="124">
        <v>70.070042296874973</v>
      </c>
      <c r="E54" s="124">
        <v>70.070042296874973</v>
      </c>
      <c r="F54" s="124">
        <v>70.070042296874973</v>
      </c>
      <c r="G54" s="124">
        <v>70.070042296874973</v>
      </c>
      <c r="H54" s="124">
        <v>70.070042296874973</v>
      </c>
      <c r="I54" s="124">
        <v>70.070042296874973</v>
      </c>
      <c r="J54" s="124">
        <v>70.070042296874973</v>
      </c>
      <c r="K54" s="124">
        <v>70.070042296874973</v>
      </c>
      <c r="L54" s="124">
        <v>70.070042296874973</v>
      </c>
      <c r="M54" s="124">
        <v>70.070042296874973</v>
      </c>
      <c r="N54" s="124">
        <v>70.070042296874973</v>
      </c>
      <c r="O54" s="124">
        <f t="shared" si="48"/>
        <v>71.821793354296844</v>
      </c>
      <c r="P54" s="124">
        <f t="shared" si="49"/>
        <v>71.821793354296844</v>
      </c>
      <c r="Q54" s="124">
        <f t="shared" si="50"/>
        <v>71.821793354296844</v>
      </c>
      <c r="R54" s="124">
        <f t="shared" si="51"/>
        <v>71.821793354296844</v>
      </c>
      <c r="S54" s="124">
        <f t="shared" si="52"/>
        <v>71.821793354296844</v>
      </c>
      <c r="T54" s="124">
        <f t="shared" si="53"/>
        <v>71.821793354296844</v>
      </c>
      <c r="U54" s="124">
        <f t="shared" si="54"/>
        <v>71.821793354296844</v>
      </c>
      <c r="V54" s="124">
        <f t="shared" si="55"/>
        <v>71.821793354296844</v>
      </c>
      <c r="W54" s="124">
        <f t="shared" si="56"/>
        <v>71.821793354296844</v>
      </c>
      <c r="X54" s="124">
        <f t="shared" si="57"/>
        <v>71.821793354296844</v>
      </c>
      <c r="Y54" s="124">
        <f t="shared" si="58"/>
        <v>71.821793354296844</v>
      </c>
      <c r="Z54" s="124">
        <f t="shared" si="59"/>
        <v>71.821793354296844</v>
      </c>
    </row>
    <row r="55" spans="1:26" s="20" customFormat="1" x14ac:dyDescent="0.2">
      <c r="A55" s="109" t="s">
        <v>463</v>
      </c>
      <c r="C55" s="180">
        <v>2.5000000000000001E-2</v>
      </c>
      <c r="D55" s="180">
        <v>2.5000000000000001E-2</v>
      </c>
      <c r="E55" s="180">
        <v>2.5000000000000001E-2</v>
      </c>
      <c r="F55" s="180">
        <v>2.5000000000000001E-2</v>
      </c>
      <c r="G55" s="180">
        <v>2.5000000000000001E-2</v>
      </c>
      <c r="H55" s="180">
        <v>2.5000000000000001E-2</v>
      </c>
      <c r="I55" s="180">
        <v>2.5000000000000001E-2</v>
      </c>
      <c r="J55" s="180">
        <v>2.5000000000000001E-2</v>
      </c>
      <c r="K55" s="180">
        <v>2.5000000000000001E-2</v>
      </c>
      <c r="L55" s="180">
        <v>2.5000000000000001E-2</v>
      </c>
      <c r="M55" s="180">
        <v>2.5000000000000001E-2</v>
      </c>
      <c r="N55" s="180">
        <v>2.5000000000000001E-2</v>
      </c>
      <c r="O55" s="180">
        <v>2.5000000000000001E-2</v>
      </c>
      <c r="P55" s="180">
        <v>2.5000000000000001E-2</v>
      </c>
      <c r="Q55" s="180">
        <v>2.5000000000000001E-2</v>
      </c>
      <c r="R55" s="180">
        <v>2.5000000000000001E-2</v>
      </c>
      <c r="S55" s="180">
        <v>2.5000000000000001E-2</v>
      </c>
      <c r="T55" s="180">
        <v>2.5000000000000001E-2</v>
      </c>
      <c r="U55" s="180">
        <v>2.5000000000000001E-2</v>
      </c>
      <c r="V55" s="180">
        <v>2.5000000000000001E-2</v>
      </c>
      <c r="W55" s="180">
        <v>2.5000000000000001E-2</v>
      </c>
      <c r="X55" s="180">
        <v>2.5000000000000001E-2</v>
      </c>
      <c r="Y55" s="180">
        <v>2.5000000000000001E-2</v>
      </c>
      <c r="Z55" s="180">
        <v>2.5000000000000001E-2</v>
      </c>
    </row>
    <row r="56" spans="1:26" s="20" customFormat="1" x14ac:dyDescent="0.2">
      <c r="A56" s="109"/>
    </row>
    <row r="57" spans="1:26" x14ac:dyDescent="0.2">
      <c r="A57" s="14" t="s">
        <v>543</v>
      </c>
      <c r="C57" s="20"/>
      <c r="D57" s="20"/>
      <c r="E57" s="20"/>
      <c r="F57" s="20"/>
      <c r="G57" s="20"/>
      <c r="H57" s="20"/>
      <c r="I57" s="20"/>
      <c r="J57" s="20"/>
      <c r="K57" s="20"/>
      <c r="L57" s="20"/>
      <c r="M57" s="20"/>
      <c r="N57" s="20"/>
      <c r="O57" s="20"/>
      <c r="P57" s="20"/>
      <c r="Q57" s="20"/>
      <c r="R57" s="20"/>
      <c r="S57" s="20"/>
      <c r="T57" s="20"/>
      <c r="U57" s="20"/>
      <c r="V57" s="20"/>
      <c r="W57" s="20"/>
      <c r="X57" s="20"/>
      <c r="Y57" s="20"/>
      <c r="Z57" s="20"/>
    </row>
    <row r="58" spans="1:26" x14ac:dyDescent="0.2">
      <c r="A58" s="54" t="s">
        <v>544</v>
      </c>
      <c r="C58" s="20"/>
      <c r="D58" s="20"/>
      <c r="E58" s="20"/>
      <c r="F58" s="20"/>
      <c r="G58" s="20"/>
      <c r="H58" s="20"/>
      <c r="I58" s="20"/>
      <c r="J58" s="20"/>
      <c r="K58" s="20"/>
      <c r="L58" s="20"/>
      <c r="M58" s="20"/>
      <c r="N58" s="20"/>
      <c r="O58" s="20"/>
      <c r="P58" s="20"/>
      <c r="Q58" s="20"/>
      <c r="R58" s="20"/>
      <c r="S58" s="20"/>
      <c r="T58" s="20"/>
      <c r="U58" s="20"/>
      <c r="V58" s="20"/>
      <c r="W58" s="20"/>
      <c r="X58" s="20"/>
      <c r="Y58" s="20"/>
      <c r="Z58" s="20"/>
    </row>
    <row r="59" spans="1:26" x14ac:dyDescent="0.2">
      <c r="A59" s="54" t="s">
        <v>545</v>
      </c>
      <c r="C59" s="144">
        <v>866.07</v>
      </c>
      <c r="D59" s="144">
        <v>1224.1099999999999</v>
      </c>
      <c r="E59" s="144">
        <v>1277.55</v>
      </c>
      <c r="F59" s="144">
        <v>1474.1</v>
      </c>
      <c r="G59" s="144">
        <v>1152.97</v>
      </c>
      <c r="H59" s="144">
        <v>1084.1400000000001</v>
      </c>
      <c r="I59" s="144">
        <v>802.32</v>
      </c>
      <c r="J59" s="144">
        <v>946.35</v>
      </c>
      <c r="K59" s="144">
        <v>765.56</v>
      </c>
      <c r="L59" s="144">
        <v>1126.8399999999999</v>
      </c>
      <c r="M59" s="144">
        <v>864.29</v>
      </c>
      <c r="N59" s="144">
        <v>957.35</v>
      </c>
      <c r="O59" s="144">
        <v>1082.26</v>
      </c>
      <c r="P59" s="144">
        <v>1277.07</v>
      </c>
      <c r="Q59" s="144">
        <v>1488</v>
      </c>
      <c r="R59" s="144">
        <v>1086.6600000000001</v>
      </c>
      <c r="S59" s="144">
        <v>1023.26</v>
      </c>
      <c r="T59" s="144">
        <v>1263.3900000000001</v>
      </c>
      <c r="U59" s="144">
        <v>1343.49</v>
      </c>
      <c r="V59" s="144">
        <v>1103.9100000000001</v>
      </c>
      <c r="W59" s="144">
        <v>1382.3</v>
      </c>
      <c r="X59" s="144">
        <v>1276.8699999999999</v>
      </c>
      <c r="Y59" s="144">
        <v>1104.54</v>
      </c>
      <c r="Z59" s="144">
        <v>1301.81</v>
      </c>
    </row>
    <row r="60" spans="1:26" x14ac:dyDescent="0.2">
      <c r="A60" s="54" t="s">
        <v>37</v>
      </c>
      <c r="C60" s="21">
        <v>866.07</v>
      </c>
      <c r="D60" s="21">
        <v>1224.1099999999999</v>
      </c>
      <c r="E60" s="21">
        <v>1277.55</v>
      </c>
      <c r="F60" s="21">
        <v>1474.1</v>
      </c>
      <c r="G60" s="21">
        <v>1152.97</v>
      </c>
      <c r="H60" s="21">
        <v>1084.1400000000001</v>
      </c>
      <c r="I60" s="21">
        <v>802.32</v>
      </c>
      <c r="J60" s="21">
        <v>946.35</v>
      </c>
      <c r="K60" s="21">
        <v>765.56</v>
      </c>
      <c r="L60" s="21">
        <v>1126.8399999999999</v>
      </c>
      <c r="M60" s="21">
        <v>864.29</v>
      </c>
      <c r="N60" s="21">
        <v>957.35</v>
      </c>
      <c r="O60" s="21">
        <f t="shared" ref="O60" si="60">+O58+O59</f>
        <v>1082.26</v>
      </c>
      <c r="P60" s="21">
        <f t="shared" ref="P60" si="61">+P58+P59</f>
        <v>1277.07</v>
      </c>
      <c r="Q60" s="21">
        <f t="shared" ref="Q60" si="62">+Q58+Q59</f>
        <v>1488</v>
      </c>
      <c r="R60" s="21">
        <f t="shared" ref="R60" si="63">+R58+R59</f>
        <v>1086.6600000000001</v>
      </c>
      <c r="S60" s="21">
        <f t="shared" ref="S60" si="64">+S58+S59</f>
        <v>1023.26</v>
      </c>
      <c r="T60" s="21">
        <f t="shared" ref="T60" si="65">+T58+T59</f>
        <v>1263.3900000000001</v>
      </c>
      <c r="U60" s="21">
        <f t="shared" ref="U60" si="66">+U58+U59</f>
        <v>1343.49</v>
      </c>
      <c r="V60" s="21">
        <f t="shared" ref="V60" si="67">+V58+V59</f>
        <v>1103.9100000000001</v>
      </c>
      <c r="W60" s="21">
        <f t="shared" ref="W60" si="68">+W58+W59</f>
        <v>1382.3</v>
      </c>
      <c r="X60" s="21">
        <f t="shared" ref="X60" si="69">+X58+X59</f>
        <v>1276.8699999999999</v>
      </c>
      <c r="Y60" s="21">
        <f t="shared" ref="Y60" si="70">+Y58+Y59</f>
        <v>1104.54</v>
      </c>
      <c r="Z60" s="21">
        <f t="shared" ref="Z60" si="71">+Z58+Z59</f>
        <v>1301.81</v>
      </c>
    </row>
    <row r="61" spans="1:26" x14ac:dyDescent="0.2">
      <c r="A61" s="54"/>
      <c r="C61" s="21"/>
      <c r="D61" s="21"/>
      <c r="E61" s="21"/>
      <c r="F61" s="21"/>
      <c r="G61" s="21"/>
      <c r="H61" s="21"/>
      <c r="I61" s="21"/>
      <c r="J61" s="21"/>
      <c r="K61" s="21"/>
      <c r="L61" s="21"/>
      <c r="M61" s="21"/>
      <c r="N61" s="21"/>
      <c r="O61" s="21"/>
      <c r="P61" s="21"/>
      <c r="Q61" s="21"/>
      <c r="R61" s="21"/>
      <c r="S61" s="21"/>
      <c r="T61" s="21"/>
      <c r="U61" s="21"/>
      <c r="V61" s="21"/>
      <c r="W61" s="21"/>
      <c r="X61" s="21"/>
      <c r="Y61" s="21"/>
      <c r="Z61" s="21"/>
    </row>
    <row r="62" spans="1:26" x14ac:dyDescent="0.2">
      <c r="A62" s="54" t="s">
        <v>580</v>
      </c>
      <c r="C62" s="144">
        <v>271.33999999999997</v>
      </c>
      <c r="D62" s="144">
        <v>239.12</v>
      </c>
      <c r="E62" s="144">
        <v>212.99</v>
      </c>
      <c r="F62" s="144">
        <v>202.68</v>
      </c>
      <c r="G62" s="144">
        <v>248.01</v>
      </c>
      <c r="H62" s="144">
        <v>193.28</v>
      </c>
      <c r="I62" s="144">
        <v>266.04000000000002</v>
      </c>
      <c r="J62" s="144">
        <v>245.74</v>
      </c>
      <c r="K62" s="144">
        <v>222.4</v>
      </c>
      <c r="L62" s="144">
        <v>222.02</v>
      </c>
      <c r="M62" s="144">
        <v>153.58000000000001</v>
      </c>
      <c r="N62" s="144">
        <v>290.83999999999997</v>
      </c>
      <c r="O62" s="144">
        <v>282.27</v>
      </c>
      <c r="P62" s="144">
        <v>211.66</v>
      </c>
      <c r="Q62" s="144">
        <v>270.77999999999997</v>
      </c>
      <c r="R62" s="144">
        <v>252.29</v>
      </c>
      <c r="S62" s="144">
        <v>242.19</v>
      </c>
      <c r="T62" s="144">
        <v>270.3</v>
      </c>
      <c r="U62" s="144">
        <v>239.06</v>
      </c>
      <c r="V62" s="144">
        <v>256.2</v>
      </c>
      <c r="W62" s="144">
        <v>248.47</v>
      </c>
      <c r="X62" s="144">
        <v>265.62</v>
      </c>
      <c r="Y62" s="144">
        <v>229.67</v>
      </c>
      <c r="Z62" s="144">
        <v>193.74</v>
      </c>
    </row>
    <row r="63" spans="1:26" x14ac:dyDescent="0.2">
      <c r="A63" s="54"/>
      <c r="C63" s="21"/>
      <c r="D63" s="21"/>
      <c r="E63" s="21"/>
      <c r="F63" s="21"/>
      <c r="G63" s="21"/>
      <c r="H63" s="21"/>
      <c r="I63" s="21"/>
      <c r="J63" s="21"/>
      <c r="K63" s="21"/>
      <c r="L63" s="21"/>
      <c r="M63" s="21"/>
      <c r="N63" s="21"/>
      <c r="O63" s="21"/>
      <c r="P63" s="21"/>
      <c r="Q63" s="21"/>
      <c r="R63" s="21"/>
      <c r="S63" s="21"/>
      <c r="T63" s="21"/>
      <c r="U63" s="21"/>
      <c r="V63" s="21"/>
      <c r="W63" s="21"/>
      <c r="X63" s="21"/>
      <c r="Y63" s="21"/>
      <c r="Z63" s="21"/>
    </row>
    <row r="64" spans="1:26" hidden="1" x14ac:dyDescent="0.2">
      <c r="C64" s="20"/>
      <c r="D64" s="20"/>
      <c r="E64" s="20"/>
      <c r="F64" s="20"/>
      <c r="G64" s="20"/>
      <c r="H64" s="20"/>
      <c r="I64" s="20"/>
      <c r="J64" s="20"/>
      <c r="K64" s="20"/>
      <c r="L64" s="20"/>
      <c r="M64" s="20"/>
      <c r="N64" s="20"/>
      <c r="O64" s="20"/>
      <c r="P64" s="20"/>
      <c r="Q64" s="20"/>
      <c r="R64" s="20"/>
      <c r="S64" s="20"/>
      <c r="T64" s="20"/>
      <c r="U64" s="20"/>
      <c r="V64" s="20"/>
      <c r="W64" s="20"/>
      <c r="X64" s="20"/>
      <c r="Y64" s="20"/>
      <c r="Z64" s="20"/>
    </row>
    <row r="65" spans="1:26" hidden="1" x14ac:dyDescent="0.2">
      <c r="A65" s="14" t="s">
        <v>11</v>
      </c>
      <c r="C65" s="20"/>
      <c r="D65" s="20"/>
      <c r="E65" s="20"/>
      <c r="F65" s="20"/>
      <c r="G65" s="20"/>
      <c r="H65" s="20"/>
      <c r="I65" s="20"/>
      <c r="J65" s="20"/>
      <c r="K65" s="20"/>
      <c r="L65" s="20"/>
      <c r="M65" s="20"/>
      <c r="N65" s="20"/>
      <c r="O65" s="20"/>
      <c r="P65" s="20"/>
      <c r="Q65" s="20"/>
      <c r="R65" s="20"/>
      <c r="S65" s="20"/>
      <c r="T65" s="20"/>
      <c r="U65" s="20"/>
      <c r="V65" s="20"/>
      <c r="W65" s="20"/>
      <c r="X65" s="20"/>
      <c r="Y65" s="20"/>
      <c r="Z65" s="20"/>
    </row>
    <row r="66" spans="1:26" hidden="1" x14ac:dyDescent="0.2">
      <c r="A66" s="15" t="s">
        <v>12</v>
      </c>
      <c r="C66" s="20"/>
      <c r="D66" s="20"/>
      <c r="E66" s="20"/>
      <c r="F66" s="20"/>
      <c r="G66" s="20"/>
      <c r="H66" s="20"/>
      <c r="I66" s="20"/>
      <c r="J66" s="20"/>
      <c r="K66" s="20"/>
      <c r="L66" s="20"/>
      <c r="M66" s="20"/>
      <c r="N66" s="20"/>
      <c r="O66" s="20"/>
      <c r="P66" s="20"/>
      <c r="Q66" s="20"/>
      <c r="R66" s="20"/>
      <c r="S66" s="20"/>
      <c r="T66" s="20"/>
      <c r="U66" s="20"/>
      <c r="V66" s="20"/>
      <c r="W66" s="20"/>
      <c r="X66" s="20"/>
      <c r="Y66" s="20"/>
      <c r="Z66" s="20"/>
    </row>
    <row r="67" spans="1:26" hidden="1" x14ac:dyDescent="0.2">
      <c r="A67" s="26">
        <f>19995</f>
        <v>19995</v>
      </c>
      <c r="C67" s="20"/>
      <c r="D67" s="20"/>
      <c r="E67" s="20"/>
      <c r="F67" s="20"/>
      <c r="G67" s="20"/>
      <c r="H67" s="20"/>
      <c r="I67" s="20"/>
      <c r="J67" s="20"/>
      <c r="K67" s="20"/>
      <c r="L67" s="20"/>
      <c r="M67" s="20"/>
      <c r="N67" s="20"/>
      <c r="O67" s="20"/>
      <c r="P67" s="20"/>
      <c r="Q67" s="20"/>
      <c r="R67" s="20"/>
      <c r="S67" s="20"/>
      <c r="T67" s="20"/>
      <c r="U67" s="20"/>
      <c r="V67" s="20"/>
      <c r="W67" s="20"/>
      <c r="X67" s="20"/>
      <c r="Y67" s="20"/>
      <c r="Z67" s="20"/>
    </row>
    <row r="68" spans="1:26" hidden="1" x14ac:dyDescent="0.2">
      <c r="A68" s="26" t="s">
        <v>170</v>
      </c>
      <c r="C68" s="20"/>
      <c r="D68" s="20"/>
      <c r="E68" s="20"/>
      <c r="F68" s="20"/>
      <c r="G68" s="20"/>
      <c r="H68" s="20"/>
      <c r="I68" s="20"/>
      <c r="J68" s="20"/>
      <c r="K68" s="20"/>
      <c r="L68" s="20"/>
      <c r="M68" s="20"/>
      <c r="N68" s="20"/>
      <c r="O68" s="20"/>
      <c r="P68" s="20"/>
      <c r="Q68" s="20"/>
      <c r="R68" s="20"/>
      <c r="S68" s="20"/>
      <c r="T68" s="20"/>
      <c r="U68" s="20"/>
      <c r="V68" s="20"/>
      <c r="W68" s="20"/>
      <c r="X68" s="20"/>
      <c r="Y68" s="20"/>
      <c r="Z68" s="20"/>
    </row>
    <row r="69" spans="1:26" hidden="1" x14ac:dyDescent="0.2">
      <c r="A69" s="26" t="s">
        <v>171</v>
      </c>
      <c r="C69" s="20"/>
      <c r="D69" s="20"/>
      <c r="E69" s="20"/>
      <c r="F69" s="20"/>
      <c r="G69" s="20"/>
      <c r="H69" s="20"/>
      <c r="I69" s="20"/>
      <c r="J69" s="20"/>
      <c r="K69" s="20"/>
      <c r="L69" s="20"/>
      <c r="M69" s="20"/>
      <c r="N69" s="20"/>
      <c r="O69" s="20"/>
      <c r="P69" s="20"/>
      <c r="Q69" s="20"/>
      <c r="R69" s="20"/>
      <c r="S69" s="20"/>
      <c r="T69" s="20"/>
      <c r="U69" s="20"/>
      <c r="V69" s="20"/>
      <c r="W69" s="20"/>
      <c r="X69" s="20"/>
      <c r="Y69" s="20"/>
      <c r="Z69" s="20"/>
    </row>
    <row r="70" spans="1:26" hidden="1" x14ac:dyDescent="0.2">
      <c r="A70" s="26" t="s">
        <v>172</v>
      </c>
      <c r="C70" s="20"/>
      <c r="D70" s="20"/>
      <c r="E70" s="20"/>
      <c r="F70" s="20"/>
      <c r="G70" s="20"/>
      <c r="H70" s="20"/>
      <c r="I70" s="20"/>
      <c r="J70" s="20"/>
      <c r="K70" s="20"/>
      <c r="L70" s="20"/>
      <c r="M70" s="20"/>
      <c r="N70" s="20"/>
      <c r="O70" s="20"/>
      <c r="P70" s="20"/>
      <c r="Q70" s="20"/>
      <c r="R70" s="20"/>
      <c r="S70" s="20"/>
      <c r="T70" s="20"/>
      <c r="U70" s="20"/>
      <c r="V70" s="20"/>
      <c r="W70" s="20"/>
      <c r="X70" s="20"/>
      <c r="Y70" s="20"/>
      <c r="Z70" s="20"/>
    </row>
    <row r="71" spans="1:26" hidden="1" x14ac:dyDescent="0.2">
      <c r="A71" s="26" t="s">
        <v>173</v>
      </c>
      <c r="C71" s="20"/>
      <c r="D71" s="20"/>
      <c r="E71" s="20"/>
      <c r="F71" s="20"/>
      <c r="G71" s="20"/>
      <c r="H71" s="20"/>
      <c r="I71" s="20"/>
      <c r="J71" s="20"/>
      <c r="K71" s="20"/>
      <c r="L71" s="20"/>
      <c r="M71" s="20"/>
      <c r="N71" s="20"/>
      <c r="O71" s="20"/>
      <c r="P71" s="20"/>
      <c r="Q71" s="20"/>
      <c r="R71" s="20"/>
      <c r="S71" s="20"/>
      <c r="T71" s="20"/>
      <c r="U71" s="20"/>
      <c r="V71" s="20"/>
      <c r="W71" s="20"/>
      <c r="X71" s="20"/>
      <c r="Y71" s="20"/>
      <c r="Z71" s="20"/>
    </row>
    <row r="72" spans="1:26" hidden="1" x14ac:dyDescent="0.2">
      <c r="A72" s="26" t="s">
        <v>174</v>
      </c>
      <c r="C72" s="20"/>
      <c r="D72" s="20"/>
      <c r="E72" s="20"/>
      <c r="F72" s="20"/>
      <c r="G72" s="20"/>
      <c r="H72" s="20"/>
      <c r="I72" s="20"/>
      <c r="J72" s="20"/>
      <c r="K72" s="20"/>
      <c r="L72" s="20"/>
      <c r="M72" s="20"/>
      <c r="N72" s="20"/>
      <c r="O72" s="20"/>
      <c r="P72" s="20"/>
      <c r="Q72" s="20"/>
      <c r="R72" s="20"/>
      <c r="S72" s="20"/>
      <c r="T72" s="20"/>
      <c r="U72" s="20"/>
      <c r="V72" s="20"/>
      <c r="W72" s="20"/>
      <c r="X72" s="20"/>
      <c r="Y72" s="20"/>
      <c r="Z72" s="20"/>
    </row>
    <row r="73" spans="1:26" hidden="1" x14ac:dyDescent="0.2">
      <c r="A73" s="26" t="s">
        <v>175</v>
      </c>
      <c r="C73" s="20"/>
      <c r="D73" s="20"/>
      <c r="E73" s="20"/>
      <c r="F73" s="20"/>
      <c r="G73" s="20"/>
      <c r="H73" s="20"/>
      <c r="I73" s="20"/>
      <c r="J73" s="20"/>
      <c r="K73" s="20"/>
      <c r="L73" s="20"/>
      <c r="M73" s="20"/>
      <c r="N73" s="20"/>
      <c r="O73" s="20"/>
      <c r="P73" s="20"/>
      <c r="Q73" s="20"/>
      <c r="R73" s="20"/>
      <c r="S73" s="20"/>
      <c r="T73" s="20"/>
      <c r="U73" s="20"/>
      <c r="V73" s="20"/>
      <c r="W73" s="20"/>
      <c r="X73" s="20"/>
      <c r="Y73" s="20"/>
      <c r="Z73" s="20"/>
    </row>
    <row r="74" spans="1:26" hidden="1" x14ac:dyDescent="0.2">
      <c r="A74" s="26" t="s">
        <v>176</v>
      </c>
      <c r="C74" s="20"/>
      <c r="D74" s="20"/>
      <c r="E74" s="20"/>
      <c r="F74" s="20"/>
      <c r="G74" s="20"/>
      <c r="H74" s="20"/>
      <c r="I74" s="20"/>
      <c r="J74" s="20"/>
      <c r="K74" s="20"/>
      <c r="L74" s="20"/>
      <c r="M74" s="20"/>
      <c r="N74" s="20"/>
      <c r="O74" s="20"/>
      <c r="P74" s="20"/>
      <c r="Q74" s="20"/>
      <c r="R74" s="20"/>
      <c r="S74" s="20"/>
      <c r="T74" s="20"/>
      <c r="U74" s="20"/>
      <c r="V74" s="20"/>
      <c r="W74" s="20"/>
      <c r="X74" s="20"/>
      <c r="Y74" s="20"/>
      <c r="Z74" s="20"/>
    </row>
    <row r="75" spans="1:26" hidden="1" x14ac:dyDescent="0.2">
      <c r="A75" s="26" t="s">
        <v>177</v>
      </c>
      <c r="C75" s="20"/>
      <c r="D75" s="20"/>
      <c r="E75" s="20"/>
      <c r="F75" s="20"/>
      <c r="G75" s="20"/>
      <c r="H75" s="20"/>
      <c r="I75" s="20"/>
      <c r="J75" s="20"/>
      <c r="K75" s="20"/>
      <c r="L75" s="20"/>
      <c r="M75" s="20"/>
      <c r="N75" s="20"/>
      <c r="O75" s="20"/>
      <c r="P75" s="20"/>
      <c r="Q75" s="20"/>
      <c r="R75" s="20"/>
      <c r="S75" s="20"/>
      <c r="T75" s="20"/>
      <c r="U75" s="20"/>
      <c r="V75" s="20"/>
      <c r="W75" s="20"/>
      <c r="X75" s="20"/>
      <c r="Y75" s="20"/>
      <c r="Z75" s="20"/>
    </row>
    <row r="76" spans="1:26" hidden="1" x14ac:dyDescent="0.2">
      <c r="A76" s="26"/>
      <c r="C76" s="20"/>
      <c r="D76" s="20"/>
      <c r="E76" s="20"/>
      <c r="F76" s="20"/>
      <c r="G76" s="20"/>
      <c r="H76" s="20"/>
      <c r="I76" s="20"/>
      <c r="J76" s="20"/>
      <c r="K76" s="20"/>
      <c r="L76" s="20"/>
      <c r="M76" s="20"/>
      <c r="N76" s="20"/>
      <c r="O76" s="20"/>
      <c r="P76" s="20"/>
      <c r="Q76" s="20"/>
      <c r="R76" s="20"/>
      <c r="S76" s="20"/>
      <c r="T76" s="20"/>
      <c r="U76" s="20"/>
      <c r="V76" s="20"/>
      <c r="W76" s="20"/>
      <c r="X76" s="20"/>
      <c r="Y76" s="20"/>
      <c r="Z76" s="20"/>
    </row>
    <row r="77" spans="1:26" hidden="1" x14ac:dyDescent="0.2">
      <c r="A77" s="26"/>
      <c r="C77" s="20"/>
      <c r="D77" s="20"/>
      <c r="E77" s="20"/>
      <c r="F77" s="20"/>
      <c r="G77" s="20"/>
      <c r="H77" s="20"/>
      <c r="I77" s="20"/>
      <c r="J77" s="20"/>
      <c r="K77" s="20"/>
      <c r="L77" s="20"/>
      <c r="M77" s="20"/>
      <c r="N77" s="20"/>
      <c r="O77" s="20"/>
      <c r="P77" s="20"/>
      <c r="Q77" s="20"/>
      <c r="R77" s="20"/>
      <c r="S77" s="20"/>
      <c r="T77" s="20"/>
      <c r="U77" s="20"/>
      <c r="V77" s="20"/>
      <c r="W77" s="20"/>
      <c r="X77" s="20"/>
      <c r="Y77" s="20"/>
      <c r="Z77" s="20"/>
    </row>
    <row r="78" spans="1:26" hidden="1" x14ac:dyDescent="0.2">
      <c r="A78" s="26"/>
      <c r="C78" s="20"/>
      <c r="D78" s="20"/>
      <c r="E78" s="20"/>
      <c r="F78" s="20"/>
      <c r="G78" s="20"/>
      <c r="H78" s="20"/>
      <c r="I78" s="20"/>
      <c r="J78" s="20"/>
      <c r="K78" s="20"/>
      <c r="L78" s="20"/>
      <c r="M78" s="20"/>
      <c r="N78" s="20"/>
      <c r="O78" s="20"/>
      <c r="P78" s="20"/>
      <c r="Q78" s="20"/>
      <c r="R78" s="20"/>
      <c r="S78" s="20"/>
      <c r="T78" s="20"/>
      <c r="U78" s="20"/>
      <c r="V78" s="20"/>
      <c r="W78" s="20"/>
      <c r="X78" s="20"/>
      <c r="Y78" s="20"/>
      <c r="Z78" s="20"/>
    </row>
    <row r="79" spans="1:26" hidden="1" x14ac:dyDescent="0.2">
      <c r="A79" s="12"/>
      <c r="C79" s="20"/>
      <c r="D79" s="20"/>
      <c r="E79" s="20"/>
      <c r="F79" s="20"/>
      <c r="G79" s="20"/>
      <c r="H79" s="20"/>
      <c r="I79" s="20"/>
      <c r="J79" s="20"/>
      <c r="K79" s="20"/>
      <c r="L79" s="20"/>
      <c r="M79" s="20"/>
      <c r="N79" s="20"/>
      <c r="O79" s="20"/>
      <c r="P79" s="20"/>
      <c r="Q79" s="20"/>
      <c r="R79" s="20"/>
      <c r="S79" s="20"/>
      <c r="T79" s="20"/>
      <c r="U79" s="20"/>
      <c r="V79" s="20"/>
      <c r="W79" s="20"/>
      <c r="X79" s="20"/>
      <c r="Y79" s="20"/>
      <c r="Z79" s="20"/>
    </row>
    <row r="80" spans="1:26" hidden="1" x14ac:dyDescent="0.2">
      <c r="C80" s="33">
        <v>45307</v>
      </c>
      <c r="D80" s="33">
        <v>45338</v>
      </c>
      <c r="E80" s="33">
        <v>45366</v>
      </c>
      <c r="F80" s="33">
        <v>45397</v>
      </c>
      <c r="G80" s="33">
        <v>45427</v>
      </c>
      <c r="H80" s="33">
        <v>45458</v>
      </c>
      <c r="I80" s="33">
        <v>45488</v>
      </c>
      <c r="J80" s="33">
        <v>45519</v>
      </c>
      <c r="K80" s="33">
        <v>45550</v>
      </c>
      <c r="L80" s="33">
        <v>45580</v>
      </c>
      <c r="M80" s="33">
        <v>45611</v>
      </c>
      <c r="N80" s="33">
        <v>45641</v>
      </c>
      <c r="O80" s="33" t="e">
        <f>+#REF!</f>
        <v>#REF!</v>
      </c>
      <c r="P80" s="33" t="e">
        <f>+#REF!</f>
        <v>#REF!</v>
      </c>
      <c r="Q80" s="33" t="e">
        <f>+#REF!</f>
        <v>#REF!</v>
      </c>
      <c r="R80" s="33" t="e">
        <f>+#REF!</f>
        <v>#REF!</v>
      </c>
      <c r="S80" s="33" t="e">
        <f>+#REF!</f>
        <v>#REF!</v>
      </c>
      <c r="T80" s="33" t="e">
        <f>+#REF!</f>
        <v>#REF!</v>
      </c>
      <c r="U80" s="33" t="e">
        <f>+#REF!</f>
        <v>#REF!</v>
      </c>
      <c r="V80" s="33" t="e">
        <f>+#REF!</f>
        <v>#REF!</v>
      </c>
      <c r="W80" s="33" t="e">
        <f>+#REF!</f>
        <v>#REF!</v>
      </c>
      <c r="X80" s="33" t="e">
        <f>+#REF!</f>
        <v>#REF!</v>
      </c>
      <c r="Y80" s="33" t="e">
        <f>+#REF!</f>
        <v>#REF!</v>
      </c>
      <c r="Z80" s="33" t="e">
        <f>+#REF!</f>
        <v>#REF!</v>
      </c>
    </row>
    <row r="81" spans="1:26" hidden="1" x14ac:dyDescent="0.2">
      <c r="A81" t="s">
        <v>9</v>
      </c>
      <c r="C81" s="65">
        <v>0</v>
      </c>
      <c r="D81" s="65">
        <v>0</v>
      </c>
      <c r="E81" s="65">
        <v>0</v>
      </c>
      <c r="F81" s="65">
        <v>0</v>
      </c>
      <c r="G81" s="65">
        <v>0</v>
      </c>
      <c r="H81" s="65">
        <v>0</v>
      </c>
      <c r="I81" s="65">
        <v>0</v>
      </c>
      <c r="J81" s="65">
        <v>0</v>
      </c>
      <c r="K81" s="65">
        <v>0</v>
      </c>
      <c r="L81" s="65">
        <v>0</v>
      </c>
      <c r="M81" s="65">
        <v>0</v>
      </c>
      <c r="N81" s="65">
        <v>0</v>
      </c>
      <c r="O81" s="65">
        <v>0</v>
      </c>
      <c r="P81" s="65">
        <v>0</v>
      </c>
      <c r="Q81" s="65">
        <v>0</v>
      </c>
      <c r="R81" s="65">
        <v>0</v>
      </c>
      <c r="S81" s="65">
        <v>0</v>
      </c>
      <c r="T81" s="65">
        <v>0</v>
      </c>
      <c r="U81" s="65">
        <v>0</v>
      </c>
      <c r="V81" s="65">
        <v>0</v>
      </c>
      <c r="W81" s="65">
        <v>0</v>
      </c>
      <c r="X81" s="65">
        <v>0</v>
      </c>
      <c r="Y81" s="65">
        <v>0</v>
      </c>
      <c r="Z81" s="65">
        <v>0</v>
      </c>
    </row>
    <row r="82" spans="1:26" hidden="1" x14ac:dyDescent="0.2">
      <c r="A82" t="s">
        <v>15</v>
      </c>
      <c r="C82" s="55">
        <v>0</v>
      </c>
      <c r="D82" s="55">
        <v>0</v>
      </c>
      <c r="E82" s="55">
        <v>0</v>
      </c>
      <c r="F82" s="55">
        <v>0</v>
      </c>
      <c r="G82" s="55">
        <v>0</v>
      </c>
      <c r="H82" s="55">
        <v>0</v>
      </c>
      <c r="I82" s="55">
        <v>0</v>
      </c>
      <c r="J82" s="55">
        <v>0</v>
      </c>
      <c r="K82" s="55">
        <v>0</v>
      </c>
      <c r="L82" s="55">
        <v>0</v>
      </c>
      <c r="M82" s="55">
        <v>0</v>
      </c>
      <c r="N82" s="55">
        <v>0</v>
      </c>
      <c r="O82" s="55">
        <v>0</v>
      </c>
      <c r="P82" s="55">
        <v>0</v>
      </c>
      <c r="Q82" s="55">
        <v>0</v>
      </c>
      <c r="R82" s="55">
        <v>0</v>
      </c>
      <c r="S82" s="55">
        <v>0</v>
      </c>
      <c r="T82" s="55">
        <v>0</v>
      </c>
      <c r="U82" s="55">
        <v>0</v>
      </c>
      <c r="V82" s="55">
        <v>0</v>
      </c>
      <c r="W82" s="55">
        <v>0</v>
      </c>
      <c r="X82" s="55">
        <v>0</v>
      </c>
      <c r="Y82" s="55">
        <v>0</v>
      </c>
      <c r="Z82" s="55">
        <v>0</v>
      </c>
    </row>
    <row r="83" spans="1:26" hidden="1" x14ac:dyDescent="0.2">
      <c r="A83" t="s">
        <v>16</v>
      </c>
      <c r="C83" s="32">
        <v>0</v>
      </c>
      <c r="D83" s="32">
        <v>0</v>
      </c>
      <c r="E83" s="32">
        <v>0</v>
      </c>
      <c r="F83" s="32">
        <v>0</v>
      </c>
      <c r="G83" s="32">
        <v>0</v>
      </c>
      <c r="H83" s="32">
        <v>0</v>
      </c>
      <c r="I83" s="32">
        <v>0</v>
      </c>
      <c r="J83" s="32">
        <v>0</v>
      </c>
      <c r="K83" s="32">
        <v>0</v>
      </c>
      <c r="L83" s="32">
        <v>0</v>
      </c>
      <c r="M83" s="32">
        <v>0</v>
      </c>
      <c r="N83" s="32">
        <v>0</v>
      </c>
      <c r="O83" s="32">
        <v>0</v>
      </c>
      <c r="P83" s="32">
        <v>0</v>
      </c>
      <c r="Q83" s="32">
        <v>0</v>
      </c>
      <c r="R83" s="32">
        <v>0</v>
      </c>
      <c r="S83" s="32">
        <v>0</v>
      </c>
      <c r="T83" s="32">
        <v>0</v>
      </c>
      <c r="U83" s="32">
        <v>0</v>
      </c>
      <c r="V83" s="32">
        <v>0</v>
      </c>
      <c r="W83" s="32">
        <v>0</v>
      </c>
      <c r="X83" s="32">
        <v>0</v>
      </c>
      <c r="Y83" s="32">
        <v>0</v>
      </c>
      <c r="Z83" s="32">
        <v>0</v>
      </c>
    </row>
    <row r="84" spans="1:26" hidden="1" x14ac:dyDescent="0.2">
      <c r="C84" s="20"/>
      <c r="D84" s="20"/>
      <c r="E84" s="20"/>
      <c r="F84" s="20"/>
      <c r="G84" s="20"/>
      <c r="H84" s="20"/>
      <c r="I84" s="20"/>
      <c r="J84" s="20"/>
      <c r="K84" s="20"/>
      <c r="L84" s="20"/>
      <c r="M84" s="20"/>
      <c r="N84" s="20"/>
      <c r="O84" s="20"/>
      <c r="P84" s="20"/>
      <c r="Q84" s="20"/>
      <c r="R84" s="20"/>
      <c r="S84" s="20"/>
      <c r="T84" s="20"/>
      <c r="U84" s="20"/>
      <c r="V84" s="20"/>
      <c r="W84" s="20"/>
      <c r="X84" s="20"/>
      <c r="Y84" s="20"/>
      <c r="Z84" s="20"/>
    </row>
    <row r="85" spans="1:26" hidden="1" x14ac:dyDescent="0.2">
      <c r="A85" s="14" t="s">
        <v>17</v>
      </c>
      <c r="C85" s="20"/>
      <c r="D85" s="20"/>
      <c r="E85" s="20"/>
      <c r="F85" s="20"/>
      <c r="G85" s="20"/>
      <c r="H85" s="20"/>
      <c r="I85" s="20"/>
      <c r="J85" s="20"/>
      <c r="K85" s="20"/>
      <c r="L85" s="20"/>
      <c r="M85" s="20"/>
      <c r="N85" s="20"/>
      <c r="O85" s="20"/>
      <c r="P85" s="20"/>
      <c r="Q85" s="20"/>
      <c r="R85" s="20"/>
      <c r="S85" s="20"/>
      <c r="T85" s="20"/>
      <c r="U85" s="20"/>
      <c r="V85" s="20"/>
      <c r="W85" s="20"/>
      <c r="X85" s="20"/>
      <c r="Y85" s="20"/>
      <c r="Z85" s="20"/>
    </row>
    <row r="86" spans="1:26" hidden="1" x14ac:dyDescent="0.2">
      <c r="A86" s="15" t="s">
        <v>12</v>
      </c>
      <c r="C86" s="20"/>
      <c r="D86" s="20"/>
      <c r="E86" s="20"/>
      <c r="F86" s="20"/>
      <c r="G86" s="20"/>
      <c r="H86" s="20"/>
      <c r="I86" s="20"/>
      <c r="J86" s="20"/>
      <c r="K86" s="20"/>
      <c r="L86" s="20"/>
      <c r="M86" s="20"/>
      <c r="N86" s="20"/>
      <c r="O86" s="20"/>
      <c r="P86" s="20"/>
      <c r="Q86" s="20"/>
      <c r="R86" s="20"/>
      <c r="S86" s="20"/>
      <c r="T86" s="20"/>
      <c r="U86" s="20"/>
      <c r="V86" s="20"/>
      <c r="W86" s="20"/>
      <c r="X86" s="20"/>
      <c r="Y86" s="20"/>
      <c r="Z86" s="20"/>
    </row>
    <row r="87" spans="1:26" hidden="1" x14ac:dyDescent="0.2">
      <c r="A87" s="26">
        <v>5132</v>
      </c>
      <c r="C87" s="20"/>
      <c r="D87" s="20"/>
      <c r="E87" s="20"/>
      <c r="F87" s="20"/>
      <c r="G87" s="20"/>
      <c r="H87" s="20"/>
      <c r="I87" s="20"/>
      <c r="J87" s="20"/>
      <c r="K87" s="20"/>
      <c r="L87" s="20"/>
      <c r="M87" s="20"/>
      <c r="N87" s="20"/>
      <c r="O87" s="20"/>
      <c r="P87" s="20"/>
      <c r="Q87" s="20"/>
      <c r="R87" s="20"/>
      <c r="S87" s="20"/>
      <c r="T87" s="20"/>
      <c r="U87" s="20"/>
      <c r="V87" s="20"/>
      <c r="W87" s="20"/>
      <c r="X87" s="20"/>
      <c r="Y87" s="20"/>
      <c r="Z87" s="20"/>
    </row>
    <row r="88" spans="1:26" hidden="1" x14ac:dyDescent="0.2">
      <c r="A88" s="26" t="s">
        <v>170</v>
      </c>
      <c r="C88" s="20"/>
      <c r="D88" s="20"/>
      <c r="E88" s="20"/>
      <c r="F88" s="20"/>
      <c r="G88" s="20"/>
      <c r="H88" s="20"/>
      <c r="I88" s="20"/>
      <c r="J88" s="20"/>
      <c r="K88" s="20"/>
      <c r="L88" s="20"/>
      <c r="M88" s="20"/>
      <c r="N88" s="20"/>
      <c r="O88" s="20"/>
      <c r="P88" s="20"/>
      <c r="Q88" s="20"/>
      <c r="R88" s="20"/>
      <c r="S88" s="20"/>
      <c r="T88" s="20"/>
      <c r="U88" s="20"/>
      <c r="V88" s="20"/>
      <c r="W88" s="20"/>
      <c r="X88" s="20"/>
      <c r="Y88" s="20"/>
      <c r="Z88" s="20"/>
    </row>
    <row r="89" spans="1:26" hidden="1" x14ac:dyDescent="0.2">
      <c r="A89" s="26" t="s">
        <v>171</v>
      </c>
      <c r="C89" s="20"/>
      <c r="D89" s="20"/>
      <c r="E89" s="20"/>
      <c r="F89" s="20"/>
      <c r="G89" s="20"/>
      <c r="H89" s="20"/>
      <c r="I89" s="20"/>
      <c r="J89" s="20"/>
      <c r="K89" s="20"/>
      <c r="L89" s="20"/>
      <c r="M89" s="20"/>
      <c r="N89" s="20"/>
      <c r="O89" s="20"/>
      <c r="P89" s="20"/>
      <c r="Q89" s="20"/>
      <c r="R89" s="20"/>
      <c r="S89" s="20"/>
      <c r="T89" s="20"/>
      <c r="U89" s="20"/>
      <c r="V89" s="20"/>
      <c r="W89" s="20"/>
      <c r="X89" s="20"/>
      <c r="Y89" s="20"/>
      <c r="Z89" s="20"/>
    </row>
    <row r="90" spans="1:26" hidden="1" x14ac:dyDescent="0.2">
      <c r="A90" s="26" t="s">
        <v>172</v>
      </c>
      <c r="C90" s="20"/>
      <c r="D90" s="20"/>
      <c r="E90" s="20"/>
      <c r="F90" s="20"/>
      <c r="G90" s="20"/>
      <c r="H90" s="20"/>
      <c r="I90" s="20"/>
      <c r="J90" s="20"/>
      <c r="K90" s="20"/>
      <c r="L90" s="20"/>
      <c r="M90" s="20"/>
      <c r="N90" s="20"/>
      <c r="O90" s="20"/>
      <c r="P90" s="20"/>
      <c r="Q90" s="20"/>
      <c r="R90" s="20"/>
      <c r="S90" s="20"/>
      <c r="T90" s="20"/>
      <c r="U90" s="20"/>
      <c r="V90" s="20"/>
      <c r="W90" s="20"/>
      <c r="X90" s="20"/>
      <c r="Y90" s="20"/>
      <c r="Z90" s="20"/>
    </row>
    <row r="91" spans="1:26" hidden="1" x14ac:dyDescent="0.2">
      <c r="A91" s="26" t="s">
        <v>173</v>
      </c>
      <c r="C91" s="20"/>
      <c r="D91" s="20"/>
      <c r="E91" s="20"/>
      <c r="F91" s="20"/>
      <c r="G91" s="20"/>
      <c r="H91" s="20"/>
      <c r="I91" s="20"/>
      <c r="J91" s="20"/>
      <c r="K91" s="20"/>
      <c r="L91" s="20"/>
      <c r="M91" s="20"/>
      <c r="N91" s="20"/>
      <c r="O91" s="20"/>
      <c r="P91" s="20"/>
      <c r="Q91" s="20"/>
      <c r="R91" s="20"/>
      <c r="S91" s="20"/>
      <c r="T91" s="20"/>
      <c r="U91" s="20"/>
      <c r="V91" s="20"/>
      <c r="W91" s="20"/>
      <c r="X91" s="20"/>
      <c r="Y91" s="20"/>
      <c r="Z91" s="20"/>
    </row>
    <row r="92" spans="1:26" hidden="1" x14ac:dyDescent="0.2">
      <c r="A92" s="26" t="s">
        <v>174</v>
      </c>
      <c r="C92" s="20"/>
      <c r="D92" s="20"/>
      <c r="E92" s="20"/>
      <c r="F92" s="20"/>
      <c r="G92" s="20"/>
      <c r="H92" s="20"/>
      <c r="I92" s="20"/>
      <c r="J92" s="20"/>
      <c r="K92" s="20"/>
      <c r="L92" s="20"/>
      <c r="M92" s="20"/>
      <c r="N92" s="20"/>
      <c r="O92" s="20"/>
      <c r="P92" s="20"/>
      <c r="Q92" s="20"/>
      <c r="R92" s="20"/>
      <c r="S92" s="20"/>
      <c r="T92" s="20"/>
      <c r="U92" s="20"/>
      <c r="V92" s="20"/>
      <c r="W92" s="20"/>
      <c r="X92" s="20"/>
      <c r="Y92" s="20"/>
      <c r="Z92" s="20"/>
    </row>
    <row r="93" spans="1:26" hidden="1" x14ac:dyDescent="0.2">
      <c r="A93" s="26" t="s">
        <v>175</v>
      </c>
      <c r="C93" s="20"/>
      <c r="D93" s="20"/>
      <c r="E93" s="20"/>
      <c r="F93" s="20"/>
      <c r="G93" s="20"/>
      <c r="H93" s="20"/>
      <c r="I93" s="20"/>
      <c r="J93" s="20"/>
      <c r="K93" s="20"/>
      <c r="L93" s="20"/>
      <c r="M93" s="20"/>
      <c r="N93" s="20"/>
      <c r="O93" s="20"/>
      <c r="P93" s="20"/>
      <c r="Q93" s="20"/>
      <c r="R93" s="20"/>
      <c r="S93" s="20"/>
      <c r="T93" s="20"/>
      <c r="U93" s="20"/>
      <c r="V93" s="20"/>
      <c r="W93" s="20"/>
      <c r="X93" s="20"/>
      <c r="Y93" s="20"/>
      <c r="Z93" s="20"/>
    </row>
    <row r="94" spans="1:26" hidden="1" x14ac:dyDescent="0.2">
      <c r="A94" s="26" t="s">
        <v>176</v>
      </c>
      <c r="C94" s="20"/>
      <c r="D94" s="20"/>
      <c r="E94" s="20"/>
      <c r="F94" s="20"/>
      <c r="G94" s="20"/>
      <c r="H94" s="20"/>
      <c r="I94" s="20"/>
      <c r="J94" s="20"/>
      <c r="K94" s="20"/>
      <c r="L94" s="20"/>
      <c r="M94" s="20"/>
      <c r="N94" s="20"/>
      <c r="O94" s="20"/>
      <c r="P94" s="20"/>
      <c r="Q94" s="20"/>
      <c r="R94" s="20"/>
      <c r="S94" s="20"/>
      <c r="T94" s="20"/>
      <c r="U94" s="20"/>
      <c r="V94" s="20"/>
      <c r="W94" s="20"/>
      <c r="X94" s="20"/>
      <c r="Y94" s="20"/>
      <c r="Z94" s="20"/>
    </row>
    <row r="95" spans="1:26" hidden="1" x14ac:dyDescent="0.2">
      <c r="A95" s="26" t="s">
        <v>177</v>
      </c>
      <c r="C95" s="20"/>
      <c r="D95" s="20"/>
      <c r="E95" s="20"/>
      <c r="F95" s="20"/>
      <c r="G95" s="20"/>
      <c r="H95" s="20"/>
      <c r="I95" s="20"/>
      <c r="J95" s="20"/>
      <c r="K95" s="20"/>
      <c r="L95" s="20"/>
      <c r="M95" s="20"/>
      <c r="N95" s="20"/>
      <c r="O95" s="20"/>
      <c r="P95" s="20"/>
      <c r="Q95" s="20"/>
      <c r="R95" s="20"/>
      <c r="S95" s="20"/>
      <c r="T95" s="20"/>
      <c r="U95" s="20"/>
      <c r="V95" s="20"/>
      <c r="W95" s="20"/>
      <c r="X95" s="20"/>
      <c r="Y95" s="20"/>
      <c r="Z95" s="20"/>
    </row>
    <row r="96" spans="1:26" hidden="1" x14ac:dyDescent="0.2">
      <c r="A96" s="12"/>
      <c r="C96" s="20"/>
      <c r="D96" s="20"/>
      <c r="E96" s="20"/>
      <c r="F96" s="20"/>
      <c r="G96" s="20"/>
      <c r="H96" s="20"/>
      <c r="I96" s="20"/>
      <c r="J96" s="20"/>
      <c r="K96" s="20"/>
      <c r="L96" s="20"/>
      <c r="M96" s="20"/>
      <c r="N96" s="20"/>
      <c r="O96" s="20"/>
      <c r="P96" s="20"/>
      <c r="Q96" s="20"/>
      <c r="R96" s="20"/>
      <c r="S96" s="20"/>
      <c r="T96" s="20"/>
      <c r="U96" s="20"/>
      <c r="V96" s="20"/>
      <c r="W96" s="20"/>
      <c r="X96" s="20"/>
      <c r="Y96" s="20"/>
      <c r="Z96" s="20"/>
    </row>
    <row r="97" spans="1:26" hidden="1" x14ac:dyDescent="0.2">
      <c r="C97" s="33">
        <v>45307</v>
      </c>
      <c r="D97" s="33">
        <v>45338</v>
      </c>
      <c r="E97" s="33">
        <v>45366</v>
      </c>
      <c r="F97" s="33">
        <v>45397</v>
      </c>
      <c r="G97" s="33">
        <v>45427</v>
      </c>
      <c r="H97" s="33">
        <v>45458</v>
      </c>
      <c r="I97" s="33">
        <v>45488</v>
      </c>
      <c r="J97" s="33">
        <v>45519</v>
      </c>
      <c r="K97" s="33">
        <v>45550</v>
      </c>
      <c r="L97" s="33">
        <v>45580</v>
      </c>
      <c r="M97" s="33">
        <v>45611</v>
      </c>
      <c r="N97" s="33">
        <v>45641</v>
      </c>
      <c r="O97" s="33" t="e">
        <f>+#REF!</f>
        <v>#REF!</v>
      </c>
      <c r="P97" s="33" t="e">
        <f>+#REF!</f>
        <v>#REF!</v>
      </c>
      <c r="Q97" s="33" t="e">
        <f>+#REF!</f>
        <v>#REF!</v>
      </c>
      <c r="R97" s="33" t="e">
        <f>+#REF!</f>
        <v>#REF!</v>
      </c>
      <c r="S97" s="33" t="e">
        <f>+#REF!</f>
        <v>#REF!</v>
      </c>
      <c r="T97" s="33" t="e">
        <f>+#REF!</f>
        <v>#REF!</v>
      </c>
      <c r="U97" s="33" t="e">
        <f>+#REF!</f>
        <v>#REF!</v>
      </c>
      <c r="V97" s="33" t="e">
        <f>+#REF!</f>
        <v>#REF!</v>
      </c>
      <c r="W97" s="33" t="e">
        <f>+#REF!</f>
        <v>#REF!</v>
      </c>
      <c r="X97" s="33" t="e">
        <f>+#REF!</f>
        <v>#REF!</v>
      </c>
      <c r="Y97" s="33" t="e">
        <f>+#REF!</f>
        <v>#REF!</v>
      </c>
      <c r="Z97" s="33" t="e">
        <f>+#REF!</f>
        <v>#REF!</v>
      </c>
    </row>
    <row r="98" spans="1:26" hidden="1" x14ac:dyDescent="0.2">
      <c r="A98" t="s">
        <v>9</v>
      </c>
      <c r="C98" s="65">
        <v>0</v>
      </c>
      <c r="D98" s="65">
        <v>0</v>
      </c>
      <c r="E98" s="65">
        <v>0</v>
      </c>
      <c r="F98" s="65">
        <v>0</v>
      </c>
      <c r="G98" s="65">
        <v>0</v>
      </c>
      <c r="H98" s="65">
        <v>0</v>
      </c>
      <c r="I98" s="65">
        <v>0</v>
      </c>
      <c r="J98" s="65">
        <v>0</v>
      </c>
      <c r="K98" s="65">
        <v>0</v>
      </c>
      <c r="L98" s="65">
        <v>0</v>
      </c>
      <c r="M98" s="65">
        <v>0</v>
      </c>
      <c r="N98" s="65">
        <v>0</v>
      </c>
      <c r="O98" s="65">
        <v>0</v>
      </c>
      <c r="P98" s="65">
        <v>0</v>
      </c>
      <c r="Q98" s="65">
        <v>0</v>
      </c>
      <c r="R98" s="65">
        <v>0</v>
      </c>
      <c r="S98" s="65">
        <v>0</v>
      </c>
      <c r="T98" s="65">
        <v>0</v>
      </c>
      <c r="U98" s="65">
        <v>0</v>
      </c>
      <c r="V98" s="65">
        <v>0</v>
      </c>
      <c r="W98" s="65">
        <v>0</v>
      </c>
      <c r="X98" s="65">
        <v>0</v>
      </c>
      <c r="Y98" s="65">
        <v>0</v>
      </c>
      <c r="Z98" s="65">
        <v>0</v>
      </c>
    </row>
    <row r="99" spans="1:26" hidden="1" x14ac:dyDescent="0.2">
      <c r="A99" t="s">
        <v>15</v>
      </c>
      <c r="C99" s="55">
        <v>0</v>
      </c>
      <c r="D99" s="55">
        <v>0</v>
      </c>
      <c r="E99" s="55">
        <v>0</v>
      </c>
      <c r="F99" s="55">
        <v>0</v>
      </c>
      <c r="G99" s="55">
        <v>0</v>
      </c>
      <c r="H99" s="55">
        <v>0</v>
      </c>
      <c r="I99" s="55">
        <v>0</v>
      </c>
      <c r="J99" s="55">
        <v>0</v>
      </c>
      <c r="K99" s="55">
        <v>0</v>
      </c>
      <c r="L99" s="55">
        <v>0</v>
      </c>
      <c r="M99" s="55">
        <v>0</v>
      </c>
      <c r="N99" s="55">
        <v>0</v>
      </c>
      <c r="O99" s="55">
        <v>0</v>
      </c>
      <c r="P99" s="55">
        <v>0</v>
      </c>
      <c r="Q99" s="55">
        <v>0</v>
      </c>
      <c r="R99" s="55">
        <v>0</v>
      </c>
      <c r="S99" s="55">
        <v>0</v>
      </c>
      <c r="T99" s="55">
        <v>0</v>
      </c>
      <c r="U99" s="55">
        <v>0</v>
      </c>
      <c r="V99" s="55">
        <v>0</v>
      </c>
      <c r="W99" s="55">
        <v>0</v>
      </c>
      <c r="X99" s="55">
        <v>0</v>
      </c>
      <c r="Y99" s="55">
        <v>0</v>
      </c>
      <c r="Z99" s="55">
        <v>0</v>
      </c>
    </row>
    <row r="100" spans="1:26" hidden="1" x14ac:dyDescent="0.2">
      <c r="A100" t="s">
        <v>16</v>
      </c>
      <c r="C100" s="32">
        <v>0</v>
      </c>
      <c r="D100" s="32">
        <v>0</v>
      </c>
      <c r="E100" s="32">
        <v>0</v>
      </c>
      <c r="F100" s="32">
        <v>0</v>
      </c>
      <c r="G100" s="32">
        <v>0</v>
      </c>
      <c r="H100" s="32">
        <v>0</v>
      </c>
      <c r="I100" s="32">
        <v>0</v>
      </c>
      <c r="J100" s="32">
        <v>0</v>
      </c>
      <c r="K100" s="32">
        <v>0</v>
      </c>
      <c r="L100" s="32">
        <v>0</v>
      </c>
      <c r="M100" s="32">
        <v>0</v>
      </c>
      <c r="N100" s="32">
        <v>0</v>
      </c>
      <c r="O100" s="32">
        <v>0</v>
      </c>
      <c r="P100" s="32">
        <v>0</v>
      </c>
      <c r="Q100" s="32">
        <v>0</v>
      </c>
      <c r="R100" s="32">
        <v>0</v>
      </c>
      <c r="S100" s="32">
        <v>0</v>
      </c>
      <c r="T100" s="32">
        <v>0</v>
      </c>
      <c r="U100" s="32">
        <v>0</v>
      </c>
      <c r="V100" s="32">
        <v>0</v>
      </c>
      <c r="W100" s="32">
        <v>0</v>
      </c>
      <c r="X100" s="32">
        <v>0</v>
      </c>
      <c r="Y100" s="32">
        <v>0</v>
      </c>
      <c r="Z100" s="32">
        <v>0</v>
      </c>
    </row>
    <row r="101" spans="1:26" hidden="1" x14ac:dyDescent="0.2">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row>
    <row r="102" spans="1:26" hidden="1" x14ac:dyDescent="0.2">
      <c r="A102" s="14" t="s">
        <v>19</v>
      </c>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row>
    <row r="103" spans="1:26" hidden="1" x14ac:dyDescent="0.2">
      <c r="A103" s="15" t="s">
        <v>12</v>
      </c>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row>
    <row r="104" spans="1:26" hidden="1" x14ac:dyDescent="0.2">
      <c r="A104" s="25">
        <v>125</v>
      </c>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row>
    <row r="105" spans="1:26" hidden="1" x14ac:dyDescent="0.2">
      <c r="A105" s="26" t="s">
        <v>170</v>
      </c>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row>
    <row r="106" spans="1:26" hidden="1" x14ac:dyDescent="0.2">
      <c r="A106" s="26" t="s">
        <v>171</v>
      </c>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row>
    <row r="107" spans="1:26" hidden="1" x14ac:dyDescent="0.2">
      <c r="A107" s="26" t="s">
        <v>172</v>
      </c>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row>
    <row r="108" spans="1:26" hidden="1" x14ac:dyDescent="0.2">
      <c r="A108" s="26" t="s">
        <v>173</v>
      </c>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row>
    <row r="109" spans="1:26" hidden="1" x14ac:dyDescent="0.2">
      <c r="A109" s="26" t="s">
        <v>174</v>
      </c>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row>
    <row r="110" spans="1:26" hidden="1" x14ac:dyDescent="0.2">
      <c r="A110" s="26" t="s">
        <v>175</v>
      </c>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row>
    <row r="111" spans="1:26" hidden="1" x14ac:dyDescent="0.2">
      <c r="A111" s="26" t="s">
        <v>176</v>
      </c>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row>
    <row r="112" spans="1:26" hidden="1" x14ac:dyDescent="0.2">
      <c r="A112" s="26" t="s">
        <v>177</v>
      </c>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row>
    <row r="113" spans="1:26" hidden="1" x14ac:dyDescent="0.2">
      <c r="A113" s="26" t="s">
        <v>178</v>
      </c>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row>
    <row r="114" spans="1:26" hidden="1" x14ac:dyDescent="0.2">
      <c r="A114" s="26" t="s">
        <v>179</v>
      </c>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row>
    <row r="115" spans="1:26" hidden="1" x14ac:dyDescent="0.2">
      <c r="A115" s="26" t="s">
        <v>180</v>
      </c>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row>
    <row r="116" spans="1:26" hidden="1" x14ac:dyDescent="0.2">
      <c r="A116" s="26" t="s">
        <v>181</v>
      </c>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row>
    <row r="117" spans="1:26" hidden="1" x14ac:dyDescent="0.2">
      <c r="A117" s="26" t="s">
        <v>182</v>
      </c>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row>
    <row r="118" spans="1:26" hidden="1" x14ac:dyDescent="0.2">
      <c r="A118" s="26" t="s">
        <v>183</v>
      </c>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row>
    <row r="119" spans="1:26" hidden="1" x14ac:dyDescent="0.2">
      <c r="A119" s="12"/>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row>
    <row r="120" spans="1:26" hidden="1" x14ac:dyDescent="0.2">
      <c r="C120" s="33">
        <v>45307</v>
      </c>
      <c r="D120" s="33">
        <v>45338</v>
      </c>
      <c r="E120" s="33">
        <v>45366</v>
      </c>
      <c r="F120" s="33">
        <v>45397</v>
      </c>
      <c r="G120" s="33">
        <v>45427</v>
      </c>
      <c r="H120" s="33">
        <v>45458</v>
      </c>
      <c r="I120" s="33">
        <v>45488</v>
      </c>
      <c r="J120" s="33">
        <v>45519</v>
      </c>
      <c r="K120" s="33">
        <v>45550</v>
      </c>
      <c r="L120" s="33">
        <v>45580</v>
      </c>
      <c r="M120" s="33">
        <v>45611</v>
      </c>
      <c r="N120" s="33">
        <v>45641</v>
      </c>
      <c r="O120" s="33" t="e">
        <f>+#REF!</f>
        <v>#REF!</v>
      </c>
      <c r="P120" s="33" t="e">
        <f>+#REF!</f>
        <v>#REF!</v>
      </c>
      <c r="Q120" s="33" t="e">
        <f>+#REF!</f>
        <v>#REF!</v>
      </c>
      <c r="R120" s="33" t="e">
        <f>+#REF!</f>
        <v>#REF!</v>
      </c>
      <c r="S120" s="33" t="e">
        <f>+#REF!</f>
        <v>#REF!</v>
      </c>
      <c r="T120" s="33" t="e">
        <f>+#REF!</f>
        <v>#REF!</v>
      </c>
      <c r="U120" s="33" t="e">
        <f>+#REF!</f>
        <v>#REF!</v>
      </c>
      <c r="V120" s="33" t="e">
        <f>+#REF!</f>
        <v>#REF!</v>
      </c>
      <c r="W120" s="33" t="e">
        <f>+#REF!</f>
        <v>#REF!</v>
      </c>
      <c r="X120" s="33" t="e">
        <f>+#REF!</f>
        <v>#REF!</v>
      </c>
      <c r="Y120" s="33" t="e">
        <f>+#REF!</f>
        <v>#REF!</v>
      </c>
      <c r="Z120" s="33" t="e">
        <f>+#REF!</f>
        <v>#REF!</v>
      </c>
    </row>
    <row r="121" spans="1:26" hidden="1" x14ac:dyDescent="0.2">
      <c r="A121" t="s">
        <v>9</v>
      </c>
      <c r="C121" s="65">
        <v>0</v>
      </c>
      <c r="D121" s="65">
        <v>0</v>
      </c>
      <c r="E121" s="65">
        <v>0</v>
      </c>
      <c r="F121" s="65">
        <v>0</v>
      </c>
      <c r="G121" s="65">
        <v>0</v>
      </c>
      <c r="H121" s="65">
        <v>0</v>
      </c>
      <c r="I121" s="65">
        <v>0</v>
      </c>
      <c r="J121" s="65">
        <v>0</v>
      </c>
      <c r="K121" s="65">
        <v>0</v>
      </c>
      <c r="L121" s="65">
        <v>0</v>
      </c>
      <c r="M121" s="65">
        <v>0</v>
      </c>
      <c r="N121" s="65">
        <v>0</v>
      </c>
      <c r="O121" s="65">
        <v>0</v>
      </c>
      <c r="P121" s="65">
        <v>0</v>
      </c>
      <c r="Q121" s="65">
        <v>0</v>
      </c>
      <c r="R121" s="65">
        <v>0</v>
      </c>
      <c r="S121" s="65">
        <v>0</v>
      </c>
      <c r="T121" s="65">
        <v>0</v>
      </c>
      <c r="U121" s="65">
        <v>0</v>
      </c>
      <c r="V121" s="65">
        <v>0</v>
      </c>
      <c r="W121" s="65">
        <v>0</v>
      </c>
      <c r="X121" s="65">
        <v>0</v>
      </c>
      <c r="Y121" s="65">
        <v>0</v>
      </c>
      <c r="Z121" s="65">
        <v>0</v>
      </c>
    </row>
    <row r="122" spans="1:26" hidden="1" x14ac:dyDescent="0.2">
      <c r="A122" t="s">
        <v>15</v>
      </c>
      <c r="C122" s="55">
        <v>0</v>
      </c>
      <c r="D122" s="55">
        <v>0</v>
      </c>
      <c r="E122" s="55">
        <v>0</v>
      </c>
      <c r="F122" s="55">
        <v>0</v>
      </c>
      <c r="G122" s="55">
        <v>0</v>
      </c>
      <c r="H122" s="55">
        <v>0</v>
      </c>
      <c r="I122" s="55">
        <v>0</v>
      </c>
      <c r="J122" s="55">
        <v>0</v>
      </c>
      <c r="K122" s="55">
        <v>0</v>
      </c>
      <c r="L122" s="55">
        <v>0</v>
      </c>
      <c r="M122" s="55">
        <v>0</v>
      </c>
      <c r="N122" s="55">
        <v>0</v>
      </c>
      <c r="O122" s="55">
        <v>0</v>
      </c>
      <c r="P122" s="55">
        <v>0</v>
      </c>
      <c r="Q122" s="55">
        <v>0</v>
      </c>
      <c r="R122" s="55">
        <v>0</v>
      </c>
      <c r="S122" s="55">
        <v>0</v>
      </c>
      <c r="T122" s="55">
        <v>0</v>
      </c>
      <c r="U122" s="55">
        <v>0</v>
      </c>
      <c r="V122" s="55">
        <v>0</v>
      </c>
      <c r="W122" s="55">
        <v>0</v>
      </c>
      <c r="X122" s="55">
        <v>0</v>
      </c>
      <c r="Y122" s="55">
        <v>0</v>
      </c>
      <c r="Z122" s="55">
        <v>0</v>
      </c>
    </row>
    <row r="123" spans="1:26" hidden="1" x14ac:dyDescent="0.2">
      <c r="A123" t="s">
        <v>16</v>
      </c>
      <c r="C123" s="55">
        <v>0</v>
      </c>
      <c r="D123" s="55">
        <v>0</v>
      </c>
      <c r="E123" s="55">
        <v>0</v>
      </c>
      <c r="F123" s="55">
        <v>0</v>
      </c>
      <c r="G123" s="55">
        <v>0</v>
      </c>
      <c r="H123" s="55">
        <v>0</v>
      </c>
      <c r="I123" s="55">
        <v>0</v>
      </c>
      <c r="J123" s="55">
        <v>0</v>
      </c>
      <c r="K123" s="55">
        <v>0</v>
      </c>
      <c r="L123" s="55">
        <v>0</v>
      </c>
      <c r="M123" s="55">
        <v>0</v>
      </c>
      <c r="N123" s="55">
        <v>0</v>
      </c>
      <c r="O123" s="55" t="e">
        <f>+$A$104*#REF!</f>
        <v>#REF!</v>
      </c>
      <c r="P123" s="55" t="e">
        <f>+$A$104*#REF!</f>
        <v>#REF!</v>
      </c>
      <c r="Q123" s="55" t="e">
        <f>+$A$104*#REF!</f>
        <v>#REF!</v>
      </c>
      <c r="R123" s="55" t="e">
        <f>+$A$104*#REF!</f>
        <v>#REF!</v>
      </c>
      <c r="S123" s="55" t="e">
        <f>+$A$104*#REF!</f>
        <v>#REF!</v>
      </c>
      <c r="T123" s="55" t="e">
        <f>+$A$104*#REF!</f>
        <v>#REF!</v>
      </c>
      <c r="U123" s="55" t="e">
        <f>+$A$104*#REF!</f>
        <v>#REF!</v>
      </c>
      <c r="V123" s="55" t="e">
        <f>+$A$104*#REF!</f>
        <v>#REF!</v>
      </c>
      <c r="W123" s="55" t="e">
        <f>+$A$104*#REF!</f>
        <v>#REF!</v>
      </c>
      <c r="X123" s="55" t="e">
        <f>+$A$104*#REF!</f>
        <v>#REF!</v>
      </c>
      <c r="Y123" s="55" t="e">
        <f>+$A$104*#REF!</f>
        <v>#REF!</v>
      </c>
      <c r="Z123" s="55" t="e">
        <f>+$A$104*#REF!</f>
        <v>#REF!</v>
      </c>
    </row>
    <row r="124" spans="1:26" hidden="1" x14ac:dyDescent="0.2">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row>
    <row r="125" spans="1:26" hidden="1" x14ac:dyDescent="0.2">
      <c r="A125" s="14" t="s">
        <v>21</v>
      </c>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row>
    <row r="126" spans="1:26" hidden="1" x14ac:dyDescent="0.2">
      <c r="A126" s="15" t="s">
        <v>12</v>
      </c>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row>
    <row r="127" spans="1:26" hidden="1" x14ac:dyDescent="0.2">
      <c r="A127" s="26">
        <v>5671</v>
      </c>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row>
    <row r="128" spans="1:26" hidden="1" x14ac:dyDescent="0.2">
      <c r="A128" s="26" t="s">
        <v>170</v>
      </c>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row>
    <row r="129" spans="1:26" hidden="1" x14ac:dyDescent="0.2">
      <c r="A129" s="26" t="s">
        <v>171</v>
      </c>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row>
    <row r="130" spans="1:26" hidden="1" x14ac:dyDescent="0.2">
      <c r="A130" s="26" t="s">
        <v>172</v>
      </c>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row>
    <row r="131" spans="1:26" hidden="1" x14ac:dyDescent="0.2">
      <c r="A131" s="26" t="s">
        <v>173</v>
      </c>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row>
    <row r="132" spans="1:26" hidden="1" x14ac:dyDescent="0.2">
      <c r="A132" s="26" t="s">
        <v>174</v>
      </c>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row>
    <row r="133" spans="1:26" hidden="1" x14ac:dyDescent="0.2">
      <c r="A133" s="26" t="s">
        <v>175</v>
      </c>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row>
    <row r="134" spans="1:26" hidden="1" x14ac:dyDescent="0.2">
      <c r="A134" s="26" t="s">
        <v>176</v>
      </c>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row>
    <row r="135" spans="1:26" hidden="1" x14ac:dyDescent="0.2">
      <c r="A135" s="26" t="s">
        <v>177</v>
      </c>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row>
    <row r="136" spans="1:26" hidden="1" x14ac:dyDescent="0.2">
      <c r="A136" s="26" t="s">
        <v>178</v>
      </c>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row>
    <row r="137" spans="1:26" hidden="1" x14ac:dyDescent="0.2">
      <c r="A137" s="26" t="s">
        <v>179</v>
      </c>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row>
    <row r="138" spans="1:26" hidden="1" x14ac:dyDescent="0.2">
      <c r="A138" s="26" t="s">
        <v>180</v>
      </c>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row>
    <row r="139" spans="1:26" hidden="1" x14ac:dyDescent="0.2">
      <c r="A139" s="26" t="s">
        <v>181</v>
      </c>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row>
    <row r="140" spans="1:26" hidden="1" x14ac:dyDescent="0.2">
      <c r="A140" s="26" t="s">
        <v>182</v>
      </c>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row>
    <row r="141" spans="1:26" hidden="1" x14ac:dyDescent="0.2">
      <c r="A141" s="26" t="s">
        <v>183</v>
      </c>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row>
    <row r="142" spans="1:26" hidden="1" x14ac:dyDescent="0.2">
      <c r="A142" s="12"/>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row>
    <row r="143" spans="1:26" hidden="1" x14ac:dyDescent="0.2">
      <c r="C143" s="33">
        <v>45307</v>
      </c>
      <c r="D143" s="33">
        <v>45338</v>
      </c>
      <c r="E143" s="33">
        <v>45366</v>
      </c>
      <c r="F143" s="33">
        <v>45397</v>
      </c>
      <c r="G143" s="33">
        <v>45427</v>
      </c>
      <c r="H143" s="33">
        <v>45458</v>
      </c>
      <c r="I143" s="33">
        <v>45488</v>
      </c>
      <c r="J143" s="33">
        <v>45519</v>
      </c>
      <c r="K143" s="33">
        <v>45550</v>
      </c>
      <c r="L143" s="33">
        <v>45580</v>
      </c>
      <c r="M143" s="33">
        <v>45611</v>
      </c>
      <c r="N143" s="33">
        <v>45641</v>
      </c>
      <c r="O143" s="33" t="e">
        <f>+#REF!</f>
        <v>#REF!</v>
      </c>
      <c r="P143" s="33" t="e">
        <f>+#REF!</f>
        <v>#REF!</v>
      </c>
      <c r="Q143" s="33" t="e">
        <f>+#REF!</f>
        <v>#REF!</v>
      </c>
      <c r="R143" s="33" t="e">
        <f>+#REF!</f>
        <v>#REF!</v>
      </c>
      <c r="S143" s="33" t="e">
        <f>+#REF!</f>
        <v>#REF!</v>
      </c>
      <c r="T143" s="33" t="e">
        <f>+#REF!</f>
        <v>#REF!</v>
      </c>
      <c r="U143" s="33" t="e">
        <f>+#REF!</f>
        <v>#REF!</v>
      </c>
      <c r="V143" s="33" t="e">
        <f>+#REF!</f>
        <v>#REF!</v>
      </c>
      <c r="W143" s="33" t="e">
        <f>+#REF!</f>
        <v>#REF!</v>
      </c>
      <c r="X143" s="33" t="e">
        <f>+#REF!</f>
        <v>#REF!</v>
      </c>
      <c r="Y143" s="33" t="e">
        <f>+#REF!</f>
        <v>#REF!</v>
      </c>
      <c r="Z143" s="33" t="e">
        <f>+#REF!</f>
        <v>#REF!</v>
      </c>
    </row>
    <row r="144" spans="1:26" hidden="1" x14ac:dyDescent="0.2">
      <c r="A144" t="s">
        <v>9</v>
      </c>
      <c r="C144" s="12">
        <v>0</v>
      </c>
      <c r="D144" s="12">
        <v>0</v>
      </c>
      <c r="E144" s="12">
        <v>0</v>
      </c>
      <c r="F144" s="12">
        <v>0</v>
      </c>
      <c r="G144" s="12">
        <v>0</v>
      </c>
      <c r="H144" s="12">
        <v>0</v>
      </c>
      <c r="I144" s="12">
        <v>0</v>
      </c>
      <c r="J144" s="12">
        <v>0</v>
      </c>
      <c r="K144" s="12">
        <v>0</v>
      </c>
      <c r="L144" s="12">
        <v>0</v>
      </c>
      <c r="M144" s="12">
        <v>0</v>
      </c>
      <c r="N144" s="12">
        <v>0</v>
      </c>
      <c r="O144" s="12" t="e">
        <f>+#REF!</f>
        <v>#REF!</v>
      </c>
      <c r="P144" s="12" t="e">
        <f>+#REF!</f>
        <v>#REF!</v>
      </c>
      <c r="Q144" s="12" t="e">
        <f>+#REF!</f>
        <v>#REF!</v>
      </c>
      <c r="R144" s="12" t="e">
        <f>+#REF!</f>
        <v>#REF!</v>
      </c>
      <c r="S144" s="12" t="e">
        <f>+#REF!</f>
        <v>#REF!</v>
      </c>
      <c r="T144" s="12" t="e">
        <f>+#REF!</f>
        <v>#REF!</v>
      </c>
      <c r="U144" s="12" t="e">
        <f>+#REF!</f>
        <v>#REF!</v>
      </c>
      <c r="V144" s="12" t="e">
        <f>+#REF!</f>
        <v>#REF!</v>
      </c>
      <c r="W144" s="12" t="e">
        <f>+#REF!</f>
        <v>#REF!</v>
      </c>
      <c r="X144" s="12" t="e">
        <f>+#REF!</f>
        <v>#REF!</v>
      </c>
      <c r="Y144" s="12" t="e">
        <f>+#REF!</f>
        <v>#REF!</v>
      </c>
      <c r="Z144" s="12" t="e">
        <f>+#REF!</f>
        <v>#REF!</v>
      </c>
    </row>
    <row r="145" spans="1:26" hidden="1" x14ac:dyDescent="0.2">
      <c r="A145" t="s">
        <v>15</v>
      </c>
      <c r="C145" s="21">
        <v>0</v>
      </c>
      <c r="D145" s="21">
        <v>0</v>
      </c>
      <c r="E145" s="21">
        <v>0</v>
      </c>
      <c r="F145" s="21">
        <v>0</v>
      </c>
      <c r="G145" s="21">
        <v>0</v>
      </c>
      <c r="H145" s="21">
        <v>0</v>
      </c>
      <c r="I145" s="21">
        <v>0</v>
      </c>
      <c r="J145" s="21">
        <v>0</v>
      </c>
      <c r="K145" s="21">
        <v>0</v>
      </c>
      <c r="L145" s="21">
        <v>0</v>
      </c>
      <c r="M145" s="21">
        <v>0</v>
      </c>
      <c r="N145" s="21">
        <v>0</v>
      </c>
      <c r="O145" s="21" t="e">
        <f>+#REF!</f>
        <v>#REF!</v>
      </c>
      <c r="P145" s="21" t="e">
        <f>+#REF!</f>
        <v>#REF!</v>
      </c>
      <c r="Q145" s="21" t="e">
        <f>+#REF!</f>
        <v>#REF!</v>
      </c>
      <c r="R145" s="21" t="e">
        <f>+#REF!</f>
        <v>#REF!</v>
      </c>
      <c r="S145" s="21" t="e">
        <f>+#REF!</f>
        <v>#REF!</v>
      </c>
      <c r="T145" s="21" t="e">
        <f>+#REF!</f>
        <v>#REF!</v>
      </c>
      <c r="U145" s="21" t="e">
        <f>+#REF!</f>
        <v>#REF!</v>
      </c>
      <c r="V145" s="21" t="e">
        <f>+#REF!</f>
        <v>#REF!</v>
      </c>
      <c r="W145" s="21" t="e">
        <f>+#REF!</f>
        <v>#REF!</v>
      </c>
      <c r="X145" s="21" t="e">
        <f>+#REF!</f>
        <v>#REF!</v>
      </c>
      <c r="Y145" s="21" t="e">
        <f>+#REF!</f>
        <v>#REF!</v>
      </c>
      <c r="Z145" s="21" t="e">
        <f>+#REF!</f>
        <v>#REF!</v>
      </c>
    </row>
    <row r="146" spans="1:26" hidden="1" x14ac:dyDescent="0.2">
      <c r="A146" t="s">
        <v>16</v>
      </c>
      <c r="C146" s="168"/>
      <c r="D146" s="168"/>
      <c r="E146" s="168"/>
      <c r="F146" s="168"/>
      <c r="G146" s="168"/>
      <c r="H146" s="168"/>
      <c r="I146" s="168"/>
      <c r="J146" s="168"/>
      <c r="K146" s="168"/>
      <c r="L146" s="168"/>
      <c r="M146" s="168"/>
      <c r="N146" s="168"/>
      <c r="O146" s="168"/>
      <c r="P146" s="168"/>
      <c r="Q146" s="168"/>
      <c r="R146" s="168"/>
      <c r="S146" s="168"/>
      <c r="T146" s="168"/>
      <c r="U146" s="168"/>
      <c r="V146" s="168"/>
      <c r="W146" s="168"/>
      <c r="X146" s="168"/>
      <c r="Y146" s="168"/>
      <c r="Z146" s="168"/>
    </row>
    <row r="147" spans="1:26" hidden="1" x14ac:dyDescent="0.2">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row>
    <row r="148" spans="1:26" hidden="1" x14ac:dyDescent="0.2">
      <c r="A148" s="14" t="s">
        <v>22</v>
      </c>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row>
    <row r="149" spans="1:26" hidden="1" x14ac:dyDescent="0.2">
      <c r="A149" s="15" t="s">
        <v>12</v>
      </c>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row>
    <row r="150" spans="1:26" hidden="1" x14ac:dyDescent="0.2">
      <c r="A150" s="25">
        <v>415</v>
      </c>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row>
    <row r="151" spans="1:26" hidden="1" x14ac:dyDescent="0.2">
      <c r="A151" s="26" t="s">
        <v>170</v>
      </c>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row>
    <row r="152" spans="1:26" hidden="1" x14ac:dyDescent="0.2">
      <c r="A152" s="26" t="s">
        <v>171</v>
      </c>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row>
    <row r="153" spans="1:26" hidden="1" x14ac:dyDescent="0.2">
      <c r="A153" s="26" t="s">
        <v>172</v>
      </c>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row>
    <row r="154" spans="1:26" hidden="1" x14ac:dyDescent="0.2">
      <c r="A154" s="26" t="s">
        <v>173</v>
      </c>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row>
    <row r="155" spans="1:26" hidden="1" x14ac:dyDescent="0.2">
      <c r="A155" s="26" t="s">
        <v>174</v>
      </c>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row>
    <row r="156" spans="1:26" hidden="1" x14ac:dyDescent="0.2">
      <c r="A156" s="26" t="s">
        <v>175</v>
      </c>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row>
    <row r="157" spans="1:26" hidden="1" x14ac:dyDescent="0.2">
      <c r="A157" s="26" t="s">
        <v>176</v>
      </c>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row>
    <row r="158" spans="1:26" hidden="1" x14ac:dyDescent="0.2">
      <c r="A158" s="26" t="s">
        <v>177</v>
      </c>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row>
    <row r="159" spans="1:26" hidden="1" x14ac:dyDescent="0.2">
      <c r="A159" s="26" t="s">
        <v>178</v>
      </c>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row>
    <row r="160" spans="1:26" hidden="1" x14ac:dyDescent="0.2">
      <c r="A160" s="26" t="s">
        <v>179</v>
      </c>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row>
    <row r="161" spans="1:26" hidden="1" x14ac:dyDescent="0.2">
      <c r="A161" s="26" t="s">
        <v>180</v>
      </c>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row>
    <row r="162" spans="1:26" hidden="1" x14ac:dyDescent="0.2">
      <c r="A162" s="26" t="s">
        <v>181</v>
      </c>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row>
    <row r="163" spans="1:26" hidden="1" x14ac:dyDescent="0.2">
      <c r="A163" s="26" t="s">
        <v>182</v>
      </c>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row>
    <row r="164" spans="1:26" hidden="1" x14ac:dyDescent="0.2">
      <c r="A164" s="26" t="s">
        <v>183</v>
      </c>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row>
    <row r="165" spans="1:26" hidden="1" x14ac:dyDescent="0.2">
      <c r="A165" s="26"/>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row>
    <row r="166" spans="1:26" hidden="1" x14ac:dyDescent="0.2">
      <c r="A166" s="12"/>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row>
    <row r="167" spans="1:26" hidden="1" x14ac:dyDescent="0.2">
      <c r="C167" s="33">
        <v>45307</v>
      </c>
      <c r="D167" s="33">
        <v>45338</v>
      </c>
      <c r="E167" s="33">
        <v>45366</v>
      </c>
      <c r="F167" s="33">
        <v>45397</v>
      </c>
      <c r="G167" s="33">
        <v>45427</v>
      </c>
      <c r="H167" s="33">
        <v>45458</v>
      </c>
      <c r="I167" s="33">
        <v>45488</v>
      </c>
      <c r="J167" s="33">
        <v>45519</v>
      </c>
      <c r="K167" s="33">
        <v>45550</v>
      </c>
      <c r="L167" s="33">
        <v>45580</v>
      </c>
      <c r="M167" s="33">
        <v>45611</v>
      </c>
      <c r="N167" s="33">
        <v>45641</v>
      </c>
      <c r="O167" s="33" t="e">
        <f>+#REF!</f>
        <v>#REF!</v>
      </c>
      <c r="P167" s="33" t="e">
        <f>+#REF!</f>
        <v>#REF!</v>
      </c>
      <c r="Q167" s="33" t="e">
        <f>+#REF!</f>
        <v>#REF!</v>
      </c>
      <c r="R167" s="33" t="e">
        <f>+#REF!</f>
        <v>#REF!</v>
      </c>
      <c r="S167" s="33" t="e">
        <f>+#REF!</f>
        <v>#REF!</v>
      </c>
      <c r="T167" s="33" t="e">
        <f>+#REF!</f>
        <v>#REF!</v>
      </c>
      <c r="U167" s="33" t="e">
        <f>+#REF!</f>
        <v>#REF!</v>
      </c>
      <c r="V167" s="33" t="e">
        <f>+#REF!</f>
        <v>#REF!</v>
      </c>
      <c r="W167" s="33" t="e">
        <f>+#REF!</f>
        <v>#REF!</v>
      </c>
      <c r="X167" s="33" t="e">
        <f>+#REF!</f>
        <v>#REF!</v>
      </c>
      <c r="Y167" s="33" t="e">
        <f>+#REF!</f>
        <v>#REF!</v>
      </c>
      <c r="Z167" s="33" t="e">
        <f>+#REF!</f>
        <v>#REF!</v>
      </c>
    </row>
    <row r="168" spans="1:26" hidden="1" x14ac:dyDescent="0.2">
      <c r="A168" t="s">
        <v>9</v>
      </c>
      <c r="C168" s="65">
        <v>0</v>
      </c>
      <c r="D168" s="65">
        <v>0</v>
      </c>
      <c r="E168" s="65">
        <v>0</v>
      </c>
      <c r="F168" s="65">
        <v>0</v>
      </c>
      <c r="G168" s="65">
        <v>0</v>
      </c>
      <c r="H168" s="65">
        <v>0</v>
      </c>
      <c r="I168" s="65">
        <v>0</v>
      </c>
      <c r="J168" s="65">
        <v>0</v>
      </c>
      <c r="K168" s="65">
        <v>0</v>
      </c>
      <c r="L168" s="65">
        <v>0</v>
      </c>
      <c r="M168" s="65">
        <v>0</v>
      </c>
      <c r="N168" s="65">
        <v>0</v>
      </c>
      <c r="O168" s="65">
        <v>0</v>
      </c>
      <c r="P168" s="65">
        <v>0</v>
      </c>
      <c r="Q168" s="65">
        <v>0</v>
      </c>
      <c r="R168" s="65">
        <v>0</v>
      </c>
      <c r="S168" s="65">
        <v>0</v>
      </c>
      <c r="T168" s="65">
        <v>0</v>
      </c>
      <c r="U168" s="65">
        <v>0</v>
      </c>
      <c r="V168" s="65">
        <v>0</v>
      </c>
      <c r="W168" s="65">
        <v>0</v>
      </c>
      <c r="X168" s="65">
        <v>0</v>
      </c>
      <c r="Y168" s="65">
        <v>0</v>
      </c>
      <c r="Z168" s="65">
        <v>0</v>
      </c>
    </row>
    <row r="169" spans="1:26" hidden="1" x14ac:dyDescent="0.2">
      <c r="A169" t="s">
        <v>15</v>
      </c>
      <c r="C169" s="55">
        <v>0</v>
      </c>
      <c r="D169" s="55">
        <v>0</v>
      </c>
      <c r="E169" s="55">
        <v>0</v>
      </c>
      <c r="F169" s="55">
        <v>0</v>
      </c>
      <c r="G169" s="55">
        <v>0</v>
      </c>
      <c r="H169" s="55">
        <v>0</v>
      </c>
      <c r="I169" s="55">
        <v>0</v>
      </c>
      <c r="J169" s="55">
        <v>0</v>
      </c>
      <c r="K169" s="55">
        <v>0</v>
      </c>
      <c r="L169" s="55">
        <v>0</v>
      </c>
      <c r="M169" s="55">
        <v>0</v>
      </c>
      <c r="N169" s="55">
        <v>0</v>
      </c>
      <c r="O169" s="55">
        <v>0</v>
      </c>
      <c r="P169" s="55">
        <v>0</v>
      </c>
      <c r="Q169" s="55">
        <v>0</v>
      </c>
      <c r="R169" s="55">
        <v>0</v>
      </c>
      <c r="S169" s="55">
        <v>0</v>
      </c>
      <c r="T169" s="55">
        <v>0</v>
      </c>
      <c r="U169" s="55">
        <v>0</v>
      </c>
      <c r="V169" s="55">
        <v>0</v>
      </c>
      <c r="W169" s="55">
        <v>0</v>
      </c>
      <c r="X169" s="55">
        <v>0</v>
      </c>
      <c r="Y169" s="55">
        <v>0</v>
      </c>
      <c r="Z169" s="55">
        <v>0</v>
      </c>
    </row>
    <row r="170" spans="1:26" hidden="1" x14ac:dyDescent="0.2">
      <c r="A170" t="s">
        <v>16</v>
      </c>
      <c r="C170" s="55">
        <v>0</v>
      </c>
      <c r="D170" s="55">
        <v>0</v>
      </c>
      <c r="E170" s="55">
        <v>0</v>
      </c>
      <c r="F170" s="55">
        <v>0</v>
      </c>
      <c r="G170" s="55">
        <v>0</v>
      </c>
      <c r="H170" s="55">
        <v>0</v>
      </c>
      <c r="I170" s="55">
        <v>0</v>
      </c>
      <c r="J170" s="55">
        <v>0</v>
      </c>
      <c r="K170" s="55">
        <v>0</v>
      </c>
      <c r="L170" s="55">
        <v>0</v>
      </c>
      <c r="M170" s="55">
        <v>0</v>
      </c>
      <c r="N170" s="55">
        <v>0</v>
      </c>
      <c r="O170" s="55" t="e">
        <f>+$A$150*#REF!</f>
        <v>#REF!</v>
      </c>
      <c r="P170" s="55" t="e">
        <f>+$A$150*#REF!</f>
        <v>#REF!</v>
      </c>
      <c r="Q170" s="55" t="e">
        <f>+$A$150*#REF!</f>
        <v>#REF!</v>
      </c>
      <c r="R170" s="55" t="e">
        <f>+$A$150*#REF!</f>
        <v>#REF!</v>
      </c>
      <c r="S170" s="55" t="e">
        <f>+$A$150*#REF!</f>
        <v>#REF!</v>
      </c>
      <c r="T170" s="55" t="e">
        <f>+$A$150*#REF!</f>
        <v>#REF!</v>
      </c>
      <c r="U170" s="55" t="e">
        <f>+$A$150*#REF!</f>
        <v>#REF!</v>
      </c>
      <c r="V170" s="55" t="e">
        <f>+$A$150*#REF!</f>
        <v>#REF!</v>
      </c>
      <c r="W170" s="55" t="e">
        <f>+$A$150*#REF!</f>
        <v>#REF!</v>
      </c>
      <c r="X170" s="55" t="e">
        <f>+$A$150*#REF!</f>
        <v>#REF!</v>
      </c>
      <c r="Y170" s="55" t="e">
        <f>+$A$150*#REF!</f>
        <v>#REF!</v>
      </c>
      <c r="Z170" s="55" t="e">
        <f>+$A$150*#REF!</f>
        <v>#REF!</v>
      </c>
    </row>
    <row r="171" spans="1:26" s="119" customFormat="1" hidden="1" x14ac:dyDescent="0.2">
      <c r="A171"/>
      <c r="B171"/>
    </row>
    <row r="172" spans="1:26" s="119" customFormat="1" x14ac:dyDescent="0.2">
      <c r="A172"/>
      <c r="B172"/>
    </row>
    <row r="173" spans="1:26" s="119" customFormat="1" x14ac:dyDescent="0.2">
      <c r="A173" s="14" t="s">
        <v>274</v>
      </c>
      <c r="B173"/>
    </row>
    <row r="174" spans="1:26" s="119" customFormat="1" x14ac:dyDescent="0.2">
      <c r="A174"/>
      <c r="B174" s="98"/>
    </row>
    <row r="175" spans="1:26" s="119" customFormat="1" x14ac:dyDescent="0.2">
      <c r="A175"/>
      <c r="B175"/>
      <c r="C175" s="182">
        <v>45307</v>
      </c>
      <c r="D175" s="182">
        <v>45338</v>
      </c>
      <c r="E175" s="182">
        <v>45366</v>
      </c>
      <c r="F175" s="182">
        <v>45397</v>
      </c>
      <c r="G175" s="182">
        <v>45427</v>
      </c>
      <c r="H175" s="182">
        <v>45458</v>
      </c>
      <c r="I175" s="182">
        <v>45488</v>
      </c>
      <c r="J175" s="182">
        <v>45519</v>
      </c>
      <c r="K175" s="182">
        <v>45550</v>
      </c>
      <c r="L175" s="182">
        <v>45580</v>
      </c>
      <c r="M175" s="182">
        <v>45611</v>
      </c>
      <c r="N175" s="182">
        <v>45641</v>
      </c>
      <c r="O175" s="182">
        <f>O2</f>
        <v>45673</v>
      </c>
      <c r="P175" s="182">
        <f t="shared" ref="P175:Z175" si="72">P2</f>
        <v>45704</v>
      </c>
      <c r="Q175" s="182">
        <f t="shared" si="72"/>
        <v>45732</v>
      </c>
      <c r="R175" s="182">
        <f t="shared" si="72"/>
        <v>45763</v>
      </c>
      <c r="S175" s="182">
        <f t="shared" si="72"/>
        <v>45793</v>
      </c>
      <c r="T175" s="182">
        <f t="shared" si="72"/>
        <v>45824</v>
      </c>
      <c r="U175" s="182">
        <f t="shared" si="72"/>
        <v>45854</v>
      </c>
      <c r="V175" s="182">
        <f t="shared" si="72"/>
        <v>45885</v>
      </c>
      <c r="W175" s="182">
        <f t="shared" si="72"/>
        <v>45916</v>
      </c>
      <c r="X175" s="182">
        <f t="shared" si="72"/>
        <v>45946</v>
      </c>
      <c r="Y175" s="182">
        <f t="shared" si="72"/>
        <v>45977</v>
      </c>
      <c r="Z175" s="182">
        <f t="shared" si="72"/>
        <v>46007</v>
      </c>
    </row>
    <row r="176" spans="1:26" x14ac:dyDescent="0.2">
      <c r="A176" s="54" t="s">
        <v>321</v>
      </c>
      <c r="C176" s="99">
        <v>20</v>
      </c>
      <c r="D176" s="99">
        <v>20</v>
      </c>
      <c r="E176" s="99">
        <v>20</v>
      </c>
      <c r="F176" s="99">
        <v>20</v>
      </c>
      <c r="G176" s="99">
        <v>20</v>
      </c>
      <c r="H176" s="99">
        <v>20</v>
      </c>
      <c r="I176" s="99">
        <v>20</v>
      </c>
      <c r="J176" s="99">
        <v>20</v>
      </c>
      <c r="K176" s="99">
        <v>20</v>
      </c>
      <c r="L176" s="99">
        <v>20</v>
      </c>
      <c r="M176" s="99">
        <v>20</v>
      </c>
      <c r="N176" s="99">
        <v>20</v>
      </c>
      <c r="O176" s="99">
        <v>20</v>
      </c>
      <c r="P176" s="99">
        <v>20</v>
      </c>
      <c r="Q176" s="99">
        <v>20</v>
      </c>
      <c r="R176" s="99">
        <v>20</v>
      </c>
      <c r="S176" s="99">
        <v>20</v>
      </c>
      <c r="T176" s="99">
        <v>20</v>
      </c>
      <c r="U176" s="99">
        <v>20</v>
      </c>
      <c r="V176" s="99">
        <v>20</v>
      </c>
      <c r="W176" s="99">
        <v>20</v>
      </c>
      <c r="X176" s="99">
        <v>20</v>
      </c>
      <c r="Y176" s="99">
        <v>20</v>
      </c>
      <c r="Z176" s="99">
        <v>20</v>
      </c>
    </row>
    <row r="177" spans="1:26" x14ac:dyDescent="0.2">
      <c r="A177" s="54" t="s">
        <v>564</v>
      </c>
      <c r="C177" s="99">
        <v>2</v>
      </c>
      <c r="D177" s="99">
        <v>2</v>
      </c>
      <c r="E177" s="99">
        <v>2</v>
      </c>
      <c r="F177" s="99">
        <v>2</v>
      </c>
      <c r="G177" s="99">
        <v>2</v>
      </c>
      <c r="H177" s="99">
        <v>2</v>
      </c>
      <c r="I177" s="99">
        <v>2</v>
      </c>
      <c r="J177" s="99">
        <v>2</v>
      </c>
      <c r="K177" s="99">
        <v>2</v>
      </c>
      <c r="L177" s="99">
        <v>2</v>
      </c>
      <c r="M177" s="99">
        <v>2</v>
      </c>
      <c r="N177" s="99">
        <v>2</v>
      </c>
      <c r="O177" s="99">
        <f t="shared" ref="O177:Z177" si="73">N177</f>
        <v>2</v>
      </c>
      <c r="P177" s="99">
        <f t="shared" si="73"/>
        <v>2</v>
      </c>
      <c r="Q177" s="99">
        <f t="shared" si="73"/>
        <v>2</v>
      </c>
      <c r="R177" s="99">
        <f t="shared" si="73"/>
        <v>2</v>
      </c>
      <c r="S177" s="99">
        <f t="shared" si="73"/>
        <v>2</v>
      </c>
      <c r="T177" s="99">
        <f t="shared" si="73"/>
        <v>2</v>
      </c>
      <c r="U177" s="99">
        <f t="shared" si="73"/>
        <v>2</v>
      </c>
      <c r="V177" s="99">
        <f t="shared" si="73"/>
        <v>2</v>
      </c>
      <c r="W177" s="99">
        <f t="shared" si="73"/>
        <v>2</v>
      </c>
      <c r="X177" s="99">
        <f t="shared" si="73"/>
        <v>2</v>
      </c>
      <c r="Y177" s="99">
        <f t="shared" si="73"/>
        <v>2</v>
      </c>
      <c r="Z177" s="99">
        <f t="shared" si="73"/>
        <v>2</v>
      </c>
    </row>
    <row r="178" spans="1:26" x14ac:dyDescent="0.2">
      <c r="A178" s="54" t="s">
        <v>318</v>
      </c>
      <c r="C178" s="12">
        <v>9920</v>
      </c>
      <c r="D178" s="12">
        <v>9280</v>
      </c>
      <c r="E178" s="12">
        <v>9920</v>
      </c>
      <c r="F178" s="12">
        <v>9600</v>
      </c>
      <c r="G178" s="12">
        <v>9920</v>
      </c>
      <c r="H178" s="12">
        <v>9600</v>
      </c>
      <c r="I178" s="12">
        <v>9920</v>
      </c>
      <c r="J178" s="12">
        <v>9920</v>
      </c>
      <c r="K178" s="12">
        <v>9600</v>
      </c>
      <c r="L178" s="12">
        <v>9920</v>
      </c>
      <c r="M178" s="12">
        <v>9600</v>
      </c>
      <c r="N178" s="12">
        <v>9920</v>
      </c>
      <c r="O178" s="12">
        <f t="shared" ref="O178:Z178" si="74">+O176*(O37+O34)</f>
        <v>9920</v>
      </c>
      <c r="P178" s="12">
        <f t="shared" si="74"/>
        <v>8960</v>
      </c>
      <c r="Q178" s="12">
        <f t="shared" si="74"/>
        <v>9920</v>
      </c>
      <c r="R178" s="12">
        <f t="shared" si="74"/>
        <v>9600</v>
      </c>
      <c r="S178" s="12">
        <f t="shared" si="74"/>
        <v>9920</v>
      </c>
      <c r="T178" s="12">
        <f t="shared" si="74"/>
        <v>9600</v>
      </c>
      <c r="U178" s="12">
        <f t="shared" si="74"/>
        <v>9920</v>
      </c>
      <c r="V178" s="12">
        <f t="shared" si="74"/>
        <v>9920</v>
      </c>
      <c r="W178" s="12">
        <f t="shared" si="74"/>
        <v>9600</v>
      </c>
      <c r="X178" s="12">
        <f t="shared" si="74"/>
        <v>9920</v>
      </c>
      <c r="Y178" s="12">
        <f t="shared" si="74"/>
        <v>9600</v>
      </c>
      <c r="Z178" s="12">
        <f t="shared" si="74"/>
        <v>9920</v>
      </c>
    </row>
    <row r="179" spans="1:26" x14ac:dyDescent="0.2">
      <c r="A179" s="54" t="s">
        <v>320</v>
      </c>
      <c r="C179" s="117">
        <v>992</v>
      </c>
      <c r="D179" s="117">
        <v>928</v>
      </c>
      <c r="E179" s="117">
        <v>992</v>
      </c>
      <c r="F179" s="117">
        <v>960</v>
      </c>
      <c r="G179" s="117">
        <v>992</v>
      </c>
      <c r="H179" s="117">
        <v>960</v>
      </c>
      <c r="I179" s="117">
        <v>992</v>
      </c>
      <c r="J179" s="117">
        <v>992</v>
      </c>
      <c r="K179" s="117">
        <v>960</v>
      </c>
      <c r="L179" s="117">
        <v>992</v>
      </c>
      <c r="M179" s="117">
        <v>960</v>
      </c>
      <c r="N179" s="117">
        <v>992</v>
      </c>
      <c r="O179" s="117">
        <f t="shared" ref="O179:Z179" si="75">O177*16*(SUM(O38:O39))</f>
        <v>992</v>
      </c>
      <c r="P179" s="117">
        <f t="shared" si="75"/>
        <v>896</v>
      </c>
      <c r="Q179" s="117">
        <f t="shared" si="75"/>
        <v>992</v>
      </c>
      <c r="R179" s="117">
        <f t="shared" si="75"/>
        <v>960</v>
      </c>
      <c r="S179" s="117">
        <f t="shared" si="75"/>
        <v>992</v>
      </c>
      <c r="T179" s="117">
        <f t="shared" si="75"/>
        <v>960</v>
      </c>
      <c r="U179" s="117">
        <f t="shared" si="75"/>
        <v>992</v>
      </c>
      <c r="V179" s="117">
        <f t="shared" si="75"/>
        <v>992</v>
      </c>
      <c r="W179" s="117">
        <f t="shared" si="75"/>
        <v>960</v>
      </c>
      <c r="X179" s="117">
        <f t="shared" si="75"/>
        <v>992</v>
      </c>
      <c r="Y179" s="117">
        <f t="shared" si="75"/>
        <v>960</v>
      </c>
      <c r="Z179" s="117">
        <f t="shared" si="75"/>
        <v>992</v>
      </c>
    </row>
    <row r="180" spans="1:26" x14ac:dyDescent="0.2">
      <c r="A180" t="s">
        <v>275</v>
      </c>
      <c r="C180" s="44">
        <v>69.77</v>
      </c>
      <c r="D180" s="44">
        <v>69.77</v>
      </c>
      <c r="E180" s="44">
        <v>69.77</v>
      </c>
      <c r="F180" s="44">
        <v>69.77</v>
      </c>
      <c r="G180" s="44">
        <v>69.77</v>
      </c>
      <c r="H180" s="44">
        <v>69.77</v>
      </c>
      <c r="I180" s="44">
        <v>69.77</v>
      </c>
      <c r="J180" s="44">
        <v>69.77</v>
      </c>
      <c r="K180" s="44">
        <v>69.77</v>
      </c>
      <c r="L180" s="44">
        <v>69.77</v>
      </c>
      <c r="M180" s="233">
        <v>67.2</v>
      </c>
      <c r="N180" s="44">
        <v>67.2</v>
      </c>
      <c r="O180" s="44">
        <f t="shared" ref="O180" si="76">+N180</f>
        <v>67.2</v>
      </c>
      <c r="P180" s="44">
        <f t="shared" ref="P180" si="77">+O180</f>
        <v>67.2</v>
      </c>
      <c r="Q180" s="44">
        <f t="shared" ref="Q180" si="78">+P180</f>
        <v>67.2</v>
      </c>
      <c r="R180" s="44">
        <f t="shared" ref="R180" si="79">+Q180</f>
        <v>67.2</v>
      </c>
      <c r="S180" s="44">
        <f t="shared" ref="S180" si="80">+R180</f>
        <v>67.2</v>
      </c>
      <c r="T180" s="44">
        <f t="shared" ref="T180" si="81">+S180</f>
        <v>67.2</v>
      </c>
      <c r="U180" s="44">
        <f t="shared" ref="U180" si="82">+T180</f>
        <v>67.2</v>
      </c>
      <c r="V180" s="44">
        <f t="shared" ref="V180" si="83">+U180</f>
        <v>67.2</v>
      </c>
      <c r="W180" s="44">
        <f t="shared" ref="W180" si="84">+V180</f>
        <v>67.2</v>
      </c>
      <c r="X180" s="44">
        <f t="shared" ref="X180" si="85">+W180</f>
        <v>67.2</v>
      </c>
      <c r="Y180" s="210">
        <f>+M180*1.03</f>
        <v>69.216000000000008</v>
      </c>
      <c r="Z180" s="44">
        <f t="shared" ref="Z180" si="86">+Y180</f>
        <v>69.216000000000008</v>
      </c>
    </row>
    <row r="181" spans="1:26" x14ac:dyDescent="0.2">
      <c r="A181" s="109" t="s">
        <v>322</v>
      </c>
      <c r="C181" s="21">
        <v>692118.39999999991</v>
      </c>
      <c r="D181" s="21">
        <v>647465.6</v>
      </c>
      <c r="E181" s="21">
        <v>692118.39999999991</v>
      </c>
      <c r="F181" s="21">
        <v>669792</v>
      </c>
      <c r="G181" s="21">
        <v>692118.39999999991</v>
      </c>
      <c r="H181" s="21">
        <v>669792</v>
      </c>
      <c r="I181" s="21">
        <v>692118.39999999991</v>
      </c>
      <c r="J181" s="21">
        <v>692118.39999999991</v>
      </c>
      <c r="K181" s="21">
        <v>669792</v>
      </c>
      <c r="L181" s="21">
        <v>692118.39999999991</v>
      </c>
      <c r="M181" s="21">
        <v>645120</v>
      </c>
      <c r="N181" s="21">
        <v>666624</v>
      </c>
      <c r="O181" s="21">
        <f t="shared" ref="O181:Z181" si="87">+O180*O178</f>
        <v>666624</v>
      </c>
      <c r="P181" s="21">
        <f t="shared" si="87"/>
        <v>602112</v>
      </c>
      <c r="Q181" s="21">
        <f t="shared" si="87"/>
        <v>666624</v>
      </c>
      <c r="R181" s="21">
        <f t="shared" si="87"/>
        <v>645120</v>
      </c>
      <c r="S181" s="21">
        <f t="shared" si="87"/>
        <v>666624</v>
      </c>
      <c r="T181" s="21">
        <f t="shared" si="87"/>
        <v>645120</v>
      </c>
      <c r="U181" s="21">
        <f t="shared" si="87"/>
        <v>666624</v>
      </c>
      <c r="V181" s="21">
        <f t="shared" si="87"/>
        <v>666624</v>
      </c>
      <c r="W181" s="21">
        <f t="shared" si="87"/>
        <v>645120</v>
      </c>
      <c r="X181" s="21">
        <f t="shared" si="87"/>
        <v>666624</v>
      </c>
      <c r="Y181" s="21">
        <f t="shared" si="87"/>
        <v>664473.60000000009</v>
      </c>
      <c r="Z181" s="21">
        <f t="shared" si="87"/>
        <v>686622.72000000009</v>
      </c>
    </row>
    <row r="182" spans="1:26" x14ac:dyDescent="0.2">
      <c r="A182" s="109" t="s">
        <v>323</v>
      </c>
      <c r="C182" s="21">
        <v>69211.839999999997</v>
      </c>
      <c r="D182" s="21">
        <v>64746.559999999998</v>
      </c>
      <c r="E182" s="21">
        <v>69211.839999999997</v>
      </c>
      <c r="F182" s="21">
        <v>66979.199999999997</v>
      </c>
      <c r="G182" s="21">
        <v>69211.839999999997</v>
      </c>
      <c r="H182" s="21">
        <v>66979.199999999997</v>
      </c>
      <c r="I182" s="21">
        <v>69211.839999999997</v>
      </c>
      <c r="J182" s="21">
        <v>69211.839999999997</v>
      </c>
      <c r="K182" s="21">
        <v>66979.199999999997</v>
      </c>
      <c r="L182" s="21">
        <v>69211.839999999997</v>
      </c>
      <c r="M182" s="21">
        <v>64512</v>
      </c>
      <c r="N182" s="21">
        <v>66662.400000000009</v>
      </c>
      <c r="O182" s="21">
        <f t="shared" ref="O182:Z182" si="88">+O180*O179</f>
        <v>66662.400000000009</v>
      </c>
      <c r="P182" s="21">
        <f t="shared" si="88"/>
        <v>60211.200000000004</v>
      </c>
      <c r="Q182" s="21">
        <f t="shared" si="88"/>
        <v>66662.400000000009</v>
      </c>
      <c r="R182" s="21">
        <f t="shared" si="88"/>
        <v>64512</v>
      </c>
      <c r="S182" s="21">
        <f t="shared" si="88"/>
        <v>66662.400000000009</v>
      </c>
      <c r="T182" s="21">
        <f t="shared" si="88"/>
        <v>64512</v>
      </c>
      <c r="U182" s="21">
        <f t="shared" si="88"/>
        <v>66662.400000000009</v>
      </c>
      <c r="V182" s="21">
        <f t="shared" si="88"/>
        <v>66662.400000000009</v>
      </c>
      <c r="W182" s="21">
        <f t="shared" si="88"/>
        <v>64512</v>
      </c>
      <c r="X182" s="21">
        <f t="shared" si="88"/>
        <v>66662.400000000009</v>
      </c>
      <c r="Y182" s="21">
        <f t="shared" si="88"/>
        <v>66447.360000000015</v>
      </c>
      <c r="Z182" s="21">
        <f t="shared" si="88"/>
        <v>68662.272000000012</v>
      </c>
    </row>
    <row r="183" spans="1:26" x14ac:dyDescent="0.2">
      <c r="A183" s="54" t="s">
        <v>319</v>
      </c>
      <c r="C183" s="21">
        <v>761330.23999999987</v>
      </c>
      <c r="D183" s="21">
        <v>712212.15999999992</v>
      </c>
      <c r="E183" s="21">
        <v>761330.23999999987</v>
      </c>
      <c r="F183" s="21">
        <v>736771.2</v>
      </c>
      <c r="G183" s="21">
        <v>761330.23999999987</v>
      </c>
      <c r="H183" s="21">
        <v>736771.2</v>
      </c>
      <c r="I183" s="21">
        <v>761330.23999999987</v>
      </c>
      <c r="J183" s="21">
        <v>761330.23999999987</v>
      </c>
      <c r="K183" s="21">
        <v>736771.2</v>
      </c>
      <c r="L183" s="21">
        <v>761330.23999999987</v>
      </c>
      <c r="M183" s="21">
        <v>709632</v>
      </c>
      <c r="N183" s="21">
        <v>733286.40000000002</v>
      </c>
      <c r="O183" s="21">
        <f t="shared" ref="O183:Z183" si="89">+O182+O181</f>
        <v>733286.40000000002</v>
      </c>
      <c r="P183" s="21">
        <f t="shared" si="89"/>
        <v>662323.19999999995</v>
      </c>
      <c r="Q183" s="21">
        <f t="shared" si="89"/>
        <v>733286.40000000002</v>
      </c>
      <c r="R183" s="21">
        <f t="shared" si="89"/>
        <v>709632</v>
      </c>
      <c r="S183" s="21">
        <f t="shared" si="89"/>
        <v>733286.40000000002</v>
      </c>
      <c r="T183" s="21">
        <f t="shared" si="89"/>
        <v>709632</v>
      </c>
      <c r="U183" s="21">
        <f t="shared" si="89"/>
        <v>733286.40000000002</v>
      </c>
      <c r="V183" s="21">
        <f t="shared" si="89"/>
        <v>733286.40000000002</v>
      </c>
      <c r="W183" s="21">
        <f t="shared" si="89"/>
        <v>709632</v>
      </c>
      <c r="X183" s="21">
        <f t="shared" si="89"/>
        <v>733286.40000000002</v>
      </c>
      <c r="Y183" s="21">
        <f t="shared" si="89"/>
        <v>730920.96000000008</v>
      </c>
      <c r="Z183" s="21">
        <f t="shared" si="89"/>
        <v>755284.99200000009</v>
      </c>
    </row>
    <row r="186" spans="1:26" x14ac:dyDescent="0.2">
      <c r="A186" s="14" t="s">
        <v>32</v>
      </c>
    </row>
    <row r="188" spans="1:26" x14ac:dyDescent="0.2">
      <c r="C188" s="182">
        <v>45307</v>
      </c>
      <c r="D188" s="182">
        <v>45338</v>
      </c>
      <c r="E188" s="182">
        <v>45366</v>
      </c>
      <c r="F188" s="182">
        <v>45397</v>
      </c>
      <c r="G188" s="182">
        <v>45427</v>
      </c>
      <c r="H188" s="182">
        <v>45458</v>
      </c>
      <c r="I188" s="182">
        <v>45488</v>
      </c>
      <c r="J188" s="182">
        <v>45519</v>
      </c>
      <c r="K188" s="182">
        <v>45550</v>
      </c>
      <c r="L188" s="182">
        <v>45580</v>
      </c>
      <c r="M188" s="182">
        <v>45611</v>
      </c>
      <c r="N188" s="182">
        <v>45641</v>
      </c>
      <c r="O188" s="182">
        <f>O2</f>
        <v>45673</v>
      </c>
      <c r="P188" s="182">
        <f t="shared" ref="P188:Z188" si="90">P2</f>
        <v>45704</v>
      </c>
      <c r="Q188" s="182">
        <f t="shared" si="90"/>
        <v>45732</v>
      </c>
      <c r="R188" s="182">
        <f t="shared" si="90"/>
        <v>45763</v>
      </c>
      <c r="S188" s="182">
        <f t="shared" si="90"/>
        <v>45793</v>
      </c>
      <c r="T188" s="182">
        <f t="shared" si="90"/>
        <v>45824</v>
      </c>
      <c r="U188" s="182">
        <f t="shared" si="90"/>
        <v>45854</v>
      </c>
      <c r="V188" s="182">
        <f t="shared" si="90"/>
        <v>45885</v>
      </c>
      <c r="W188" s="182">
        <f t="shared" si="90"/>
        <v>45916</v>
      </c>
      <c r="X188" s="182">
        <f t="shared" si="90"/>
        <v>45946</v>
      </c>
      <c r="Y188" s="182">
        <f t="shared" si="90"/>
        <v>45977</v>
      </c>
      <c r="Z188" s="182">
        <f t="shared" si="90"/>
        <v>46007</v>
      </c>
    </row>
    <row r="189" spans="1:26" x14ac:dyDescent="0.2">
      <c r="A189" t="s">
        <v>53</v>
      </c>
      <c r="C189" s="123">
        <v>0.63368011822921377</v>
      </c>
      <c r="D189" s="123">
        <v>0.44815502979853722</v>
      </c>
      <c r="E189" s="123">
        <v>0.63114707255045877</v>
      </c>
      <c r="F189" s="123">
        <v>0.49647355432049162</v>
      </c>
      <c r="G189" s="123">
        <v>0.63107669915148212</v>
      </c>
      <c r="H189" s="123">
        <v>0.64662935873895111</v>
      </c>
      <c r="I189" s="123">
        <v>0.50453587709622105</v>
      </c>
      <c r="J189" s="123">
        <v>0.57063732945378998</v>
      </c>
      <c r="K189" s="123">
        <v>0.55160642359874001</v>
      </c>
      <c r="L189" s="123">
        <v>0.51204908451011066</v>
      </c>
      <c r="M189" s="123">
        <v>0.52116849707236668</v>
      </c>
      <c r="N189" s="123">
        <v>0.54437563605865447</v>
      </c>
      <c r="O189" s="217">
        <v>0.44745320186202081</v>
      </c>
      <c r="P189" s="217">
        <v>0.54060805514694066</v>
      </c>
      <c r="Q189" s="217">
        <v>0.49625040805659304</v>
      </c>
      <c r="R189" s="217">
        <v>0.54289499597957624</v>
      </c>
      <c r="S189" s="217">
        <v>0.52244193753879387</v>
      </c>
      <c r="T189" s="217">
        <v>0.47787626617578127</v>
      </c>
      <c r="U189" s="217">
        <v>0.5005245681987992</v>
      </c>
      <c r="V189" s="217">
        <v>0.55652443939616081</v>
      </c>
      <c r="W189" s="217">
        <v>0.46893593272236744</v>
      </c>
      <c r="X189" s="217">
        <v>0.55896226502635449</v>
      </c>
      <c r="Y189" s="217">
        <v>0.51864929123424985</v>
      </c>
      <c r="Z189" s="217">
        <v>0.56337744022497249</v>
      </c>
    </row>
    <row r="190" spans="1:26" x14ac:dyDescent="0.2">
      <c r="A190" t="s">
        <v>54</v>
      </c>
      <c r="C190" s="197">
        <v>0.36631988177078623</v>
      </c>
      <c r="D190" s="197">
        <v>0.55184497020146273</v>
      </c>
      <c r="E190" s="197">
        <v>0.36885292744954123</v>
      </c>
      <c r="F190" s="197">
        <v>0.50352644567950833</v>
      </c>
      <c r="G190" s="197">
        <v>0.36892330084851788</v>
      </c>
      <c r="H190" s="197">
        <v>0.35337064126104889</v>
      </c>
      <c r="I190" s="197">
        <v>0.49546412290377895</v>
      </c>
      <c r="J190" s="197">
        <v>0.42936267054621002</v>
      </c>
      <c r="K190" s="197">
        <v>0.44839357640125999</v>
      </c>
      <c r="L190" s="197">
        <v>0.48795091548988934</v>
      </c>
      <c r="M190" s="197">
        <v>0.47883150292763332</v>
      </c>
      <c r="N190" s="197">
        <v>0.45562436394134553</v>
      </c>
      <c r="O190" s="197">
        <f t="shared" ref="O190:Z190" si="91">1-O189</f>
        <v>0.55254679813797924</v>
      </c>
      <c r="P190" s="197">
        <f t="shared" si="91"/>
        <v>0.45939194485305934</v>
      </c>
      <c r="Q190" s="197">
        <f t="shared" si="91"/>
        <v>0.50374959194340696</v>
      </c>
      <c r="R190" s="197">
        <f t="shared" si="91"/>
        <v>0.45710500402042376</v>
      </c>
      <c r="S190" s="197">
        <f t="shared" si="91"/>
        <v>0.47755806246120613</v>
      </c>
      <c r="T190" s="197">
        <f t="shared" si="91"/>
        <v>0.52212373382421873</v>
      </c>
      <c r="U190" s="197">
        <f t="shared" si="91"/>
        <v>0.4994754318012008</v>
      </c>
      <c r="V190" s="197">
        <f t="shared" si="91"/>
        <v>0.44347556060383919</v>
      </c>
      <c r="W190" s="197">
        <f t="shared" si="91"/>
        <v>0.53106406727763256</v>
      </c>
      <c r="X190" s="197">
        <f t="shared" si="91"/>
        <v>0.44103773497364551</v>
      </c>
      <c r="Y190" s="197">
        <f t="shared" si="91"/>
        <v>0.48135070876575015</v>
      </c>
      <c r="Z190" s="197">
        <f t="shared" si="91"/>
        <v>0.43662255977502751</v>
      </c>
    </row>
    <row r="191" spans="1:26" x14ac:dyDescent="0.2">
      <c r="A191" s="17" t="s">
        <v>27</v>
      </c>
      <c r="C191" s="116">
        <v>2703</v>
      </c>
      <c r="D191" s="116">
        <v>2764</v>
      </c>
      <c r="E191" s="116">
        <v>1498</v>
      </c>
      <c r="F191" s="116">
        <v>5820</v>
      </c>
      <c r="G191" s="116">
        <v>4239</v>
      </c>
      <c r="H191" s="116">
        <v>2282</v>
      </c>
      <c r="I191" s="116">
        <v>10464</v>
      </c>
      <c r="J191" s="116">
        <v>8542</v>
      </c>
      <c r="K191" s="116">
        <v>9543</v>
      </c>
      <c r="L191" s="116">
        <v>9430</v>
      </c>
      <c r="M191" s="116">
        <v>8371</v>
      </c>
      <c r="N191" s="116">
        <v>9325</v>
      </c>
      <c r="O191" s="192">
        <f>10058*0.5</f>
        <v>5029</v>
      </c>
      <c r="P191" s="192">
        <f>10361*0.5</f>
        <v>5180.5</v>
      </c>
      <c r="Q191" s="116">
        <v>5300</v>
      </c>
      <c r="R191" s="116">
        <v>3643</v>
      </c>
      <c r="S191" s="116">
        <v>5270</v>
      </c>
      <c r="T191" s="116">
        <v>8961</v>
      </c>
      <c r="U191" s="116">
        <v>11756</v>
      </c>
      <c r="V191" s="116">
        <v>10918</v>
      </c>
      <c r="W191" s="116">
        <v>5136</v>
      </c>
      <c r="X191" s="116">
        <v>8082</v>
      </c>
      <c r="Y191" s="116">
        <v>10778</v>
      </c>
      <c r="Z191" s="116">
        <v>1795</v>
      </c>
    </row>
    <row r="192" spans="1:26" x14ac:dyDescent="0.2">
      <c r="A192" t="s">
        <v>25</v>
      </c>
      <c r="C192" s="9">
        <v>1712.8373595735648</v>
      </c>
      <c r="D192" s="9">
        <v>1238.7005023631568</v>
      </c>
      <c r="E192" s="9">
        <v>945.45831468058725</v>
      </c>
      <c r="F192" s="9">
        <v>2889.4760861452614</v>
      </c>
      <c r="G192" s="9">
        <v>2675.1341277031329</v>
      </c>
      <c r="H192" s="9">
        <v>1475.6081966422864</v>
      </c>
      <c r="I192" s="9">
        <v>5279.4634179348568</v>
      </c>
      <c r="J192" s="9">
        <v>4874.3840681942738</v>
      </c>
      <c r="K192" s="9">
        <v>5263.9801004027759</v>
      </c>
      <c r="L192" s="9">
        <v>4828.6228669303437</v>
      </c>
      <c r="M192" s="9">
        <v>4362.7014889927814</v>
      </c>
      <c r="N192" s="9">
        <v>5076.302806246953</v>
      </c>
      <c r="O192" s="9">
        <f t="shared" ref="O192:Z192" si="92">+O$191*O189</f>
        <v>2250.2421521641027</v>
      </c>
      <c r="P192" s="9">
        <f t="shared" si="92"/>
        <v>2800.6200296887259</v>
      </c>
      <c r="Q192" s="9">
        <f t="shared" si="92"/>
        <v>2630.1271626999433</v>
      </c>
      <c r="R192" s="9">
        <f t="shared" si="92"/>
        <v>1977.7664703535963</v>
      </c>
      <c r="S192" s="9">
        <f t="shared" si="92"/>
        <v>2753.2690108294437</v>
      </c>
      <c r="T192" s="9">
        <f t="shared" si="92"/>
        <v>4282.2492212011757</v>
      </c>
      <c r="U192" s="9">
        <f t="shared" si="92"/>
        <v>5884.1668237450831</v>
      </c>
      <c r="V192" s="9">
        <f t="shared" si="92"/>
        <v>6076.1338293272838</v>
      </c>
      <c r="W192" s="9">
        <f t="shared" si="92"/>
        <v>2408.4549504620791</v>
      </c>
      <c r="X192" s="9">
        <f t="shared" si="92"/>
        <v>4517.5330259429966</v>
      </c>
      <c r="Y192" s="9">
        <f t="shared" si="92"/>
        <v>5590.0020609227449</v>
      </c>
      <c r="Z192" s="9">
        <f t="shared" si="92"/>
        <v>1011.2625052038256</v>
      </c>
    </row>
    <row r="193" spans="1:26" x14ac:dyDescent="0.2">
      <c r="A193" t="s">
        <v>26</v>
      </c>
      <c r="C193" s="9">
        <v>990.16264042643513</v>
      </c>
      <c r="D193" s="9">
        <v>1525.2994976368429</v>
      </c>
      <c r="E193" s="9">
        <v>552.54168531941275</v>
      </c>
      <c r="F193" s="9">
        <v>2930.5239138547386</v>
      </c>
      <c r="G193" s="9">
        <v>1563.8658722968673</v>
      </c>
      <c r="H193" s="9">
        <v>806.39180335771357</v>
      </c>
      <c r="I193" s="9">
        <v>5184.5365820651432</v>
      </c>
      <c r="J193" s="9">
        <v>3667.6159318057262</v>
      </c>
      <c r="K193" s="9">
        <v>4279.0198995972241</v>
      </c>
      <c r="L193" s="9">
        <v>4601.3771330696563</v>
      </c>
      <c r="M193" s="9">
        <v>4008.2985110072186</v>
      </c>
      <c r="N193" s="9">
        <v>4248.697193753047</v>
      </c>
      <c r="O193" s="9">
        <f t="shared" ref="O193:Z193" si="93">+O$191*O190</f>
        <v>2778.7578478358978</v>
      </c>
      <c r="P193" s="9">
        <f t="shared" si="93"/>
        <v>2379.8799703112741</v>
      </c>
      <c r="Q193" s="9">
        <f t="shared" si="93"/>
        <v>2669.8728373000567</v>
      </c>
      <c r="R193" s="9">
        <f t="shared" si="93"/>
        <v>1665.2335296464037</v>
      </c>
      <c r="S193" s="9">
        <f t="shared" si="93"/>
        <v>2516.7309891705563</v>
      </c>
      <c r="T193" s="9">
        <f t="shared" si="93"/>
        <v>4678.7507787988243</v>
      </c>
      <c r="U193" s="9">
        <f t="shared" si="93"/>
        <v>5871.8331762549169</v>
      </c>
      <c r="V193" s="9">
        <f t="shared" si="93"/>
        <v>4841.8661706727162</v>
      </c>
      <c r="W193" s="9">
        <f t="shared" si="93"/>
        <v>2727.5450495379209</v>
      </c>
      <c r="X193" s="9">
        <f t="shared" si="93"/>
        <v>3564.466974057003</v>
      </c>
      <c r="Y193" s="9">
        <f t="shared" si="93"/>
        <v>5187.9979390772551</v>
      </c>
      <c r="Z193" s="9">
        <f t="shared" si="93"/>
        <v>783.73749479617436</v>
      </c>
    </row>
    <row r="194" spans="1:26" x14ac:dyDescent="0.2">
      <c r="A194" s="203" t="s">
        <v>277</v>
      </c>
      <c r="C194" s="124">
        <v>3.96</v>
      </c>
      <c r="D194" s="44">
        <v>3.96</v>
      </c>
      <c r="E194" s="44">
        <v>3.96</v>
      </c>
      <c r="F194" s="44">
        <v>3.96</v>
      </c>
      <c r="G194" s="44">
        <v>3.96</v>
      </c>
      <c r="H194" s="44">
        <v>3.96</v>
      </c>
      <c r="I194" s="44">
        <v>3.96</v>
      </c>
      <c r="J194" s="44">
        <v>3.96</v>
      </c>
      <c r="K194" s="44">
        <v>3.96</v>
      </c>
      <c r="L194" s="44">
        <v>3.96</v>
      </c>
      <c r="M194" s="44">
        <v>3.96</v>
      </c>
      <c r="N194" s="44">
        <v>3.96</v>
      </c>
      <c r="O194" s="102">
        <v>4.41</v>
      </c>
      <c r="P194" s="44">
        <f t="shared" ref="P194" si="94">+O194</f>
        <v>4.41</v>
      </c>
      <c r="Q194" s="44">
        <f t="shared" ref="Q194" si="95">+P194</f>
        <v>4.41</v>
      </c>
      <c r="R194" s="44">
        <f t="shared" ref="R194" si="96">+Q194</f>
        <v>4.41</v>
      </c>
      <c r="S194" s="44">
        <f t="shared" ref="S194" si="97">+R194</f>
        <v>4.41</v>
      </c>
      <c r="T194" s="44">
        <f t="shared" ref="T194" si="98">+S194</f>
        <v>4.41</v>
      </c>
      <c r="U194" s="44">
        <f t="shared" ref="U194" si="99">+T194</f>
        <v>4.41</v>
      </c>
      <c r="V194" s="44">
        <f t="shared" ref="V194" si="100">+U194</f>
        <v>4.41</v>
      </c>
      <c r="W194" s="44">
        <f t="shared" ref="W194" si="101">+V194</f>
        <v>4.41</v>
      </c>
      <c r="X194" s="44">
        <f t="shared" ref="X194" si="102">+W194</f>
        <v>4.41</v>
      </c>
      <c r="Y194" s="44">
        <f t="shared" ref="Y194" si="103">+X194</f>
        <v>4.41</v>
      </c>
      <c r="Z194" s="44">
        <f t="shared" ref="Z194" si="104">+Y194</f>
        <v>4.41</v>
      </c>
    </row>
    <row r="195" spans="1:26" x14ac:dyDescent="0.2">
      <c r="A195" s="17" t="s">
        <v>185</v>
      </c>
      <c r="C195" s="102">
        <v>109.64999999999999</v>
      </c>
      <c r="D195" s="102">
        <v>96.942499999999995</v>
      </c>
      <c r="E195" s="102">
        <v>54.612499999999997</v>
      </c>
      <c r="F195" s="102">
        <v>38.42</v>
      </c>
      <c r="G195" s="102">
        <v>32.9375</v>
      </c>
      <c r="H195" s="102">
        <v>41.012499999999996</v>
      </c>
      <c r="I195" s="102">
        <v>60.774999999999999</v>
      </c>
      <c r="J195" s="102">
        <v>52.232500000000002</v>
      </c>
      <c r="K195" s="102">
        <v>39.1</v>
      </c>
      <c r="L195" s="102">
        <v>38.674999999999997</v>
      </c>
      <c r="M195" s="102">
        <v>57.375</v>
      </c>
      <c r="N195" s="102">
        <v>96.814999999999998</v>
      </c>
      <c r="O195" s="127">
        <f t="shared" ref="O195:Z195" si="105">0.85*O11</f>
        <v>83.3</v>
      </c>
      <c r="P195" s="127">
        <f t="shared" si="105"/>
        <v>72.165000000000006</v>
      </c>
      <c r="Q195" s="127">
        <f t="shared" si="105"/>
        <v>44.837499999999999</v>
      </c>
      <c r="R195" s="127">
        <f t="shared" si="105"/>
        <v>37.06</v>
      </c>
      <c r="S195" s="127">
        <f t="shared" si="105"/>
        <v>33.447499999999998</v>
      </c>
      <c r="T195" s="127">
        <f t="shared" si="105"/>
        <v>41.65</v>
      </c>
      <c r="U195" s="127">
        <f t="shared" si="105"/>
        <v>59.16</v>
      </c>
      <c r="V195" s="127">
        <f t="shared" si="105"/>
        <v>48.449999999999996</v>
      </c>
      <c r="W195" s="127">
        <f t="shared" si="105"/>
        <v>38.887499999999996</v>
      </c>
      <c r="X195" s="127">
        <f t="shared" si="105"/>
        <v>35.487499999999997</v>
      </c>
      <c r="Y195" s="127">
        <f t="shared" si="105"/>
        <v>48.279999999999994</v>
      </c>
      <c r="Z195" s="127">
        <f t="shared" si="105"/>
        <v>71.952500000000001</v>
      </c>
    </row>
    <row r="196" spans="1:26" x14ac:dyDescent="0.2">
      <c r="A196" s="17" t="s">
        <v>186</v>
      </c>
      <c r="C196" s="102">
        <v>101.87249999999999</v>
      </c>
      <c r="D196" s="102">
        <v>89.717500000000001</v>
      </c>
      <c r="E196" s="102">
        <v>49.214999999999996</v>
      </c>
      <c r="F196" s="102">
        <v>32.682500000000005</v>
      </c>
      <c r="G196" s="102">
        <v>28.474999999999998</v>
      </c>
      <c r="H196" s="102">
        <v>30.897500000000001</v>
      </c>
      <c r="I196" s="102">
        <v>40.714999999999996</v>
      </c>
      <c r="J196" s="102">
        <v>33.234999999999999</v>
      </c>
      <c r="K196" s="102">
        <v>29.75</v>
      </c>
      <c r="L196" s="102">
        <v>28.56</v>
      </c>
      <c r="M196" s="102">
        <v>50.362499999999997</v>
      </c>
      <c r="N196" s="102">
        <v>88.527500000000003</v>
      </c>
      <c r="O196" s="127">
        <f t="shared" ref="O196:Z196" si="106">0.85*O12</f>
        <v>75.309999999999988</v>
      </c>
      <c r="P196" s="127">
        <f t="shared" si="106"/>
        <v>63.452500000000001</v>
      </c>
      <c r="Q196" s="127">
        <f t="shared" si="106"/>
        <v>39.482500000000002</v>
      </c>
      <c r="R196" s="127">
        <f t="shared" si="106"/>
        <v>30.684999999999999</v>
      </c>
      <c r="S196" s="127">
        <f t="shared" si="106"/>
        <v>27.242499999999996</v>
      </c>
      <c r="T196" s="127">
        <f t="shared" si="106"/>
        <v>30.514999999999997</v>
      </c>
      <c r="U196" s="127">
        <f t="shared" si="106"/>
        <v>38.164999999999999</v>
      </c>
      <c r="V196" s="127">
        <f t="shared" si="106"/>
        <v>31.237500000000001</v>
      </c>
      <c r="W196" s="127">
        <f t="shared" si="106"/>
        <v>28.177499999999998</v>
      </c>
      <c r="X196" s="127">
        <f t="shared" si="106"/>
        <v>27.625</v>
      </c>
      <c r="Y196" s="127">
        <f t="shared" si="106"/>
        <v>41.395000000000003</v>
      </c>
      <c r="Z196" s="127">
        <f t="shared" si="106"/>
        <v>65.492499999999993</v>
      </c>
    </row>
    <row r="197" spans="1:26" x14ac:dyDescent="0.2">
      <c r="A197" s="17" t="s">
        <v>416</v>
      </c>
      <c r="C197" s="174">
        <v>1.0670071926246205</v>
      </c>
      <c r="D197" s="174">
        <v>1.0237929629085492</v>
      </c>
      <c r="E197" s="174">
        <v>1.0917246595948551</v>
      </c>
      <c r="F197" s="174">
        <v>1.8100891105473331</v>
      </c>
      <c r="G197" s="174">
        <v>1.9913692290135991</v>
      </c>
      <c r="H197" s="174">
        <v>2.3524621407993425</v>
      </c>
      <c r="I197" s="174">
        <v>1.4126106535709451</v>
      </c>
      <c r="J197" s="174">
        <v>1.7542169902340914</v>
      </c>
      <c r="K197" s="174">
        <v>1.5781885906205702</v>
      </c>
      <c r="L197" s="174">
        <v>1.5851889590515307</v>
      </c>
      <c r="M197" s="174">
        <v>1.1662979060623782</v>
      </c>
      <c r="N197" s="174">
        <v>1.537923478048782</v>
      </c>
      <c r="O197" s="174">
        <f t="shared" ref="O197:O198" si="107">+C197</f>
        <v>1.0670071926246205</v>
      </c>
      <c r="P197" s="174">
        <f t="shared" ref="P197:P198" si="108">+D197</f>
        <v>1.0237929629085492</v>
      </c>
      <c r="Q197" s="174">
        <f t="shared" ref="Q197:Q198" si="109">+E197</f>
        <v>1.0917246595948551</v>
      </c>
      <c r="R197" s="174">
        <f t="shared" ref="R197:R198" si="110">+F197</f>
        <v>1.8100891105473331</v>
      </c>
      <c r="S197" s="174">
        <f t="shared" ref="S197:S198" si="111">+G197</f>
        <v>1.9913692290135991</v>
      </c>
      <c r="T197" s="174">
        <f t="shared" ref="T197:T198" si="112">+H197</f>
        <v>2.3524621407993425</v>
      </c>
      <c r="U197" s="174">
        <f t="shared" ref="U197:U198" si="113">+I197</f>
        <v>1.4126106535709451</v>
      </c>
      <c r="V197" s="174">
        <f t="shared" ref="V197:V198" si="114">+J197</f>
        <v>1.7542169902340914</v>
      </c>
      <c r="W197" s="174">
        <f t="shared" ref="W197:W198" si="115">+K197</f>
        <v>1.5781885906205702</v>
      </c>
      <c r="X197" s="174">
        <f t="shared" ref="X197:X198" si="116">+L197</f>
        <v>1.5851889590515307</v>
      </c>
      <c r="Y197" s="174">
        <f t="shared" ref="Y197:Y198" si="117">+M197</f>
        <v>1.1662979060623782</v>
      </c>
      <c r="Z197" s="174">
        <f t="shared" ref="Z197:Z198" si="118">+N197</f>
        <v>1.537923478048782</v>
      </c>
    </row>
    <row r="198" spans="1:26" x14ac:dyDescent="0.2">
      <c r="A198" s="17" t="s">
        <v>417</v>
      </c>
      <c r="C198" s="174">
        <v>1.171552307469774</v>
      </c>
      <c r="D198" s="174">
        <v>1.1590622140239175</v>
      </c>
      <c r="E198" s="174">
        <v>1.1677780889171039</v>
      </c>
      <c r="F198" s="174">
        <v>1.9539451083954604</v>
      </c>
      <c r="G198" s="174">
        <v>2.5800889476498701</v>
      </c>
      <c r="H198" s="174">
        <v>2.7882212385222163</v>
      </c>
      <c r="I198" s="174">
        <v>1.6425305557401149</v>
      </c>
      <c r="J198" s="174">
        <v>1.8461822677771595</v>
      </c>
      <c r="K198" s="174">
        <v>1.9014864568837069</v>
      </c>
      <c r="L198" s="174">
        <v>1.7863683723072714</v>
      </c>
      <c r="M198" s="174">
        <v>1.2651219198024246</v>
      </c>
      <c r="N198" s="174">
        <v>1.5277513732951784</v>
      </c>
      <c r="O198" s="174">
        <f t="shared" si="107"/>
        <v>1.171552307469774</v>
      </c>
      <c r="P198" s="174">
        <f t="shared" si="108"/>
        <v>1.1590622140239175</v>
      </c>
      <c r="Q198" s="174">
        <f t="shared" si="109"/>
        <v>1.1677780889171039</v>
      </c>
      <c r="R198" s="174">
        <f t="shared" si="110"/>
        <v>1.9539451083954604</v>
      </c>
      <c r="S198" s="174">
        <f t="shared" si="111"/>
        <v>2.5800889476498701</v>
      </c>
      <c r="T198" s="174">
        <f t="shared" si="112"/>
        <v>2.7882212385222163</v>
      </c>
      <c r="U198" s="174">
        <f t="shared" si="113"/>
        <v>1.6425305557401149</v>
      </c>
      <c r="V198" s="174">
        <f t="shared" si="114"/>
        <v>1.8461822677771595</v>
      </c>
      <c r="W198" s="174">
        <f t="shared" si="115"/>
        <v>1.9014864568837069</v>
      </c>
      <c r="X198" s="174">
        <f t="shared" si="116"/>
        <v>1.7863683723072714</v>
      </c>
      <c r="Y198" s="174">
        <f t="shared" si="117"/>
        <v>1.2651219198024246</v>
      </c>
      <c r="Z198" s="174">
        <f t="shared" si="118"/>
        <v>1.5277513732951784</v>
      </c>
    </row>
    <row r="199" spans="1:26" x14ac:dyDescent="0.2">
      <c r="A199" t="s">
        <v>33</v>
      </c>
      <c r="C199" s="10">
        <v>134.67651939028664</v>
      </c>
      <c r="D199" s="10">
        <v>118.77330029944389</v>
      </c>
      <c r="E199" s="10">
        <v>54.612499999999997</v>
      </c>
      <c r="F199" s="10">
        <v>38.42</v>
      </c>
      <c r="G199" s="10">
        <v>32.9375</v>
      </c>
      <c r="H199" s="10">
        <v>46.278245441078013</v>
      </c>
      <c r="I199" s="10">
        <v>67.751415352903138</v>
      </c>
      <c r="J199" s="10">
        <v>57.340263025580605</v>
      </c>
      <c r="K199" s="10">
        <v>45.139182788502431</v>
      </c>
      <c r="L199" s="10">
        <v>43.641339701549285</v>
      </c>
      <c r="M199" s="10">
        <v>57.774893840750607</v>
      </c>
      <c r="N199" s="10">
        <v>96.814999999999998</v>
      </c>
      <c r="O199" s="10">
        <f t="shared" ref="O199:Z199" si="119">+IF(O26+O$194&gt;O$195,O26+O$194,O195)</f>
        <v>101.33539661743129</v>
      </c>
      <c r="P199" s="10">
        <f t="shared" si="119"/>
        <v>88.817754851004977</v>
      </c>
      <c r="Q199" s="10">
        <f t="shared" si="119"/>
        <v>56.771747150125435</v>
      </c>
      <c r="R199" s="10">
        <f t="shared" si="119"/>
        <v>47.733199350287279</v>
      </c>
      <c r="S199" s="10">
        <f t="shared" si="119"/>
        <v>43.748885108004629</v>
      </c>
      <c r="T199" s="10">
        <f t="shared" si="119"/>
        <v>53.146734835067519</v>
      </c>
      <c r="U199" s="10">
        <f t="shared" si="119"/>
        <v>73.001559756920997</v>
      </c>
      <c r="V199" s="10">
        <f t="shared" si="119"/>
        <v>61.035924891024919</v>
      </c>
      <c r="W199" s="10">
        <f t="shared" si="119"/>
        <v>50.043859793996205</v>
      </c>
      <c r="X199" s="10">
        <f t="shared" si="119"/>
        <v>46.647963534372394</v>
      </c>
      <c r="Y199" s="10">
        <f t="shared" si="119"/>
        <v>60.613190729818058</v>
      </c>
      <c r="Z199" s="10">
        <f t="shared" si="119"/>
        <v>87.961442562847353</v>
      </c>
    </row>
    <row r="200" spans="1:26" x14ac:dyDescent="0.2">
      <c r="A200" t="s">
        <v>34</v>
      </c>
      <c r="C200" s="10">
        <v>123.41829201949982</v>
      </c>
      <c r="D200" s="10">
        <v>109.3114667013831</v>
      </c>
      <c r="E200" s="10">
        <v>49.214999999999996</v>
      </c>
      <c r="F200" s="10">
        <v>32.682500000000005</v>
      </c>
      <c r="G200" s="10">
        <v>28.474999999999998</v>
      </c>
      <c r="H200" s="10">
        <v>35.849680556551185</v>
      </c>
      <c r="I200" s="10">
        <v>43.96609452703207</v>
      </c>
      <c r="J200" s="10">
        <v>38.848341269067717</v>
      </c>
      <c r="K200" s="10">
        <v>34.544182831217285</v>
      </c>
      <c r="L200" s="10">
        <v>35.461653057574154</v>
      </c>
      <c r="M200" s="10">
        <v>50.362499999999997</v>
      </c>
      <c r="N200" s="10">
        <v>88.527500000000003</v>
      </c>
      <c r="O200" s="10">
        <f t="shared" ref="O200:Z200" si="120">+IF(O27+O$194&gt;O$196,O27+O$194,O$196)</f>
        <v>91.700462088521391</v>
      </c>
      <c r="P200" s="10">
        <f t="shared" si="120"/>
        <v>78.919276285273526</v>
      </c>
      <c r="Q200" s="10">
        <f t="shared" si="120"/>
        <v>50.538743045570371</v>
      </c>
      <c r="R200" s="10">
        <f t="shared" si="120"/>
        <v>40.334392649036303</v>
      </c>
      <c r="S200" s="10">
        <f t="shared" si="120"/>
        <v>36.45156559132009</v>
      </c>
      <c r="T200" s="10">
        <f t="shared" si="120"/>
        <v>40.307120097813211</v>
      </c>
      <c r="U200" s="10">
        <f t="shared" si="120"/>
        <v>49.26091092729537</v>
      </c>
      <c r="V200" s="10">
        <f t="shared" si="120"/>
        <v>41.306464673591933</v>
      </c>
      <c r="W200" s="10">
        <f t="shared" si="120"/>
        <v>37.807350859845613</v>
      </c>
      <c r="X200" s="10">
        <f t="shared" si="120"/>
        <v>37.293245886493963</v>
      </c>
      <c r="Y200" s="10">
        <f t="shared" si="120"/>
        <v>52.833746784793846</v>
      </c>
      <c r="Z200" s="10">
        <f t="shared" si="120"/>
        <v>80.84779209686188</v>
      </c>
    </row>
    <row r="201" spans="1:26" x14ac:dyDescent="0.2">
      <c r="A201" s="17" t="s">
        <v>639</v>
      </c>
      <c r="C201" s="124">
        <v>7</v>
      </c>
      <c r="D201" s="10">
        <v>7</v>
      </c>
      <c r="E201" s="10">
        <v>7</v>
      </c>
      <c r="F201" s="10">
        <v>7</v>
      </c>
      <c r="G201" s="10">
        <v>7</v>
      </c>
      <c r="H201" s="10">
        <v>7</v>
      </c>
      <c r="I201" s="10">
        <v>7</v>
      </c>
      <c r="J201" s="10">
        <v>7</v>
      </c>
      <c r="K201" s="10">
        <v>7</v>
      </c>
      <c r="L201" s="10">
        <v>7</v>
      </c>
      <c r="M201" s="10">
        <v>7</v>
      </c>
      <c r="N201" s="10">
        <v>7</v>
      </c>
      <c r="O201" s="102">
        <f t="shared" ref="O201:Z201" si="121">O51</f>
        <v>3.75</v>
      </c>
      <c r="P201" s="102">
        <f t="shared" si="121"/>
        <v>3.75</v>
      </c>
      <c r="Q201" s="102">
        <f t="shared" si="121"/>
        <v>3.75</v>
      </c>
      <c r="R201" s="102">
        <f t="shared" si="121"/>
        <v>3.75</v>
      </c>
      <c r="S201" s="102">
        <f t="shared" si="121"/>
        <v>3.75</v>
      </c>
      <c r="T201" s="102">
        <f t="shared" si="121"/>
        <v>3.75</v>
      </c>
      <c r="U201" s="102">
        <f t="shared" si="121"/>
        <v>3.75</v>
      </c>
      <c r="V201" s="102">
        <f t="shared" si="121"/>
        <v>3.75</v>
      </c>
      <c r="W201" s="102">
        <f t="shared" si="121"/>
        <v>3.75</v>
      </c>
      <c r="X201" s="102">
        <f t="shared" si="121"/>
        <v>3.75</v>
      </c>
      <c r="Y201" s="102">
        <f t="shared" si="121"/>
        <v>3.75</v>
      </c>
      <c r="Z201" s="102">
        <f t="shared" si="121"/>
        <v>3.75</v>
      </c>
    </row>
    <row r="202" spans="1:26" x14ac:dyDescent="0.2">
      <c r="A202" s="17" t="s">
        <v>638</v>
      </c>
      <c r="C202" s="16">
        <v>18921</v>
      </c>
      <c r="D202" s="16">
        <v>19348</v>
      </c>
      <c r="E202" s="16">
        <v>10486</v>
      </c>
      <c r="F202" s="16">
        <v>40740</v>
      </c>
      <c r="G202" s="16">
        <v>29673</v>
      </c>
      <c r="H202" s="16">
        <v>15974</v>
      </c>
      <c r="I202" s="16">
        <v>73248</v>
      </c>
      <c r="J202" s="16">
        <v>59794</v>
      </c>
      <c r="K202" s="16">
        <v>66801</v>
      </c>
      <c r="L202" s="16">
        <v>66010</v>
      </c>
      <c r="M202" s="16">
        <v>58597</v>
      </c>
      <c r="N202" s="16">
        <v>65275</v>
      </c>
      <c r="O202" s="16">
        <f t="shared" ref="O202:Z202" si="122">O191*O201</f>
        <v>18858.75</v>
      </c>
      <c r="P202" s="16">
        <f t="shared" si="122"/>
        <v>19426.875</v>
      </c>
      <c r="Q202" s="16">
        <f t="shared" si="122"/>
        <v>19875</v>
      </c>
      <c r="R202" s="16">
        <f t="shared" si="122"/>
        <v>13661.25</v>
      </c>
      <c r="S202" s="16">
        <f t="shared" si="122"/>
        <v>19762.5</v>
      </c>
      <c r="T202" s="16">
        <f t="shared" si="122"/>
        <v>33603.75</v>
      </c>
      <c r="U202" s="16">
        <f t="shared" si="122"/>
        <v>44085</v>
      </c>
      <c r="V202" s="16">
        <f t="shared" si="122"/>
        <v>40942.5</v>
      </c>
      <c r="W202" s="16">
        <f t="shared" si="122"/>
        <v>19260</v>
      </c>
      <c r="X202" s="16">
        <f t="shared" si="122"/>
        <v>30307.5</v>
      </c>
      <c r="Y202" s="16">
        <f t="shared" si="122"/>
        <v>40417.5</v>
      </c>
      <c r="Z202" s="16">
        <f t="shared" si="122"/>
        <v>6731.25</v>
      </c>
    </row>
    <row r="203" spans="1:26" x14ac:dyDescent="0.2">
      <c r="A203" t="s">
        <v>35</v>
      </c>
      <c r="C203" s="16">
        <v>230678.97386901657</v>
      </c>
      <c r="D203" s="16">
        <v>147124.54674825122</v>
      </c>
      <c r="E203" s="16">
        <v>51633.842210493567</v>
      </c>
      <c r="F203" s="16">
        <v>111013.67122970095</v>
      </c>
      <c r="G203" s="16">
        <v>88112.230331221945</v>
      </c>
      <c r="H203" s="16">
        <v>68288.558299078242</v>
      </c>
      <c r="I203" s="16">
        <v>357691.1188689621</v>
      </c>
      <c r="J203" s="16">
        <v>279498.46455795929</v>
      </c>
      <c r="K203" s="16">
        <v>237611.75994712027</v>
      </c>
      <c r="L203" s="16">
        <v>210727.57082637594</v>
      </c>
      <c r="M203" s="16">
        <v>252054.61538544254</v>
      </c>
      <c r="N203" s="16">
        <v>491462.25618679874</v>
      </c>
      <c r="O203" s="16">
        <f t="shared" ref="O203:Z203" si="123">+O199*O192</f>
        <v>228029.18097481152</v>
      </c>
      <c r="P203" s="16">
        <f t="shared" si="123"/>
        <v>248744.78322770755</v>
      </c>
      <c r="Q203" s="16">
        <f t="shared" si="123"/>
        <v>149316.914253478</v>
      </c>
      <c r="R203" s="16">
        <f t="shared" si="123"/>
        <v>94405.121197702247</v>
      </c>
      <c r="S203" s="16">
        <f t="shared" si="123"/>
        <v>120452.44962620689</v>
      </c>
      <c r="T203" s="16">
        <f t="shared" si="123"/>
        <v>227587.56385685329</v>
      </c>
      <c r="U203" s="16">
        <f t="shared" si="123"/>
        <v>429553.35600331868</v>
      </c>
      <c r="V203" s="16">
        <f t="shared" si="123"/>
        <v>370862.44803463574</v>
      </c>
      <c r="W203" s="16">
        <f t="shared" si="123"/>
        <v>120528.38186108036</v>
      </c>
      <c r="X203" s="16">
        <f t="shared" si="123"/>
        <v>210733.7158595119</v>
      </c>
      <c r="Y203" s="16">
        <f t="shared" si="123"/>
        <v>338827.86109878635</v>
      </c>
      <c r="Z203" s="16">
        <f t="shared" si="123"/>
        <v>88952.108767447426</v>
      </c>
    </row>
    <row r="204" spans="1:26" x14ac:dyDescent="0.2">
      <c r="A204" t="s">
        <v>36</v>
      </c>
      <c r="C204" s="16">
        <v>122204.18190294877</v>
      </c>
      <c r="D204" s="16">
        <v>166732.72524556614</v>
      </c>
      <c r="E204" s="16">
        <v>27193.339042994896</v>
      </c>
      <c r="F204" s="16">
        <v>95776.847814557506</v>
      </c>
      <c r="G204" s="16">
        <v>44531.080713653297</v>
      </c>
      <c r="H204" s="16">
        <v>28908.88855379527</v>
      </c>
      <c r="I204" s="16">
        <v>227943.82544593184</v>
      </c>
      <c r="J204" s="16">
        <v>142480.79536265865</v>
      </c>
      <c r="K204" s="16">
        <v>147815.24575010352</v>
      </c>
      <c r="L204" s="16">
        <v>163172.43947997136</v>
      </c>
      <c r="M204" s="16">
        <v>201867.93376060104</v>
      </c>
      <c r="N204" s="16">
        <v>376126.54081997287</v>
      </c>
      <c r="O204" s="16">
        <f t="shared" ref="O204:Z204" si="124">+O200*O193</f>
        <v>254813.37867865703</v>
      </c>
      <c r="P204" s="16">
        <f t="shared" si="124"/>
        <v>187818.40490278398</v>
      </c>
      <c r="Q204" s="16">
        <f t="shared" si="124"/>
        <v>134932.01728865548</v>
      </c>
      <c r="R204" s="16">
        <f t="shared" si="124"/>
        <v>67166.183037098686</v>
      </c>
      <c r="S204" s="16">
        <f t="shared" si="124"/>
        <v>91738.78472745842</v>
      </c>
      <c r="T204" s="16">
        <f t="shared" si="124"/>
        <v>188586.96954878132</v>
      </c>
      <c r="U204" s="16">
        <f t="shared" si="124"/>
        <v>289251.85107543133</v>
      </c>
      <c r="V204" s="16">
        <f t="shared" si="124"/>
        <v>200000.37393315241</v>
      </c>
      <c r="W204" s="16">
        <f t="shared" si="124"/>
        <v>103121.25267391517</v>
      </c>
      <c r="X204" s="16">
        <f t="shared" si="124"/>
        <v>132930.54331779492</v>
      </c>
      <c r="Y204" s="16">
        <f t="shared" si="124"/>
        <v>274101.36943324003</v>
      </c>
      <c r="Z204" s="16">
        <f t="shared" si="124"/>
        <v>63363.446037796472</v>
      </c>
    </row>
    <row r="205" spans="1:26" x14ac:dyDescent="0.2">
      <c r="A205" t="s">
        <v>37</v>
      </c>
      <c r="C205" s="16">
        <v>371804.15577196534</v>
      </c>
      <c r="D205" s="16">
        <v>333205.27199381735</v>
      </c>
      <c r="E205" s="16">
        <v>89313.181253488467</v>
      </c>
      <c r="F205" s="16">
        <v>247530.51904425846</v>
      </c>
      <c r="G205" s="16">
        <v>162316.31104487524</v>
      </c>
      <c r="H205" s="16">
        <v>113171.44685287352</v>
      </c>
      <c r="I205" s="16">
        <v>658882.94431489392</v>
      </c>
      <c r="J205" s="16">
        <v>481773.25992061791</v>
      </c>
      <c r="K205" s="16">
        <v>452228.00569722382</v>
      </c>
      <c r="L205" s="16">
        <v>439910.01030634734</v>
      </c>
      <c r="M205" s="16">
        <v>512519.54914604354</v>
      </c>
      <c r="N205" s="16">
        <v>932863.79700677155</v>
      </c>
      <c r="O205" s="16">
        <f t="shared" ref="O205:Z205" si="125">+SUM(O202:O204)</f>
        <v>501701.30965346855</v>
      </c>
      <c r="P205" s="16">
        <f t="shared" si="125"/>
        <v>455990.06313049153</v>
      </c>
      <c r="Q205" s="16">
        <f t="shared" si="125"/>
        <v>304123.93154213345</v>
      </c>
      <c r="R205" s="16">
        <f t="shared" si="125"/>
        <v>175232.55423480092</v>
      </c>
      <c r="S205" s="16">
        <f t="shared" si="125"/>
        <v>231953.73435366532</v>
      </c>
      <c r="T205" s="16">
        <f t="shared" si="125"/>
        <v>449778.28340563457</v>
      </c>
      <c r="U205" s="16">
        <f t="shared" si="125"/>
        <v>762890.20707875001</v>
      </c>
      <c r="V205" s="16">
        <f t="shared" si="125"/>
        <v>611805.32196778816</v>
      </c>
      <c r="W205" s="16">
        <f t="shared" si="125"/>
        <v>242909.63453499554</v>
      </c>
      <c r="X205" s="16">
        <f t="shared" si="125"/>
        <v>373971.75917730678</v>
      </c>
      <c r="Y205" s="16">
        <f t="shared" si="125"/>
        <v>653346.73053202638</v>
      </c>
      <c r="Z205" s="16">
        <f t="shared" si="125"/>
        <v>159046.80480524391</v>
      </c>
    </row>
    <row r="208" spans="1:26" x14ac:dyDescent="0.2">
      <c r="A208" s="14" t="s">
        <v>187</v>
      </c>
    </row>
    <row r="209" spans="1:2" hidden="1" x14ac:dyDescent="0.2">
      <c r="A209" s="57"/>
    </row>
    <row r="210" spans="1:2" hidden="1" x14ac:dyDescent="0.2">
      <c r="A210" s="86" t="s">
        <v>233</v>
      </c>
      <c r="B210" s="25">
        <v>10</v>
      </c>
    </row>
    <row r="211" spans="1:2" hidden="1" x14ac:dyDescent="0.2">
      <c r="A211" s="14" t="s">
        <v>232</v>
      </c>
      <c r="B211" s="25">
        <v>10</v>
      </c>
    </row>
    <row r="212" spans="1:2" hidden="1" x14ac:dyDescent="0.2">
      <c r="A212" s="14" t="s">
        <v>234</v>
      </c>
      <c r="B212" s="85">
        <v>0.05</v>
      </c>
    </row>
    <row r="213" spans="1:2" hidden="1" x14ac:dyDescent="0.2">
      <c r="A213" s="14"/>
      <c r="B213" t="s">
        <v>189</v>
      </c>
    </row>
    <row r="214" spans="1:2" hidden="1" x14ac:dyDescent="0.2">
      <c r="A214" s="14" t="s">
        <v>38</v>
      </c>
      <c r="B214" s="130">
        <v>0.3537780619953651</v>
      </c>
    </row>
    <row r="215" spans="1:2" hidden="1" x14ac:dyDescent="0.2">
      <c r="A215" s="14" t="s">
        <v>39</v>
      </c>
      <c r="B215" s="130">
        <v>0.30253665863149382</v>
      </c>
    </row>
    <row r="216" spans="1:2" hidden="1" x14ac:dyDescent="0.2">
      <c r="A216" s="14" t="s">
        <v>40</v>
      </c>
      <c r="B216" s="130">
        <v>0.30475150421670888</v>
      </c>
    </row>
    <row r="217" spans="1:2" hidden="1" x14ac:dyDescent="0.2">
      <c r="A217" s="14" t="s">
        <v>41</v>
      </c>
      <c r="B217" s="130">
        <v>0.31397172516520516</v>
      </c>
    </row>
    <row r="218" spans="1:2" hidden="1" x14ac:dyDescent="0.2">
      <c r="A218" s="14" t="s">
        <v>42</v>
      </c>
      <c r="B218" s="130">
        <v>0.20034309413253362</v>
      </c>
    </row>
    <row r="219" spans="1:2" hidden="1" x14ac:dyDescent="0.2">
      <c r="A219" s="14" t="s">
        <v>43</v>
      </c>
      <c r="B219" s="130">
        <v>0.18481801750262578</v>
      </c>
    </row>
    <row r="220" spans="1:2" hidden="1" x14ac:dyDescent="0.2">
      <c r="A220" s="14" t="s">
        <v>44</v>
      </c>
      <c r="B220" s="130">
        <v>0.15040863713575409</v>
      </c>
    </row>
    <row r="221" spans="1:2" hidden="1" x14ac:dyDescent="0.2">
      <c r="A221" s="14" t="s">
        <v>45</v>
      </c>
      <c r="B221" s="130">
        <v>0.17522454909778995</v>
      </c>
    </row>
    <row r="222" spans="1:2" hidden="1" x14ac:dyDescent="0.2">
      <c r="A222" s="14" t="s">
        <v>46</v>
      </c>
      <c r="B222" s="130">
        <v>0.20983568484646686</v>
      </c>
    </row>
    <row r="223" spans="1:2" hidden="1" x14ac:dyDescent="0.2">
      <c r="A223" s="14" t="s">
        <v>47</v>
      </c>
      <c r="B223" s="130">
        <v>0.26026444252866898</v>
      </c>
    </row>
    <row r="224" spans="1:2" hidden="1" x14ac:dyDescent="0.2">
      <c r="A224" s="14" t="s">
        <v>48</v>
      </c>
      <c r="B224" s="130">
        <v>0.31178267927261927</v>
      </c>
    </row>
    <row r="225" spans="1:26" hidden="1" x14ac:dyDescent="0.2">
      <c r="A225" s="14" t="s">
        <v>49</v>
      </c>
      <c r="B225" s="130">
        <v>0.31867262556126569</v>
      </c>
    </row>
    <row r="226" spans="1:26" hidden="1" x14ac:dyDescent="0.2">
      <c r="A226" s="14" t="s">
        <v>190</v>
      </c>
      <c r="B226" s="131">
        <f>22500/(8760*$B$211)</f>
        <v>0.25684931506849318</v>
      </c>
    </row>
    <row r="227" spans="1:26" x14ac:dyDescent="0.2">
      <c r="A227" s="20"/>
    </row>
    <row r="228" spans="1:26" x14ac:dyDescent="0.2">
      <c r="A228" s="14" t="s">
        <v>230</v>
      </c>
      <c r="C228" s="182">
        <v>45307</v>
      </c>
      <c r="D228" s="182">
        <v>45338</v>
      </c>
      <c r="E228" s="182">
        <v>45366</v>
      </c>
      <c r="F228" s="182">
        <v>45397</v>
      </c>
      <c r="G228" s="182">
        <v>45427</v>
      </c>
      <c r="H228" s="182">
        <v>45458</v>
      </c>
      <c r="I228" s="182">
        <v>45488</v>
      </c>
      <c r="J228" s="182">
        <v>45519</v>
      </c>
      <c r="K228" s="182">
        <v>45550</v>
      </c>
      <c r="L228" s="182">
        <v>45580</v>
      </c>
      <c r="M228" s="182">
        <v>45611</v>
      </c>
      <c r="N228" s="182">
        <v>45641</v>
      </c>
      <c r="O228" s="182">
        <f>O2</f>
        <v>45673</v>
      </c>
      <c r="P228" s="182">
        <f t="shared" ref="P228:Z228" si="126">P2</f>
        <v>45704</v>
      </c>
      <c r="Q228" s="182">
        <f t="shared" si="126"/>
        <v>45732</v>
      </c>
      <c r="R228" s="182">
        <f t="shared" si="126"/>
        <v>45763</v>
      </c>
      <c r="S228" s="182">
        <f t="shared" si="126"/>
        <v>45793</v>
      </c>
      <c r="T228" s="182">
        <f t="shared" si="126"/>
        <v>45824</v>
      </c>
      <c r="U228" s="182">
        <f t="shared" si="126"/>
        <v>45854</v>
      </c>
      <c r="V228" s="182">
        <f t="shared" si="126"/>
        <v>45885</v>
      </c>
      <c r="W228" s="182">
        <f t="shared" si="126"/>
        <v>45916</v>
      </c>
      <c r="X228" s="182">
        <f t="shared" si="126"/>
        <v>45946</v>
      </c>
      <c r="Y228" s="182">
        <f t="shared" si="126"/>
        <v>45977</v>
      </c>
      <c r="Z228" s="182">
        <f t="shared" si="126"/>
        <v>46007</v>
      </c>
    </row>
    <row r="229" spans="1:26" x14ac:dyDescent="0.2">
      <c r="A229" t="s">
        <v>30</v>
      </c>
      <c r="C229" s="116">
        <v>778.49</v>
      </c>
      <c r="D229" s="116">
        <v>1634.17</v>
      </c>
      <c r="E229" s="116">
        <v>2934.03</v>
      </c>
      <c r="F229" s="116">
        <v>3083.91</v>
      </c>
      <c r="G229" s="116">
        <v>2571.83</v>
      </c>
      <c r="H229" s="116">
        <v>1007.513</v>
      </c>
      <c r="I229" s="116">
        <v>1530.3824999999999</v>
      </c>
      <c r="J229" s="116">
        <v>1003.9950000000001</v>
      </c>
      <c r="K229" s="116">
        <v>1615.92</v>
      </c>
      <c r="L229" s="116">
        <v>1699.4474999999998</v>
      </c>
      <c r="M229" s="116">
        <v>2080.38</v>
      </c>
      <c r="N229" s="116">
        <v>2582.4180000000001</v>
      </c>
      <c r="O229" s="116">
        <v>1387.96</v>
      </c>
      <c r="P229" s="116">
        <v>2403.15</v>
      </c>
      <c r="Q229" s="116">
        <v>3586.5</v>
      </c>
      <c r="R229" s="116">
        <v>2713.53</v>
      </c>
      <c r="S229" s="116">
        <v>1632.95</v>
      </c>
      <c r="T229" s="116">
        <v>1658.1150000000002</v>
      </c>
      <c r="U229" s="116">
        <v>1082.6212499999999</v>
      </c>
      <c r="V229" s="116">
        <v>1770.91</v>
      </c>
      <c r="W229" s="116">
        <v>860.43</v>
      </c>
      <c r="X229" s="116">
        <v>2286.9699999999998</v>
      </c>
      <c r="Y229" s="116">
        <v>2427.3000000000002</v>
      </c>
      <c r="Z229" s="116">
        <v>2227.9430000000002</v>
      </c>
    </row>
    <row r="230" spans="1:26" x14ac:dyDescent="0.2">
      <c r="A230" s="54" t="s">
        <v>245</v>
      </c>
      <c r="C230" s="44">
        <v>1.8629070891149841</v>
      </c>
      <c r="D230" s="44">
        <v>0.7044062874697129</v>
      </c>
      <c r="E230" s="44">
        <v>1.1940637627160975</v>
      </c>
      <c r="F230" s="44">
        <v>1.3478463763177111</v>
      </c>
      <c r="G230" s="44">
        <v>0.53602852357932551</v>
      </c>
      <c r="H230" s="44">
        <v>0.66464862193314789</v>
      </c>
      <c r="I230" s="44">
        <v>1.4200998081767551</v>
      </c>
      <c r="J230" s="44">
        <v>0.80410527950628263</v>
      </c>
      <c r="K230" s="44">
        <v>1.1034103584961013</v>
      </c>
      <c r="L230" s="44">
        <v>1.3247637882507448</v>
      </c>
      <c r="M230" s="44">
        <v>1.3107994356597734</v>
      </c>
      <c r="N230" s="44">
        <v>2.5422418218017873</v>
      </c>
      <c r="O230" s="44">
        <f t="shared" ref="O230:Z230" si="127">+AVERAGE(O770+O828,O829+O771)*O10</f>
        <v>2.2120194042063006</v>
      </c>
      <c r="P230" s="44">
        <f t="shared" si="127"/>
        <v>0.27944060703166529</v>
      </c>
      <c r="Q230" s="44">
        <f t="shared" si="127"/>
        <v>1.4595671521284166</v>
      </c>
      <c r="R230" s="44">
        <f t="shared" si="127"/>
        <v>0.87959792727882591</v>
      </c>
      <c r="S230" s="44">
        <f t="shared" si="127"/>
        <v>0.72229235562763372</v>
      </c>
      <c r="T230" s="44">
        <f t="shared" si="127"/>
        <v>1.3897227565775523</v>
      </c>
      <c r="U230" s="44">
        <f t="shared" si="127"/>
        <v>0.70416323995580299</v>
      </c>
      <c r="V230" s="44">
        <f t="shared" si="127"/>
        <v>0.97742193566793689</v>
      </c>
      <c r="W230" s="44">
        <f t="shared" si="127"/>
        <v>0.4061173933283313</v>
      </c>
      <c r="X230" s="44">
        <f t="shared" si="127"/>
        <v>0.73911174759214904</v>
      </c>
      <c r="Y230" s="44">
        <f t="shared" si="127"/>
        <v>1.7766042318734019</v>
      </c>
      <c r="Z230" s="44">
        <f t="shared" si="127"/>
        <v>1.5464702515206681</v>
      </c>
    </row>
    <row r="231" spans="1:26" x14ac:dyDescent="0.2">
      <c r="A231" s="54" t="s">
        <v>246</v>
      </c>
      <c r="C231" s="44">
        <v>125.46227290822247</v>
      </c>
      <c r="D231" s="44">
        <v>112.33693886274281</v>
      </c>
      <c r="E231" s="44">
        <v>25.425566135839468</v>
      </c>
      <c r="F231" s="44">
        <v>27.456470477422215</v>
      </c>
      <c r="G231" s="44">
        <v>27.559923943537445</v>
      </c>
      <c r="H231" s="44">
        <v>40.514287088451866</v>
      </c>
      <c r="I231" s="44">
        <v>58.880339647453241</v>
      </c>
      <c r="J231" s="44">
        <v>49.011878965679777</v>
      </c>
      <c r="K231" s="44">
        <v>40.52116182620324</v>
      </c>
      <c r="L231" s="44">
        <v>39.340724848769973</v>
      </c>
      <c r="M231" s="44">
        <v>52.862008847400425</v>
      </c>
      <c r="N231" s="44">
        <v>79.159388199002194</v>
      </c>
      <c r="O231" s="44">
        <f t="shared" ref="O231:Z231" si="128">+O230+O10</f>
        <v>91.400251490619439</v>
      </c>
      <c r="P231" s="44">
        <f t="shared" si="128"/>
        <v>80.413899999564705</v>
      </c>
      <c r="Q231" s="44">
        <f t="shared" si="128"/>
        <v>50.009902464917822</v>
      </c>
      <c r="R231" s="44">
        <f t="shared" si="128"/>
        <v>40.449032050485393</v>
      </c>
      <c r="S231" s="44">
        <f t="shared" si="128"/>
        <v>36.194481686346307</v>
      </c>
      <c r="T231" s="44">
        <f t="shared" si="128"/>
        <v>39.507402878585751</v>
      </c>
      <c r="U231" s="44">
        <f t="shared" si="128"/>
        <v>54.477576194632519</v>
      </c>
      <c r="V231" s="44">
        <f t="shared" si="128"/>
        <v>53.615935355796758</v>
      </c>
      <c r="W231" s="44">
        <f t="shared" si="128"/>
        <v>37.576375668869808</v>
      </c>
      <c r="X231" s="44">
        <f t="shared" si="128"/>
        <v>37.0801067748707</v>
      </c>
      <c r="Y231" s="44">
        <f t="shared" si="128"/>
        <v>53.300036730862367</v>
      </c>
      <c r="Z231" s="44">
        <f t="shared" si="128"/>
        <v>72.384500903677363</v>
      </c>
    </row>
    <row r="232" spans="1:26" x14ac:dyDescent="0.2">
      <c r="A232" t="s">
        <v>188</v>
      </c>
      <c r="C232" s="21">
        <v>92787.56859450601</v>
      </c>
      <c r="D232" s="21">
        <v>174398.77261226199</v>
      </c>
      <c r="E232" s="21">
        <v>70869.405119060219</v>
      </c>
      <c r="F232" s="21">
        <v>80439.619676525777</v>
      </c>
      <c r="G232" s="21">
        <v>67335.467235922508</v>
      </c>
      <c r="H232" s="21">
        <v>38777.737380980034</v>
      </c>
      <c r="I232" s="21">
        <v>85603.969320992663</v>
      </c>
      <c r="J232" s="21">
        <v>46747.297351040288</v>
      </c>
      <c r="K232" s="21">
        <v>62205.008027288422</v>
      </c>
      <c r="L232" s="21">
        <v>63514.621667808489</v>
      </c>
      <c r="M232" s="21">
        <v>104474.41266765716</v>
      </c>
      <c r="N232" s="21">
        <v>194201.49750638631</v>
      </c>
      <c r="O232" s="21">
        <f t="shared" ref="O232:Z232" si="129">(1-$B$212)*O231*O229</f>
        <v>120516.89840597415</v>
      </c>
      <c r="P232" s="21">
        <f t="shared" si="129"/>
        <v>183584.33059475623</v>
      </c>
      <c r="Q232" s="21">
        <f t="shared" si="129"/>
        <v>170392.48943090637</v>
      </c>
      <c r="R232" s="21">
        <f t="shared" si="129"/>
        <v>104271.67884295595</v>
      </c>
      <c r="S232" s="21">
        <f t="shared" si="129"/>
        <v>56148.589926233239</v>
      </c>
      <c r="T232" s="21">
        <f t="shared" si="129"/>
        <v>62232.426457824906</v>
      </c>
      <c r="U232" s="21">
        <f t="shared" si="129"/>
        <v>56029.652554963126</v>
      </c>
      <c r="V232" s="21">
        <f t="shared" si="129"/>
        <v>90201.546276887326</v>
      </c>
      <c r="W232" s="21">
        <f t="shared" si="129"/>
        <v>30715.248870927364</v>
      </c>
      <c r="X232" s="21">
        <f t="shared" si="129"/>
        <v>80561.037201379731</v>
      </c>
      <c r="Y232" s="21">
        <f t="shared" si="129"/>
        <v>122906.42019898111</v>
      </c>
      <c r="Z232" s="21">
        <f t="shared" si="129"/>
        <v>153205.11499199958</v>
      </c>
    </row>
    <row r="233" spans="1:26" x14ac:dyDescent="0.2">
      <c r="A233" t="s">
        <v>192</v>
      </c>
      <c r="C233" s="63">
        <v>-97671.124836322109</v>
      </c>
      <c r="D233" s="63">
        <v>-183577.65538132843</v>
      </c>
      <c r="E233" s="63">
        <v>-74599.373809537079</v>
      </c>
      <c r="F233" s="63">
        <v>-84673.283870027139</v>
      </c>
      <c r="G233" s="63">
        <v>-70879.439195707906</v>
      </c>
      <c r="H233" s="63">
        <v>-40818.670927347404</v>
      </c>
      <c r="I233" s="63">
        <v>-90109.441390518608</v>
      </c>
      <c r="J233" s="63">
        <v>-49207.681422147674</v>
      </c>
      <c r="K233" s="63">
        <v>-65478.955818198345</v>
      </c>
      <c r="L233" s="63">
        <v>-66857.49649243</v>
      </c>
      <c r="M233" s="63">
        <v>-109973.0659659549</v>
      </c>
      <c r="N233" s="63">
        <v>-204422.62895409085</v>
      </c>
      <c r="O233" s="63">
        <f t="shared" ref="O233:Z233" si="130">-O229*O231</f>
        <v>-126859.89305892016</v>
      </c>
      <c r="P233" s="63">
        <f t="shared" si="130"/>
        <v>-193246.66378395393</v>
      </c>
      <c r="Q233" s="63">
        <f t="shared" si="130"/>
        <v>-179360.51519042777</v>
      </c>
      <c r="R233" s="63">
        <f t="shared" si="130"/>
        <v>-109759.66193995363</v>
      </c>
      <c r="S233" s="63">
        <f t="shared" si="130"/>
        <v>-59103.778869719201</v>
      </c>
      <c r="T233" s="63">
        <f t="shared" si="130"/>
        <v>-65507.817324026219</v>
      </c>
      <c r="U233" s="63">
        <f t="shared" si="130"/>
        <v>-58978.581636803297</v>
      </c>
      <c r="V233" s="63">
        <f t="shared" si="130"/>
        <v>-94948.996080934041</v>
      </c>
      <c r="W233" s="63">
        <f t="shared" si="130"/>
        <v>-32331.840916765646</v>
      </c>
      <c r="X233" s="63">
        <f t="shared" si="130"/>
        <v>-84801.091790926032</v>
      </c>
      <c r="Y233" s="63">
        <f t="shared" si="130"/>
        <v>-129375.17915682223</v>
      </c>
      <c r="Z233" s="63">
        <f t="shared" si="130"/>
        <v>-161268.54209684167</v>
      </c>
    </row>
    <row r="234" spans="1:26" x14ac:dyDescent="0.2">
      <c r="A234" t="s">
        <v>193</v>
      </c>
      <c r="C234" s="63">
        <v>-4883.5562418160989</v>
      </c>
      <c r="D234" s="63">
        <v>-9178.882769066433</v>
      </c>
      <c r="E234" s="63">
        <v>-3729.9686904768605</v>
      </c>
      <c r="F234" s="63">
        <v>-4233.6641935013613</v>
      </c>
      <c r="G234" s="63">
        <v>-3543.9719597853982</v>
      </c>
      <c r="H234" s="63">
        <v>-2040.9335463673706</v>
      </c>
      <c r="I234" s="63">
        <v>-4505.4720695259457</v>
      </c>
      <c r="J234" s="63">
        <v>-2460.3840711073863</v>
      </c>
      <c r="K234" s="63">
        <v>-3273.9477909099223</v>
      </c>
      <c r="L234" s="63">
        <v>-3342.8748246215109</v>
      </c>
      <c r="M234" s="63">
        <v>-5498.6532982977369</v>
      </c>
      <c r="N234" s="63">
        <v>-10221.131447704538</v>
      </c>
      <c r="O234" s="63">
        <f t="shared" ref="O234:Z234" si="131">+O233+O232</f>
        <v>-6342.994652946014</v>
      </c>
      <c r="P234" s="63">
        <f t="shared" si="131"/>
        <v>-9662.3331891976995</v>
      </c>
      <c r="Q234" s="63">
        <f t="shared" si="131"/>
        <v>-8968.0257595214061</v>
      </c>
      <c r="R234" s="63">
        <f t="shared" si="131"/>
        <v>-5487.9830969976756</v>
      </c>
      <c r="S234" s="63">
        <f t="shared" si="131"/>
        <v>-2955.1889434859622</v>
      </c>
      <c r="T234" s="63">
        <f t="shared" si="131"/>
        <v>-3275.3908662013127</v>
      </c>
      <c r="U234" s="63">
        <f t="shared" si="131"/>
        <v>-2948.9290818401714</v>
      </c>
      <c r="V234" s="63">
        <f t="shared" si="131"/>
        <v>-4747.4498040467151</v>
      </c>
      <c r="W234" s="63">
        <f t="shared" si="131"/>
        <v>-1616.5920458382825</v>
      </c>
      <c r="X234" s="63">
        <f t="shared" si="131"/>
        <v>-4240.0545895463001</v>
      </c>
      <c r="Y234" s="63">
        <f t="shared" si="131"/>
        <v>-6468.7589578411134</v>
      </c>
      <c r="Z234" s="63">
        <f t="shared" si="131"/>
        <v>-8063.4271048420924</v>
      </c>
    </row>
    <row r="235" spans="1:26" x14ac:dyDescent="0.2">
      <c r="C235" s="63"/>
      <c r="D235" s="63"/>
      <c r="E235" s="63"/>
      <c r="F235" s="63"/>
      <c r="G235" s="63"/>
      <c r="H235" s="63"/>
      <c r="I235" s="63"/>
      <c r="J235" s="63"/>
      <c r="K235" s="63"/>
      <c r="L235" s="63"/>
      <c r="M235" s="63"/>
      <c r="N235" s="63"/>
      <c r="O235" s="63"/>
      <c r="P235" s="63"/>
      <c r="Q235" s="63"/>
      <c r="R235" s="63"/>
      <c r="S235" s="63"/>
      <c r="T235" s="63"/>
      <c r="U235" s="63"/>
      <c r="V235" s="63"/>
      <c r="W235" s="63"/>
      <c r="X235" s="63"/>
      <c r="Y235" s="63"/>
      <c r="Z235" s="63"/>
    </row>
    <row r="236" spans="1:26" x14ac:dyDescent="0.2">
      <c r="A236" s="14" t="s">
        <v>231</v>
      </c>
      <c r="C236" s="63"/>
      <c r="D236" s="63"/>
      <c r="E236" s="63"/>
      <c r="F236" s="63"/>
      <c r="G236" s="63"/>
      <c r="H236" s="63"/>
      <c r="I236" s="63"/>
      <c r="J236" s="63"/>
      <c r="K236" s="63"/>
      <c r="L236" s="63"/>
      <c r="M236" s="63"/>
      <c r="N236" s="63"/>
      <c r="O236" s="63"/>
      <c r="P236" s="63"/>
      <c r="Q236" s="63"/>
      <c r="R236" s="63"/>
      <c r="S236" s="63"/>
      <c r="T236" s="63"/>
      <c r="U236" s="63"/>
      <c r="V236" s="63"/>
      <c r="W236" s="63"/>
      <c r="X236" s="63"/>
      <c r="Y236" s="63"/>
      <c r="Z236" s="63"/>
    </row>
    <row r="237" spans="1:26" x14ac:dyDescent="0.2">
      <c r="A237" t="s">
        <v>30</v>
      </c>
      <c r="C237" s="116">
        <v>259.5</v>
      </c>
      <c r="D237" s="116">
        <v>544.72</v>
      </c>
      <c r="E237" s="116">
        <v>978.01</v>
      </c>
      <c r="F237" s="116">
        <v>1027.97</v>
      </c>
      <c r="G237" s="116">
        <v>857.28</v>
      </c>
      <c r="H237" s="116">
        <v>335.83800000000002</v>
      </c>
      <c r="I237" s="116">
        <v>510.1275</v>
      </c>
      <c r="J237" s="116">
        <v>334.66500000000002</v>
      </c>
      <c r="K237" s="116">
        <v>538.64</v>
      </c>
      <c r="L237" s="116">
        <v>566.48249999999996</v>
      </c>
      <c r="M237" s="116">
        <v>693.46</v>
      </c>
      <c r="N237" s="116">
        <v>860.80600000000004</v>
      </c>
      <c r="O237" s="116">
        <v>462.65</v>
      </c>
      <c r="P237" s="116">
        <v>801.05</v>
      </c>
      <c r="Q237" s="116">
        <v>1195.5</v>
      </c>
      <c r="R237" s="116">
        <v>904.51</v>
      </c>
      <c r="S237" s="116">
        <v>544.32000000000005</v>
      </c>
      <c r="T237" s="116">
        <v>552.70500000000004</v>
      </c>
      <c r="U237" s="116">
        <v>360.87374999999997</v>
      </c>
      <c r="V237" s="116">
        <v>590.29999999999995</v>
      </c>
      <c r="W237" s="116">
        <v>286.81</v>
      </c>
      <c r="X237" s="116">
        <v>762.32</v>
      </c>
      <c r="Y237" s="116">
        <v>809.1</v>
      </c>
      <c r="Z237" s="116">
        <v>742.64800000000002</v>
      </c>
    </row>
    <row r="238" spans="1:26" x14ac:dyDescent="0.2">
      <c r="A238" t="s">
        <v>13</v>
      </c>
      <c r="C238" s="148">
        <v>102.59</v>
      </c>
      <c r="D238" s="148">
        <v>102.59</v>
      </c>
      <c r="E238" s="148">
        <v>102.59</v>
      </c>
      <c r="F238" s="148">
        <v>102.59</v>
      </c>
      <c r="G238" s="148">
        <v>102.59</v>
      </c>
      <c r="H238" s="148">
        <v>102.59</v>
      </c>
      <c r="I238" s="148">
        <v>102.59</v>
      </c>
      <c r="J238" s="148">
        <v>102.59</v>
      </c>
      <c r="K238" s="148">
        <v>102.59</v>
      </c>
      <c r="L238" s="148">
        <v>102.59</v>
      </c>
      <c r="M238" s="148">
        <v>102.59</v>
      </c>
      <c r="N238" s="148">
        <v>102.59</v>
      </c>
      <c r="O238" s="148">
        <f t="shared" ref="O238:Z238" si="132">+C238</f>
        <v>102.59</v>
      </c>
      <c r="P238" s="148">
        <f t="shared" si="132"/>
        <v>102.59</v>
      </c>
      <c r="Q238" s="148">
        <f t="shared" si="132"/>
        <v>102.59</v>
      </c>
      <c r="R238" s="148">
        <f t="shared" si="132"/>
        <v>102.59</v>
      </c>
      <c r="S238" s="148">
        <f t="shared" si="132"/>
        <v>102.59</v>
      </c>
      <c r="T238" s="148">
        <f t="shared" si="132"/>
        <v>102.59</v>
      </c>
      <c r="U238" s="148">
        <f t="shared" si="132"/>
        <v>102.59</v>
      </c>
      <c r="V238" s="148">
        <f t="shared" si="132"/>
        <v>102.59</v>
      </c>
      <c r="W238" s="148">
        <f t="shared" si="132"/>
        <v>102.59</v>
      </c>
      <c r="X238" s="148">
        <f t="shared" si="132"/>
        <v>102.59</v>
      </c>
      <c r="Y238" s="148">
        <f t="shared" si="132"/>
        <v>102.59</v>
      </c>
      <c r="Z238" s="148">
        <f t="shared" si="132"/>
        <v>102.59</v>
      </c>
    </row>
    <row r="239" spans="1:26" x14ac:dyDescent="0.2">
      <c r="A239" t="s">
        <v>37</v>
      </c>
      <c r="C239" s="63">
        <v>26622.105</v>
      </c>
      <c r="D239" s="63">
        <v>55882.824800000002</v>
      </c>
      <c r="E239" s="63">
        <v>100334.0459</v>
      </c>
      <c r="F239" s="63">
        <v>105459.44230000001</v>
      </c>
      <c r="G239" s="63">
        <v>87948.355200000005</v>
      </c>
      <c r="H239" s="63">
        <v>34453.620420000007</v>
      </c>
      <c r="I239" s="63">
        <v>52333.980224999999</v>
      </c>
      <c r="J239" s="63">
        <v>34333.282350000001</v>
      </c>
      <c r="K239" s="63">
        <v>55259.077599999997</v>
      </c>
      <c r="L239" s="63">
        <v>58115.439674999994</v>
      </c>
      <c r="M239" s="63">
        <v>71142.061400000006</v>
      </c>
      <c r="N239" s="63">
        <v>88310.087540000008</v>
      </c>
      <c r="O239" s="63">
        <f t="shared" ref="O239:Z239" si="133">+O238*O237</f>
        <v>47463.263500000001</v>
      </c>
      <c r="P239" s="63">
        <f t="shared" si="133"/>
        <v>82179.719499999992</v>
      </c>
      <c r="Q239" s="63">
        <f t="shared" si="133"/>
        <v>122646.345</v>
      </c>
      <c r="R239" s="63">
        <f t="shared" si="133"/>
        <v>92793.680900000007</v>
      </c>
      <c r="S239" s="63">
        <f t="shared" si="133"/>
        <v>55841.788800000009</v>
      </c>
      <c r="T239" s="63">
        <f t="shared" si="133"/>
        <v>56702.005950000006</v>
      </c>
      <c r="U239" s="63">
        <f t="shared" si="133"/>
        <v>37022.038012500001</v>
      </c>
      <c r="V239" s="63">
        <f t="shared" si="133"/>
        <v>60558.877</v>
      </c>
      <c r="W239" s="63">
        <f t="shared" si="133"/>
        <v>29423.837900000002</v>
      </c>
      <c r="X239" s="63">
        <f t="shared" si="133"/>
        <v>78206.408800000005</v>
      </c>
      <c r="Y239" s="63">
        <f t="shared" si="133"/>
        <v>83005.569000000003</v>
      </c>
      <c r="Z239" s="63">
        <f t="shared" si="133"/>
        <v>76188.258320000008</v>
      </c>
    </row>
    <row r="241" spans="1:2" hidden="1" x14ac:dyDescent="0.2"/>
    <row r="242" spans="1:2" hidden="1" x14ac:dyDescent="0.2"/>
    <row r="243" spans="1:2" hidden="1" x14ac:dyDescent="0.2"/>
    <row r="244" spans="1:2" hidden="1" x14ac:dyDescent="0.2">
      <c r="A244" s="14" t="s">
        <v>28</v>
      </c>
    </row>
    <row r="245" spans="1:2" hidden="1" x14ac:dyDescent="0.2">
      <c r="A245" s="30" t="s">
        <v>207</v>
      </c>
    </row>
    <row r="246" spans="1:2" hidden="1" x14ac:dyDescent="0.2">
      <c r="A246" s="30" t="s">
        <v>208</v>
      </c>
    </row>
    <row r="247" spans="1:2" hidden="1" x14ac:dyDescent="0.2">
      <c r="A247" s="30"/>
      <c r="B247" t="s">
        <v>194</v>
      </c>
    </row>
    <row r="248" spans="1:2" s="20" customFormat="1" hidden="1" x14ac:dyDescent="0.2">
      <c r="A248" s="20">
        <v>2006</v>
      </c>
      <c r="B248" s="45"/>
    </row>
    <row r="249" spans="1:2" s="20" customFormat="1" hidden="1" x14ac:dyDescent="0.2">
      <c r="A249" s="20">
        <v>2007</v>
      </c>
      <c r="B249" s="45"/>
    </row>
    <row r="250" spans="1:2" s="20" customFormat="1" hidden="1" x14ac:dyDescent="0.2">
      <c r="A250" s="20">
        <v>2008</v>
      </c>
      <c r="B250" s="45"/>
    </row>
    <row r="251" spans="1:2" s="20" customFormat="1" hidden="1" x14ac:dyDescent="0.2">
      <c r="A251" s="20">
        <v>2009</v>
      </c>
      <c r="B251" s="45"/>
    </row>
    <row r="252" spans="1:2" s="20" customFormat="1" hidden="1" x14ac:dyDescent="0.2">
      <c r="A252" s="20">
        <v>2010</v>
      </c>
      <c r="B252" s="45"/>
    </row>
    <row r="253" spans="1:2" s="20" customFormat="1" hidden="1" x14ac:dyDescent="0.2">
      <c r="A253" s="20">
        <v>2011</v>
      </c>
      <c r="B253" s="45"/>
    </row>
    <row r="254" spans="1:2" s="20" customFormat="1" hidden="1" x14ac:dyDescent="0.2">
      <c r="A254" s="20">
        <v>2012</v>
      </c>
      <c r="B254" s="45"/>
    </row>
    <row r="255" spans="1:2" s="20" customFormat="1" hidden="1" x14ac:dyDescent="0.2">
      <c r="A255" s="20">
        <v>2013</v>
      </c>
      <c r="B255" s="45"/>
    </row>
    <row r="256" spans="1:2" s="20" customFormat="1" hidden="1" x14ac:dyDescent="0.2">
      <c r="A256" s="20">
        <v>2014</v>
      </c>
      <c r="B256" s="45"/>
    </row>
    <row r="257" spans="1:26" s="20" customFormat="1" hidden="1" x14ac:dyDescent="0.2">
      <c r="A257" s="20">
        <v>2015</v>
      </c>
      <c r="B257" s="45"/>
    </row>
    <row r="258" spans="1:26" s="20" customFormat="1" hidden="1" x14ac:dyDescent="0.2">
      <c r="A258" s="20">
        <v>2016</v>
      </c>
      <c r="B258" s="45">
        <v>0.05</v>
      </c>
    </row>
    <row r="259" spans="1:26" s="20" customFormat="1" hidden="1" x14ac:dyDescent="0.2">
      <c r="A259" s="20">
        <v>2017</v>
      </c>
      <c r="B259" s="45">
        <v>0.05</v>
      </c>
    </row>
    <row r="260" spans="1:26" s="20" customFormat="1" hidden="1" x14ac:dyDescent="0.2">
      <c r="A260" s="20">
        <v>2018</v>
      </c>
      <c r="B260" s="45">
        <v>0.05</v>
      </c>
    </row>
    <row r="261" spans="1:26" s="20" customFormat="1" hidden="1" x14ac:dyDescent="0.2"/>
    <row r="262" spans="1:26" s="20" customFormat="1" x14ac:dyDescent="0.2"/>
    <row r="263" spans="1:26" x14ac:dyDescent="0.2">
      <c r="A263" s="14" t="s">
        <v>75</v>
      </c>
      <c r="B263" s="19" t="e">
        <f>+#REF!</f>
        <v>#REF!</v>
      </c>
      <c r="C263" s="19">
        <v>45307</v>
      </c>
      <c r="D263" s="19">
        <v>45338</v>
      </c>
      <c r="E263" s="19">
        <v>45366</v>
      </c>
      <c r="F263" s="19">
        <v>45397</v>
      </c>
      <c r="G263" s="19">
        <v>45427</v>
      </c>
      <c r="H263" s="19">
        <v>45458</v>
      </c>
      <c r="I263" s="19">
        <v>45488</v>
      </c>
      <c r="J263" s="19">
        <v>45519</v>
      </c>
      <c r="K263" s="19">
        <v>45550</v>
      </c>
      <c r="L263" s="19">
        <v>45580</v>
      </c>
      <c r="M263" s="19">
        <v>45611</v>
      </c>
      <c r="N263" s="19">
        <v>45641</v>
      </c>
      <c r="O263" s="19">
        <f t="shared" ref="O263" si="134">+O$2</f>
        <v>45673</v>
      </c>
      <c r="P263" s="19">
        <f t="shared" ref="P263:Z263" si="135">+P$2</f>
        <v>45704</v>
      </c>
      <c r="Q263" s="19">
        <f t="shared" si="135"/>
        <v>45732</v>
      </c>
      <c r="R263" s="19">
        <f t="shared" si="135"/>
        <v>45763</v>
      </c>
      <c r="S263" s="19">
        <f t="shared" si="135"/>
        <v>45793</v>
      </c>
      <c r="T263" s="19">
        <f t="shared" si="135"/>
        <v>45824</v>
      </c>
      <c r="U263" s="19">
        <f t="shared" si="135"/>
        <v>45854</v>
      </c>
      <c r="V263" s="19">
        <f t="shared" si="135"/>
        <v>45885</v>
      </c>
      <c r="W263" s="19">
        <f t="shared" si="135"/>
        <v>45916</v>
      </c>
      <c r="X263" s="19">
        <f t="shared" si="135"/>
        <v>45946</v>
      </c>
      <c r="Y263" s="19">
        <f t="shared" si="135"/>
        <v>45977</v>
      </c>
      <c r="Z263" s="19">
        <f t="shared" si="135"/>
        <v>46007</v>
      </c>
    </row>
    <row r="264" spans="1:26" s="20" customFormat="1" x14ac:dyDescent="0.2">
      <c r="A264" s="20" t="s">
        <v>191</v>
      </c>
      <c r="B264"/>
      <c r="C264" s="52">
        <v>0.11700000000000001</v>
      </c>
      <c r="D264" s="52">
        <v>0.11700000000000001</v>
      </c>
      <c r="E264" s="52">
        <v>0.11700000000000001</v>
      </c>
      <c r="F264" s="52">
        <v>0.11700000000000001</v>
      </c>
      <c r="G264" s="52">
        <v>0.11700000000000001</v>
      </c>
      <c r="H264" s="52">
        <v>0.11700000000000001</v>
      </c>
      <c r="I264" s="52">
        <v>0.11700000000000001</v>
      </c>
      <c r="J264" s="52">
        <v>0.11700000000000001</v>
      </c>
      <c r="K264" s="52">
        <v>0.11700000000000001</v>
      </c>
      <c r="L264" s="52">
        <v>0.11700000000000001</v>
      </c>
      <c r="M264" s="52">
        <v>0.11700000000000001</v>
      </c>
      <c r="N264" s="52">
        <v>0.11700000000000001</v>
      </c>
      <c r="O264" s="52">
        <f t="shared" ref="O264" si="136">+C264</f>
        <v>0.11700000000000001</v>
      </c>
      <c r="P264" s="52">
        <f t="shared" ref="P264" si="137">+D264</f>
        <v>0.11700000000000001</v>
      </c>
      <c r="Q264" s="52">
        <f t="shared" ref="Q264" si="138">+E264</f>
        <v>0.11700000000000001</v>
      </c>
      <c r="R264" s="52">
        <f t="shared" ref="R264" si="139">+F264</f>
        <v>0.11700000000000001</v>
      </c>
      <c r="S264" s="52">
        <f t="shared" ref="S264" si="140">+G264</f>
        <v>0.11700000000000001</v>
      </c>
      <c r="T264" s="52">
        <f t="shared" ref="T264" si="141">+H264</f>
        <v>0.11700000000000001</v>
      </c>
      <c r="U264" s="52">
        <f t="shared" ref="U264" si="142">+I264</f>
        <v>0.11700000000000001</v>
      </c>
      <c r="V264" s="52">
        <f t="shared" ref="V264" si="143">+J264</f>
        <v>0.11700000000000001</v>
      </c>
      <c r="W264" s="52">
        <f t="shared" ref="W264" si="144">+K264</f>
        <v>0.11700000000000001</v>
      </c>
      <c r="X264" s="52">
        <f t="shared" ref="X264" si="145">+L264</f>
        <v>0.11700000000000001</v>
      </c>
      <c r="Y264" s="52">
        <f t="shared" ref="Y264" si="146">+M264</f>
        <v>0.11700000000000001</v>
      </c>
      <c r="Z264" s="52">
        <f t="shared" ref="Z264" si="147">+N264</f>
        <v>0.11700000000000001</v>
      </c>
    </row>
    <row r="265" spans="1:26" s="20" customFormat="1" x14ac:dyDescent="0.2">
      <c r="A265" s="20" t="s">
        <v>212</v>
      </c>
      <c r="C265" s="125">
        <v>96.057000000000002</v>
      </c>
      <c r="D265" s="125">
        <v>89.972999999999999</v>
      </c>
      <c r="E265" s="125">
        <v>100.035</v>
      </c>
      <c r="F265" s="125">
        <v>106.821</v>
      </c>
      <c r="G265" s="125">
        <v>117.23399999999999</v>
      </c>
      <c r="H265" s="125">
        <v>100.26900000000001</v>
      </c>
      <c r="I265" s="125">
        <v>94.418999999999997</v>
      </c>
      <c r="J265" s="125">
        <v>75.230999999999995</v>
      </c>
      <c r="K265" s="125">
        <v>77.688000000000002</v>
      </c>
      <c r="L265" s="125">
        <v>82.835999999999999</v>
      </c>
      <c r="M265" s="125">
        <v>76.869</v>
      </c>
      <c r="N265" s="125">
        <v>85.468999999999994</v>
      </c>
      <c r="O265" s="125">
        <v>98.513999999999996</v>
      </c>
      <c r="P265" s="125">
        <v>92.897999999999996</v>
      </c>
      <c r="Q265" s="125">
        <v>87.516000000000005</v>
      </c>
      <c r="R265" s="125">
        <v>96.057000000000002</v>
      </c>
      <c r="S265" s="125">
        <v>109.161</v>
      </c>
      <c r="T265" s="125">
        <v>128.934</v>
      </c>
      <c r="U265" s="125">
        <v>118.521</v>
      </c>
      <c r="V265" s="125">
        <v>107.64</v>
      </c>
      <c r="W265" s="125">
        <v>102.375</v>
      </c>
      <c r="X265" s="125">
        <v>118.17</v>
      </c>
      <c r="Y265" s="125">
        <v>104.364</v>
      </c>
      <c r="Z265" s="125">
        <v>105.066</v>
      </c>
    </row>
    <row r="266" spans="1:26" s="20" customFormat="1" x14ac:dyDescent="0.2">
      <c r="A266" s="20" t="s">
        <v>283</v>
      </c>
      <c r="C266" s="124">
        <v>4.9199954193864057</v>
      </c>
      <c r="D266" s="124">
        <v>4.920031565025063</v>
      </c>
      <c r="E266" s="124">
        <v>4.9199780076973063</v>
      </c>
      <c r="F266" s="124">
        <v>4.7098416977935056</v>
      </c>
      <c r="G266" s="124">
        <v>4.9199890816657286</v>
      </c>
      <c r="H266" s="124">
        <v>4.9199652933608586</v>
      </c>
      <c r="I266" s="124">
        <v>4.9199843251887865</v>
      </c>
      <c r="J266" s="124">
        <v>4.9200462575268178</v>
      </c>
      <c r="K266" s="124">
        <v>4.9199361548759137</v>
      </c>
      <c r="L266" s="124">
        <v>4.9199623352165727</v>
      </c>
      <c r="M266" s="124">
        <v>4.9200588013373396</v>
      </c>
      <c r="N266" s="124">
        <v>4.9200294843744521</v>
      </c>
      <c r="O266" s="102">
        <v>4.9200113689424851</v>
      </c>
      <c r="P266" s="102">
        <v>4.9200198066696812</v>
      </c>
      <c r="Q266" s="102">
        <v>4.9200146258969788</v>
      </c>
      <c r="R266" s="102">
        <v>4.9199954193864057</v>
      </c>
      <c r="S266" s="102">
        <v>4.9199805791445668</v>
      </c>
      <c r="T266" s="102">
        <v>4.8842818806521171</v>
      </c>
      <c r="U266" s="102">
        <f>4.91996529336086</f>
        <v>4.9199652933608604</v>
      </c>
      <c r="V266" s="102">
        <f>4.9199719880865</f>
        <v>4.9199719880865</v>
      </c>
      <c r="W266" s="102">
        <f>4.92004884004884</f>
        <v>4.9200488400488398</v>
      </c>
      <c r="X266" s="102">
        <f>4.92003046458492</f>
        <v>4.9200304645849204</v>
      </c>
      <c r="Y266" s="102">
        <f>4.91999156797363</f>
        <v>4.9199915679736304</v>
      </c>
      <c r="Z266" s="102">
        <f>4.91995507585708</f>
        <v>4.9199550758570796</v>
      </c>
    </row>
    <row r="267" spans="1:26" s="20" customFormat="1" x14ac:dyDescent="0.2">
      <c r="A267" s="20" t="s">
        <v>284</v>
      </c>
      <c r="C267" s="124">
        <v>4.07</v>
      </c>
      <c r="D267" s="124">
        <v>4.07</v>
      </c>
      <c r="E267" s="124">
        <v>4.07</v>
      </c>
      <c r="F267" s="124">
        <v>4.07</v>
      </c>
      <c r="G267" s="124">
        <v>4.07</v>
      </c>
      <c r="H267" s="124">
        <v>4.07</v>
      </c>
      <c r="I267" s="124">
        <v>4.07</v>
      </c>
      <c r="J267" s="124">
        <v>4.07</v>
      </c>
      <c r="K267" s="124">
        <v>4.07</v>
      </c>
      <c r="L267" s="124">
        <v>4.07</v>
      </c>
      <c r="M267" s="124">
        <v>4.07</v>
      </c>
      <c r="N267" s="124">
        <v>4.07</v>
      </c>
      <c r="O267" s="102">
        <v>4.07</v>
      </c>
      <c r="P267" s="102">
        <v>4.07</v>
      </c>
      <c r="Q267" s="102">
        <v>4.07</v>
      </c>
      <c r="R267" s="102">
        <v>4.07</v>
      </c>
      <c r="S267" s="102">
        <v>4.07</v>
      </c>
      <c r="T267" s="102">
        <v>4.07</v>
      </c>
      <c r="U267" s="102">
        <v>4.07</v>
      </c>
      <c r="V267" s="102">
        <v>4.07</v>
      </c>
      <c r="W267" s="102">
        <v>4.07</v>
      </c>
      <c r="X267" s="102">
        <v>4.07</v>
      </c>
      <c r="Y267" s="102">
        <v>4.07</v>
      </c>
      <c r="Z267" s="102">
        <v>4.07</v>
      </c>
    </row>
    <row r="268" spans="1:26" s="20" customFormat="1" x14ac:dyDescent="0.2">
      <c r="A268" s="20" t="s">
        <v>285</v>
      </c>
      <c r="C268" s="124">
        <v>60.516568287579247</v>
      </c>
      <c r="D268" s="124">
        <v>22.596334455892322</v>
      </c>
      <c r="E268" s="124">
        <v>38.181236567201481</v>
      </c>
      <c r="F268" s="124">
        <v>30.008238080527239</v>
      </c>
      <c r="G268" s="124">
        <v>22.041216711875396</v>
      </c>
      <c r="H268" s="124">
        <v>19.998902951061641</v>
      </c>
      <c r="I268" s="124">
        <v>40.115125133712496</v>
      </c>
      <c r="J268" s="124">
        <v>53.039837301112577</v>
      </c>
      <c r="K268" s="124">
        <v>35.948923900731131</v>
      </c>
      <c r="L268" s="124">
        <v>18.501496933700324</v>
      </c>
      <c r="M268" s="124">
        <v>32.026824857875084</v>
      </c>
      <c r="N268" s="124">
        <v>56.10420152335935</v>
      </c>
      <c r="O268" s="102">
        <v>16.857197961711027</v>
      </c>
      <c r="P268" s="102">
        <v>27.742470236173006</v>
      </c>
      <c r="Q268" s="102">
        <v>13.701723113487818</v>
      </c>
      <c r="R268" s="102">
        <v>9.1044900423706743</v>
      </c>
      <c r="S268" s="102">
        <v>13.226610236256537</v>
      </c>
      <c r="T268" s="102">
        <v>9.1482463896256991</v>
      </c>
      <c r="U268" s="102">
        <v>19.998902951061641</v>
      </c>
      <c r="V268" s="102">
        <v>9.7908387543135813</v>
      </c>
      <c r="W268" s="102">
        <v>7.0392185592185594</v>
      </c>
      <c r="X268" s="102">
        <v>4.3379876449183383</v>
      </c>
      <c r="Y268" s="102">
        <v>18.361503966885131</v>
      </c>
      <c r="Z268" s="102">
        <v>23.105476557592368</v>
      </c>
    </row>
    <row r="269" spans="1:26" s="20" customFormat="1" x14ac:dyDescent="0.2">
      <c r="A269" s="20" t="s">
        <v>286</v>
      </c>
      <c r="C269" s="124">
        <v>1.2635206179664158</v>
      </c>
      <c r="D269" s="124">
        <v>1.3295099641003412</v>
      </c>
      <c r="E269" s="124">
        <v>1.1991802868995851</v>
      </c>
      <c r="F269" s="124">
        <v>1.2207337508542329</v>
      </c>
      <c r="G269" s="124">
        <v>1.098742685569033</v>
      </c>
      <c r="H269" s="124">
        <v>1.1340494070949145</v>
      </c>
      <c r="I269" s="124">
        <v>1.6464906427731707</v>
      </c>
      <c r="J269" s="124">
        <v>1.9857505549573979</v>
      </c>
      <c r="K269" s="124">
        <v>2.0609360518999074</v>
      </c>
      <c r="L269" s="124">
        <v>1.4226906176058718</v>
      </c>
      <c r="M269" s="124">
        <v>1.5436651966332331</v>
      </c>
      <c r="N269" s="124">
        <v>2.0806374240952863</v>
      </c>
      <c r="O269" s="102">
        <v>0.95529569401303371</v>
      </c>
      <c r="P269" s="102">
        <v>1.0207970031647613</v>
      </c>
      <c r="Q269" s="102">
        <v>0.90486311074546355</v>
      </c>
      <c r="R269" s="102">
        <v>-0.42901610502097715</v>
      </c>
      <c r="S269" s="102">
        <v>0.50246883044310697</v>
      </c>
      <c r="T269" s="102">
        <v>0.2840988412676253</v>
      </c>
      <c r="U269" s="102">
        <v>1.1340494070949145</v>
      </c>
      <c r="V269" s="102">
        <v>0.57179740299187487</v>
      </c>
      <c r="W269" s="102">
        <v>0.38017094017094016</v>
      </c>
      <c r="X269" s="102">
        <v>0.22425319455022424</v>
      </c>
      <c r="Y269" s="102">
        <v>0.59196657851366374</v>
      </c>
      <c r="Z269" s="102">
        <v>0.64216778025241272</v>
      </c>
    </row>
    <row r="270" spans="1:26" s="20" customFormat="1" x14ac:dyDescent="0.2">
      <c r="A270" s="20" t="s">
        <v>10</v>
      </c>
      <c r="C270" s="21">
        <v>472.59999999999997</v>
      </c>
      <c r="D270" s="21">
        <v>442.67</v>
      </c>
      <c r="E270" s="21">
        <v>492.17</v>
      </c>
      <c r="F270" s="21">
        <v>503.11000000000007</v>
      </c>
      <c r="G270" s="21">
        <v>576.79</v>
      </c>
      <c r="H270" s="21">
        <v>493.31999999999994</v>
      </c>
      <c r="I270" s="21">
        <v>464.54</v>
      </c>
      <c r="J270" s="21">
        <v>370.14</v>
      </c>
      <c r="K270" s="21">
        <v>382.21999999999997</v>
      </c>
      <c r="L270" s="21">
        <v>407.55</v>
      </c>
      <c r="M270" s="21">
        <v>378.19999999999993</v>
      </c>
      <c r="N270" s="21">
        <v>420.51</v>
      </c>
      <c r="O270" s="21">
        <f t="shared" ref="O270:Z270" si="148">+O266*O265</f>
        <v>484.68999999999994</v>
      </c>
      <c r="P270" s="21">
        <f t="shared" si="148"/>
        <v>457.06</v>
      </c>
      <c r="Q270" s="21">
        <f t="shared" si="148"/>
        <v>430.58000000000004</v>
      </c>
      <c r="R270" s="21">
        <f t="shared" si="148"/>
        <v>472.59999999999997</v>
      </c>
      <c r="S270" s="21">
        <f t="shared" si="148"/>
        <v>537.07000000000005</v>
      </c>
      <c r="T270" s="21">
        <f t="shared" si="148"/>
        <v>629.75</v>
      </c>
      <c r="U270" s="21">
        <f t="shared" si="148"/>
        <v>583.11920653442257</v>
      </c>
      <c r="V270" s="21">
        <f t="shared" si="148"/>
        <v>529.58578479763082</v>
      </c>
      <c r="W270" s="21">
        <f t="shared" si="148"/>
        <v>503.69</v>
      </c>
      <c r="X270" s="21">
        <f t="shared" si="148"/>
        <v>581.40000000000009</v>
      </c>
      <c r="Y270" s="21">
        <f t="shared" si="148"/>
        <v>513.47</v>
      </c>
      <c r="Z270" s="21">
        <f t="shared" si="148"/>
        <v>516.91999999999996</v>
      </c>
    </row>
    <row r="271" spans="1:26" s="20" customFormat="1" x14ac:dyDescent="0.2">
      <c r="A271" s="20" t="s">
        <v>184</v>
      </c>
      <c r="C271" s="21">
        <v>476.19000000000005</v>
      </c>
      <c r="D271" s="21">
        <v>476.19000000000005</v>
      </c>
      <c r="E271" s="21">
        <v>476.19000000000005</v>
      </c>
      <c r="F271" s="21">
        <v>476.19000000000005</v>
      </c>
      <c r="G271" s="21">
        <v>476.19000000000005</v>
      </c>
      <c r="H271" s="21">
        <v>476.19000000000005</v>
      </c>
      <c r="I271" s="21">
        <v>476.19000000000005</v>
      </c>
      <c r="J271" s="21">
        <v>476.19000000000005</v>
      </c>
      <c r="K271" s="21">
        <v>476.19000000000005</v>
      </c>
      <c r="L271" s="21">
        <v>476.19000000000005</v>
      </c>
      <c r="M271" s="21">
        <v>476.19000000000005</v>
      </c>
      <c r="N271" s="21">
        <v>476.19000000000005</v>
      </c>
      <c r="O271" s="21">
        <f t="shared" ref="O271:Z271" si="149">+O267*O264*1000</f>
        <v>476.19000000000005</v>
      </c>
      <c r="P271" s="21">
        <f t="shared" si="149"/>
        <v>476.19000000000005</v>
      </c>
      <c r="Q271" s="21">
        <f t="shared" si="149"/>
        <v>476.19000000000005</v>
      </c>
      <c r="R271" s="21">
        <f t="shared" si="149"/>
        <v>476.19000000000005</v>
      </c>
      <c r="S271" s="21">
        <f t="shared" si="149"/>
        <v>476.19000000000005</v>
      </c>
      <c r="T271" s="21">
        <f t="shared" si="149"/>
        <v>476.19000000000005</v>
      </c>
      <c r="U271" s="21">
        <f t="shared" si="149"/>
        <v>476.19000000000005</v>
      </c>
      <c r="V271" s="21">
        <f t="shared" si="149"/>
        <v>476.19000000000005</v>
      </c>
      <c r="W271" s="21">
        <f t="shared" si="149"/>
        <v>476.19000000000005</v>
      </c>
      <c r="X271" s="21">
        <f t="shared" si="149"/>
        <v>476.19000000000005</v>
      </c>
      <c r="Y271" s="21">
        <f t="shared" si="149"/>
        <v>476.19000000000005</v>
      </c>
      <c r="Z271" s="21">
        <f t="shared" si="149"/>
        <v>476.19000000000005</v>
      </c>
    </row>
    <row r="272" spans="1:26" s="20" customFormat="1" x14ac:dyDescent="0.2">
      <c r="A272" s="20" t="s">
        <v>213</v>
      </c>
      <c r="C272" s="21">
        <v>5813.04</v>
      </c>
      <c r="D272" s="21">
        <v>2033.06</v>
      </c>
      <c r="E272" s="21">
        <v>3819.46</v>
      </c>
      <c r="F272" s="21">
        <v>3205.51</v>
      </c>
      <c r="G272" s="21">
        <v>2583.98</v>
      </c>
      <c r="H272" s="21">
        <v>2005.2699999999998</v>
      </c>
      <c r="I272" s="21">
        <v>3787.63</v>
      </c>
      <c r="J272" s="21">
        <v>3990.24</v>
      </c>
      <c r="K272" s="21">
        <v>2792.8</v>
      </c>
      <c r="L272" s="21">
        <v>1532.59</v>
      </c>
      <c r="M272" s="21">
        <v>2461.87</v>
      </c>
      <c r="N272" s="21">
        <v>4795.17</v>
      </c>
      <c r="O272" s="21">
        <f t="shared" ref="O272:Z272" si="150">+O268*O265</f>
        <v>1660.67</v>
      </c>
      <c r="P272" s="21">
        <f t="shared" si="150"/>
        <v>2577.2199999999998</v>
      </c>
      <c r="Q272" s="21">
        <f t="shared" si="150"/>
        <v>1199.1199999999999</v>
      </c>
      <c r="R272" s="21">
        <f t="shared" si="150"/>
        <v>874.54999999999984</v>
      </c>
      <c r="S272" s="21">
        <f t="shared" si="150"/>
        <v>1443.83</v>
      </c>
      <c r="T272" s="21">
        <f t="shared" si="150"/>
        <v>1179.52</v>
      </c>
      <c r="U272" s="21">
        <f t="shared" si="150"/>
        <v>2370.289976662777</v>
      </c>
      <c r="V272" s="21">
        <f t="shared" si="150"/>
        <v>1053.8858835143139</v>
      </c>
      <c r="W272" s="21">
        <f t="shared" si="150"/>
        <v>720.64</v>
      </c>
      <c r="X272" s="21">
        <f t="shared" si="150"/>
        <v>512.62</v>
      </c>
      <c r="Y272" s="21">
        <f t="shared" si="150"/>
        <v>1916.28</v>
      </c>
      <c r="Z272" s="21">
        <f t="shared" si="150"/>
        <v>2427.6</v>
      </c>
    </row>
    <row r="273" spans="1:26" s="20" customFormat="1" x14ac:dyDescent="0.2">
      <c r="A273" s="20" t="s">
        <v>214</v>
      </c>
      <c r="C273" s="21">
        <v>121.37</v>
      </c>
      <c r="D273" s="21">
        <v>119.61999999999999</v>
      </c>
      <c r="E273" s="21">
        <v>119.96</v>
      </c>
      <c r="F273" s="21">
        <v>130.4</v>
      </c>
      <c r="G273" s="21">
        <v>128.81</v>
      </c>
      <c r="H273" s="21">
        <v>113.71</v>
      </c>
      <c r="I273" s="21">
        <v>155.46</v>
      </c>
      <c r="J273" s="21">
        <v>149.38999999999999</v>
      </c>
      <c r="K273" s="21">
        <v>160.11000000000001</v>
      </c>
      <c r="L273" s="21">
        <v>117.85</v>
      </c>
      <c r="M273" s="21">
        <v>118.66</v>
      </c>
      <c r="N273" s="21">
        <v>177.83</v>
      </c>
      <c r="O273" s="21">
        <f t="shared" ref="O273:Z273" si="151">+O269*O265</f>
        <v>94.11</v>
      </c>
      <c r="P273" s="21">
        <f t="shared" si="151"/>
        <v>94.829999999999984</v>
      </c>
      <c r="Q273" s="21">
        <f t="shared" si="151"/>
        <v>79.19</v>
      </c>
      <c r="R273" s="21">
        <f t="shared" si="151"/>
        <v>-41.21</v>
      </c>
      <c r="S273" s="21">
        <f t="shared" si="151"/>
        <v>54.85</v>
      </c>
      <c r="T273" s="21">
        <f t="shared" si="151"/>
        <v>36.630000000000003</v>
      </c>
      <c r="U273" s="21">
        <f t="shared" si="151"/>
        <v>134.40866977829637</v>
      </c>
      <c r="V273" s="21">
        <f t="shared" si="151"/>
        <v>61.54827245804541</v>
      </c>
      <c r="W273" s="21">
        <f t="shared" si="151"/>
        <v>38.92</v>
      </c>
      <c r="X273" s="21">
        <f t="shared" si="151"/>
        <v>26.5</v>
      </c>
      <c r="Y273" s="21">
        <f t="shared" si="151"/>
        <v>61.780000000000008</v>
      </c>
      <c r="Z273" s="21">
        <f t="shared" si="151"/>
        <v>67.47</v>
      </c>
    </row>
    <row r="274" spans="1:26" s="20" customFormat="1" x14ac:dyDescent="0.2">
      <c r="A274" s="20" t="s">
        <v>215</v>
      </c>
      <c r="B274" s="51"/>
      <c r="C274" s="51">
        <v>6883.2</v>
      </c>
      <c r="D274" s="51">
        <v>3071.54</v>
      </c>
      <c r="E274" s="51">
        <v>4907.78</v>
      </c>
      <c r="F274" s="51">
        <v>4315.21</v>
      </c>
      <c r="G274" s="51">
        <v>3765.77</v>
      </c>
      <c r="H274" s="51">
        <v>3088.49</v>
      </c>
      <c r="I274" s="51">
        <v>4883.8200000000006</v>
      </c>
      <c r="J274" s="51">
        <v>4985.96</v>
      </c>
      <c r="K274" s="51">
        <v>3811.32</v>
      </c>
      <c r="L274" s="51">
        <v>2534.1799999999998</v>
      </c>
      <c r="M274" s="51">
        <v>3434.9199999999996</v>
      </c>
      <c r="N274" s="51">
        <v>5869.7</v>
      </c>
      <c r="O274" s="51">
        <f t="shared" ref="O274:Z274" si="152">+SUM(O270:O273)</f>
        <v>2715.6600000000003</v>
      </c>
      <c r="P274" s="51">
        <f t="shared" si="152"/>
        <v>3605.2999999999997</v>
      </c>
      <c r="Q274" s="51">
        <f t="shared" si="152"/>
        <v>2185.08</v>
      </c>
      <c r="R274" s="51">
        <f t="shared" si="152"/>
        <v>1782.1299999999997</v>
      </c>
      <c r="S274" s="51">
        <f t="shared" si="152"/>
        <v>2511.94</v>
      </c>
      <c r="T274" s="51">
        <f t="shared" si="152"/>
        <v>2322.09</v>
      </c>
      <c r="U274" s="51">
        <f t="shared" si="152"/>
        <v>3564.007852975496</v>
      </c>
      <c r="V274" s="51">
        <f t="shared" si="152"/>
        <v>2121.2099407699902</v>
      </c>
      <c r="W274" s="51">
        <f t="shared" si="152"/>
        <v>1739.44</v>
      </c>
      <c r="X274" s="51">
        <f t="shared" si="152"/>
        <v>1596.71</v>
      </c>
      <c r="Y274" s="51">
        <f t="shared" si="152"/>
        <v>2967.7200000000003</v>
      </c>
      <c r="Z274" s="51">
        <f t="shared" si="152"/>
        <v>3488.18</v>
      </c>
    </row>
    <row r="275" spans="1:26" s="20" customFormat="1" x14ac:dyDescent="0.2">
      <c r="B275" s="51"/>
    </row>
    <row r="276" spans="1:26" s="20" customFormat="1" x14ac:dyDescent="0.2">
      <c r="B276" s="51"/>
    </row>
    <row r="277" spans="1:26" s="20" customFormat="1" x14ac:dyDescent="0.2">
      <c r="A277" s="38" t="s">
        <v>74</v>
      </c>
      <c r="B277" s="36"/>
      <c r="U277" s="46"/>
    </row>
    <row r="278" spans="1:26" s="20" customFormat="1" x14ac:dyDescent="0.2">
      <c r="A278" s="75" t="s">
        <v>216</v>
      </c>
      <c r="B278" s="36"/>
      <c r="C278" s="52">
        <v>5.6660000000000004</v>
      </c>
      <c r="D278" s="52">
        <v>5.6660000000000004</v>
      </c>
      <c r="E278" s="52">
        <v>5.6660000000000004</v>
      </c>
      <c r="F278" s="52">
        <v>5.6660000000000004</v>
      </c>
      <c r="G278" s="52">
        <v>5.6660000000000004</v>
      </c>
      <c r="H278" s="52">
        <v>5.6660000000000004</v>
      </c>
      <c r="I278" s="52">
        <v>5.6660000000000004</v>
      </c>
      <c r="J278" s="52">
        <v>5.6660000000000004</v>
      </c>
      <c r="K278" s="52">
        <v>5.6660000000000004</v>
      </c>
      <c r="L278" s="52">
        <v>5.6660000000000004</v>
      </c>
      <c r="M278" s="52">
        <v>5.6660000000000004</v>
      </c>
      <c r="N278" s="52">
        <v>5.6660000000000004</v>
      </c>
      <c r="O278" s="52">
        <v>5.6660000000000004</v>
      </c>
      <c r="P278" s="52">
        <v>5.6660000000000004</v>
      </c>
      <c r="Q278" s="52">
        <v>5.6660000000000004</v>
      </c>
      <c r="R278" s="52">
        <v>5.6660000000000004</v>
      </c>
      <c r="S278" s="52">
        <v>5.6660000000000004</v>
      </c>
      <c r="T278" s="52">
        <v>5.6660000000000004</v>
      </c>
      <c r="U278" s="52">
        <v>5.6660000000000004</v>
      </c>
      <c r="V278" s="52">
        <v>5.6660000000000004</v>
      </c>
      <c r="W278" s="52">
        <v>5.6660000000000004</v>
      </c>
      <c r="X278" s="52">
        <v>5.6660000000000004</v>
      </c>
      <c r="Y278" s="52">
        <v>5.6660000000000004</v>
      </c>
      <c r="Z278" s="52">
        <v>5.6660000000000004</v>
      </c>
    </row>
    <row r="279" spans="1:26" s="20" customFormat="1" x14ac:dyDescent="0.2">
      <c r="A279" s="20" t="s">
        <v>217</v>
      </c>
      <c r="B279" s="50"/>
      <c r="C279" s="125">
        <v>3090.0770000000002</v>
      </c>
      <c r="D279" s="125">
        <v>2857.4989999999998</v>
      </c>
      <c r="E279" s="125">
        <v>3358.71</v>
      </c>
      <c r="F279" s="125">
        <v>2880.48</v>
      </c>
      <c r="G279" s="125">
        <v>3203.7910000000002</v>
      </c>
      <c r="H279" s="125">
        <v>3008.8530000000001</v>
      </c>
      <c r="I279" s="125">
        <v>3041.739</v>
      </c>
      <c r="J279" s="125">
        <v>2837.2919999999999</v>
      </c>
      <c r="K279" s="125">
        <v>2897.1210000000001</v>
      </c>
      <c r="L279" s="125">
        <v>2943.8739999999998</v>
      </c>
      <c r="M279" s="125">
        <v>2807.576</v>
      </c>
      <c r="N279" s="125">
        <v>3260.8449999999998</v>
      </c>
      <c r="O279" s="125">
        <v>3278.6750000000002</v>
      </c>
      <c r="P279" s="125">
        <v>3057.587</v>
      </c>
      <c r="Q279" s="125">
        <v>3232.7139999999999</v>
      </c>
      <c r="R279" s="125">
        <v>3017.9659999999999</v>
      </c>
      <c r="S279" s="125">
        <v>3327.41</v>
      </c>
      <c r="T279" s="125">
        <v>3110.2840000000001</v>
      </c>
      <c r="U279" s="125">
        <v>3084.53</v>
      </c>
      <c r="V279" s="125">
        <v>3021.9279999999999</v>
      </c>
      <c r="W279" s="125">
        <v>2969.6280000000002</v>
      </c>
      <c r="X279" s="125">
        <v>3225.1860000000001</v>
      </c>
      <c r="Y279" s="125">
        <v>3268.3739999999998</v>
      </c>
      <c r="Z279" s="125">
        <v>3218.8470000000002</v>
      </c>
    </row>
    <row r="280" spans="1:26" s="20" customFormat="1" x14ac:dyDescent="0.2">
      <c r="A280" s="20" t="s">
        <v>287</v>
      </c>
      <c r="B280" s="50"/>
      <c r="C280" s="124">
        <v>5.3010329516060599</v>
      </c>
      <c r="D280" s="124">
        <v>4.92000172178538</v>
      </c>
      <c r="E280" s="124">
        <v>4.9200020245868208</v>
      </c>
      <c r="F280" s="124">
        <v>4.9199994445370212</v>
      </c>
      <c r="G280" s="124">
        <v>4.9199994631360155</v>
      </c>
      <c r="H280" s="124">
        <v>4.920001076822297</v>
      </c>
      <c r="I280" s="124">
        <v>4.9200013544883374</v>
      </c>
      <c r="J280" s="124">
        <v>4.920001184227778</v>
      </c>
      <c r="K280" s="124">
        <v>4.9199981636942329</v>
      </c>
      <c r="L280" s="124">
        <v>4.9199999728249244</v>
      </c>
      <c r="M280" s="124">
        <v>4.9199986037777785</v>
      </c>
      <c r="N280" s="124">
        <v>4.9200007973393403</v>
      </c>
      <c r="O280" s="102">
        <v>4.9199996949987419</v>
      </c>
      <c r="P280" s="102">
        <v>4.9200006410283663</v>
      </c>
      <c r="Q280" s="102">
        <v>4.919999109107704</v>
      </c>
      <c r="R280" s="102">
        <v>4.9199990987307345</v>
      </c>
      <c r="S280" s="102">
        <v>4.9199978361548471</v>
      </c>
      <c r="T280" s="102">
        <v>5.2233461638872845</v>
      </c>
      <c r="U280" s="102">
        <f>4.9200010768223</f>
        <v>4.9200010768222997</v>
      </c>
      <c r="V280" s="102">
        <f>4.9200007780764</f>
        <v>4.9200007780763997</v>
      </c>
      <c r="W280" s="102">
        <f>4.8884910837317</f>
        <v>4.8884910837316999</v>
      </c>
      <c r="X280" s="102">
        <f>4.92000151309103</f>
        <v>4.9200015130910302</v>
      </c>
      <c r="Y280" s="102">
        <f>4.919999975523</f>
        <v>4.9199999755229999</v>
      </c>
      <c r="Z280" s="102">
        <f>5.23113400543735</f>
        <v>5.2311340054373501</v>
      </c>
    </row>
    <row r="281" spans="1:26" s="20" customFormat="1" x14ac:dyDescent="0.2">
      <c r="A281" s="20" t="s">
        <v>288</v>
      </c>
      <c r="B281" s="50"/>
      <c r="C281" s="124">
        <v>4.07</v>
      </c>
      <c r="D281" s="124">
        <v>4.07</v>
      </c>
      <c r="E281" s="124">
        <v>4.07</v>
      </c>
      <c r="F281" s="124">
        <v>4.07</v>
      </c>
      <c r="G281" s="124">
        <v>4.07</v>
      </c>
      <c r="H281" s="124">
        <v>4.07</v>
      </c>
      <c r="I281" s="124">
        <v>4.07</v>
      </c>
      <c r="J281" s="124">
        <v>4.07</v>
      </c>
      <c r="K281" s="124">
        <v>4.07</v>
      </c>
      <c r="L281" s="124">
        <v>4.07</v>
      </c>
      <c r="M281" s="124">
        <v>4.07</v>
      </c>
      <c r="N281" s="124">
        <v>4.07</v>
      </c>
      <c r="O281" s="102">
        <v>4.07</v>
      </c>
      <c r="P281" s="102">
        <v>4.07</v>
      </c>
      <c r="Q281" s="102">
        <v>4.07</v>
      </c>
      <c r="R281" s="102">
        <v>4.07</v>
      </c>
      <c r="S281" s="102">
        <v>4.07</v>
      </c>
      <c r="T281" s="102">
        <v>4.07</v>
      </c>
      <c r="U281" s="102">
        <v>4.07</v>
      </c>
      <c r="V281" s="102">
        <v>4.07</v>
      </c>
      <c r="W281" s="102">
        <v>4.07</v>
      </c>
      <c r="X281" s="102">
        <v>4.07</v>
      </c>
      <c r="Y281" s="102">
        <v>4.07</v>
      </c>
      <c r="Z281" s="102">
        <v>4.07</v>
      </c>
    </row>
    <row r="282" spans="1:26" s="20" customFormat="1" x14ac:dyDescent="0.2">
      <c r="A282" s="20" t="s">
        <v>530</v>
      </c>
      <c r="B282" s="50"/>
      <c r="C282" s="124">
        <v>67.353900889848362</v>
      </c>
      <c r="D282" s="124">
        <v>25.14297292842447</v>
      </c>
      <c r="E282" s="124">
        <v>37.497473732474674</v>
      </c>
      <c r="F282" s="124">
        <v>31.662132700105534</v>
      </c>
      <c r="G282" s="124">
        <v>25.829724847844322</v>
      </c>
      <c r="H282" s="124">
        <v>20.939411131085496</v>
      </c>
      <c r="I282" s="124">
        <v>16.335783576434398</v>
      </c>
      <c r="J282" s="124">
        <v>25.534851541540309</v>
      </c>
      <c r="K282" s="124">
        <v>17.771957056677991</v>
      </c>
      <c r="L282" s="124">
        <v>12.699432788223953</v>
      </c>
      <c r="M282" s="124">
        <v>31.515969647838567</v>
      </c>
      <c r="N282" s="124">
        <v>49.707618730727773</v>
      </c>
      <c r="O282" s="233">
        <v>22.130625938831997</v>
      </c>
      <c r="P282" s="102">
        <v>31.469171604928988</v>
      </c>
      <c r="Q282" s="102">
        <v>14.955907018065933</v>
      </c>
      <c r="R282" s="102">
        <v>14.666954498493357</v>
      </c>
      <c r="S282" s="102">
        <v>19.346188176389447</v>
      </c>
      <c r="T282" s="102">
        <v>14.794205288005854</v>
      </c>
      <c r="U282" s="102">
        <v>20.939411131085496</v>
      </c>
      <c r="V282" s="102">
        <v>12.371340204180214</v>
      </c>
      <c r="W282" s="102">
        <v>5.7401061681799854</v>
      </c>
      <c r="X282" s="102">
        <v>4.1104327006256369</v>
      </c>
      <c r="Y282" s="102">
        <v>20.208079001974681</v>
      </c>
      <c r="Z282" s="102">
        <v>23.530329338424597</v>
      </c>
    </row>
    <row r="283" spans="1:26" s="20" customFormat="1" x14ac:dyDescent="0.2">
      <c r="A283" s="20" t="s">
        <v>531</v>
      </c>
      <c r="B283" s="50"/>
      <c r="C283" s="124">
        <v>0.13273779261811275</v>
      </c>
      <c r="D283" s="124">
        <v>0.14176032957491849</v>
      </c>
      <c r="E283" s="124">
        <v>0.12101669986393584</v>
      </c>
      <c r="F283" s="124">
        <v>0.15317933122257402</v>
      </c>
      <c r="G283" s="124">
        <v>0.13609189862884313</v>
      </c>
      <c r="H283" s="124">
        <v>0.12791585364921448</v>
      </c>
      <c r="I283" s="124">
        <v>0.17294383245899794</v>
      </c>
      <c r="J283" s="124">
        <v>0.1783813579991062</v>
      </c>
      <c r="K283" s="124">
        <v>0.18715476502362174</v>
      </c>
      <c r="L283" s="124">
        <v>0.13550851700854047</v>
      </c>
      <c r="M283" s="124">
        <v>0.14284564335925368</v>
      </c>
      <c r="N283" s="124">
        <v>0.18467605789296948</v>
      </c>
      <c r="O283" s="102">
        <v>9.734420154483138E-2</v>
      </c>
      <c r="P283" s="102">
        <v>0.10555709453238779</v>
      </c>
      <c r="Q283" s="102">
        <v>8.3060239786136358E-2</v>
      </c>
      <c r="R283" s="102">
        <v>-4.5699653342681792E-2</v>
      </c>
      <c r="S283" s="102">
        <v>5.582419960269399E-2</v>
      </c>
      <c r="T283" s="102">
        <v>3.9751996923753585E-2</v>
      </c>
      <c r="U283" s="102">
        <v>0.12791585364921448</v>
      </c>
      <c r="V283" s="102">
        <v>7.428036037905289E-2</v>
      </c>
      <c r="W283" s="102">
        <v>4.4729508207762052E-2</v>
      </c>
      <c r="X283" s="102">
        <v>2.8243332322538915E-2</v>
      </c>
      <c r="Y283" s="102">
        <v>6.40257204346871E-2</v>
      </c>
      <c r="Z283" s="102">
        <v>7.1165234010811942E-2</v>
      </c>
    </row>
    <row r="284" spans="1:26" s="20" customFormat="1" x14ac:dyDescent="0.2">
      <c r="A284" s="20" t="s">
        <v>532</v>
      </c>
      <c r="B284" s="50"/>
      <c r="C284" s="21">
        <v>16380.6</v>
      </c>
      <c r="D284" s="21">
        <v>14058.9</v>
      </c>
      <c r="E284" s="21">
        <v>16524.86</v>
      </c>
      <c r="F284" s="21">
        <v>14171.96</v>
      </c>
      <c r="G284" s="21">
        <v>15762.65</v>
      </c>
      <c r="H284" s="21">
        <v>14803.56</v>
      </c>
      <c r="I284" s="21">
        <v>14965.36</v>
      </c>
      <c r="J284" s="21">
        <v>13959.48</v>
      </c>
      <c r="K284" s="21">
        <v>14253.83</v>
      </c>
      <c r="L284" s="21">
        <v>14483.86</v>
      </c>
      <c r="M284" s="21">
        <v>13813.27</v>
      </c>
      <c r="N284" s="21">
        <v>16043.36</v>
      </c>
      <c r="O284" s="21">
        <f t="shared" ref="O284:Z284" si="153">+O280*O279</f>
        <v>16131.080000000002</v>
      </c>
      <c r="P284" s="21">
        <f t="shared" si="153"/>
        <v>15043.33</v>
      </c>
      <c r="Q284" s="21">
        <f t="shared" si="153"/>
        <v>15904.950000000003</v>
      </c>
      <c r="R284" s="21">
        <f t="shared" si="153"/>
        <v>14848.39</v>
      </c>
      <c r="S284" s="21">
        <f t="shared" si="153"/>
        <v>16370.849999999999</v>
      </c>
      <c r="T284" s="21">
        <f t="shared" si="153"/>
        <v>16246.089999999998</v>
      </c>
      <c r="U284" s="21">
        <f t="shared" si="153"/>
        <v>15175.890921490689</v>
      </c>
      <c r="V284" s="21">
        <f t="shared" si="153"/>
        <v>14867.888111290858</v>
      </c>
      <c r="W284" s="21">
        <f t="shared" si="153"/>
        <v>14517.000000000002</v>
      </c>
      <c r="X284" s="21">
        <f t="shared" si="153"/>
        <v>15867.920000000007</v>
      </c>
      <c r="Y284" s="21">
        <f t="shared" si="153"/>
        <v>16080.400000000009</v>
      </c>
      <c r="Z284" s="21">
        <f t="shared" si="153"/>
        <v>16838.219999999998</v>
      </c>
    </row>
    <row r="285" spans="1:26" s="20" customFormat="1" x14ac:dyDescent="0.2">
      <c r="A285" s="20" t="s">
        <v>533</v>
      </c>
      <c r="B285" s="50"/>
      <c r="C285" s="21">
        <v>410.17</v>
      </c>
      <c r="D285" s="21">
        <v>405.08</v>
      </c>
      <c r="E285" s="21">
        <v>406.46</v>
      </c>
      <c r="F285" s="21">
        <v>441.23</v>
      </c>
      <c r="G285" s="21">
        <v>436.01</v>
      </c>
      <c r="H285" s="21">
        <v>384.87999999999994</v>
      </c>
      <c r="I285" s="21">
        <v>526.04999999999995</v>
      </c>
      <c r="J285" s="21">
        <v>506.12</v>
      </c>
      <c r="K285" s="21">
        <v>542.21</v>
      </c>
      <c r="L285" s="21">
        <v>398.92</v>
      </c>
      <c r="M285" s="21">
        <v>401.05</v>
      </c>
      <c r="N285" s="21">
        <v>602.20000000000005</v>
      </c>
      <c r="O285" s="21">
        <f t="shared" ref="O285:Z285" si="154">+O283*O279</f>
        <v>319.16000000000003</v>
      </c>
      <c r="P285" s="21">
        <f t="shared" si="154"/>
        <v>322.75</v>
      </c>
      <c r="Q285" s="21">
        <f t="shared" si="154"/>
        <v>268.51</v>
      </c>
      <c r="R285" s="21">
        <f t="shared" si="154"/>
        <v>-137.91999999999999</v>
      </c>
      <c r="S285" s="21">
        <f t="shared" si="154"/>
        <v>185.75</v>
      </c>
      <c r="T285" s="21">
        <f t="shared" si="154"/>
        <v>123.64</v>
      </c>
      <c r="U285" s="21">
        <f t="shared" si="154"/>
        <v>394.56028805661157</v>
      </c>
      <c r="V285" s="21">
        <f t="shared" si="154"/>
        <v>224.46990087955052</v>
      </c>
      <c r="W285" s="21">
        <f t="shared" si="154"/>
        <v>132.83000000000001</v>
      </c>
      <c r="X285" s="21">
        <f t="shared" si="154"/>
        <v>91.09</v>
      </c>
      <c r="Y285" s="21">
        <f t="shared" si="154"/>
        <v>209.26</v>
      </c>
      <c r="Z285" s="21">
        <f t="shared" si="154"/>
        <v>229.07</v>
      </c>
    </row>
    <row r="286" spans="1:26" s="20" customFormat="1" x14ac:dyDescent="0.2">
      <c r="A286" s="20" t="s">
        <v>218</v>
      </c>
      <c r="B286" s="50"/>
      <c r="C286" s="21">
        <v>208128.73999999996</v>
      </c>
      <c r="D286" s="21">
        <v>71846.01999999999</v>
      </c>
      <c r="E286" s="21">
        <v>125943.14000000001</v>
      </c>
      <c r="F286" s="21">
        <v>91202.139999999985</v>
      </c>
      <c r="G286" s="21">
        <v>82753.040000000008</v>
      </c>
      <c r="H286" s="21">
        <v>63003.609999999986</v>
      </c>
      <c r="I286" s="21">
        <v>49689.189999999988</v>
      </c>
      <c r="J286" s="21">
        <v>72449.829999999987</v>
      </c>
      <c r="K286" s="21">
        <v>51487.51</v>
      </c>
      <c r="L286" s="21">
        <v>37385.53</v>
      </c>
      <c r="M286" s="21">
        <v>88483.48000000001</v>
      </c>
      <c r="N286" s="21">
        <v>162088.84</v>
      </c>
      <c r="O286" s="21">
        <f t="shared" ref="O286:Z286" si="155">+O282*O279</f>
        <v>72559.13</v>
      </c>
      <c r="P286" s="21">
        <f t="shared" si="155"/>
        <v>96219.73000000001</v>
      </c>
      <c r="Q286" s="21">
        <f t="shared" si="155"/>
        <v>48348.169999999991</v>
      </c>
      <c r="R286" s="21">
        <f t="shared" si="155"/>
        <v>44264.37</v>
      </c>
      <c r="S286" s="21">
        <f t="shared" si="155"/>
        <v>64372.700000000004</v>
      </c>
      <c r="T286" s="21">
        <f t="shared" si="155"/>
        <v>46014.18</v>
      </c>
      <c r="U286" s="21">
        <f t="shared" si="155"/>
        <v>64588.241816167152</v>
      </c>
      <c r="V286" s="21">
        <f t="shared" si="155"/>
        <v>37385.299360537902</v>
      </c>
      <c r="W286" s="21">
        <f t="shared" si="155"/>
        <v>17045.979999999996</v>
      </c>
      <c r="X286" s="21">
        <f t="shared" si="155"/>
        <v>13256.909999999996</v>
      </c>
      <c r="Y286" s="21">
        <f t="shared" si="155"/>
        <v>66047.56</v>
      </c>
      <c r="Z286" s="21">
        <f t="shared" si="155"/>
        <v>75740.53</v>
      </c>
    </row>
    <row r="287" spans="1:26" s="20" customFormat="1" x14ac:dyDescent="0.2">
      <c r="A287" s="20" t="s">
        <v>219</v>
      </c>
      <c r="B287" s="50"/>
      <c r="C287" s="21">
        <v>23060.620000000003</v>
      </c>
      <c r="D287" s="21">
        <v>23060.620000000003</v>
      </c>
      <c r="E287" s="21">
        <v>23060.620000000003</v>
      </c>
      <c r="F287" s="21">
        <v>23060.620000000003</v>
      </c>
      <c r="G287" s="21">
        <v>23060.620000000003</v>
      </c>
      <c r="H287" s="21">
        <v>23060.620000000003</v>
      </c>
      <c r="I287" s="21">
        <v>23060.620000000003</v>
      </c>
      <c r="J287" s="21">
        <v>23060.620000000003</v>
      </c>
      <c r="K287" s="21">
        <v>23060.620000000003</v>
      </c>
      <c r="L287" s="21">
        <v>23060.620000000003</v>
      </c>
      <c r="M287" s="21">
        <v>23060.620000000003</v>
      </c>
      <c r="N287" s="21">
        <v>23060.620000000003</v>
      </c>
      <c r="O287" s="21">
        <f t="shared" ref="O287:Z287" si="156">+O281*O278*1000</f>
        <v>23060.620000000003</v>
      </c>
      <c r="P287" s="21">
        <f t="shared" si="156"/>
        <v>23060.620000000003</v>
      </c>
      <c r="Q287" s="21">
        <f t="shared" si="156"/>
        <v>23060.620000000003</v>
      </c>
      <c r="R287" s="21">
        <f t="shared" si="156"/>
        <v>23060.620000000003</v>
      </c>
      <c r="S287" s="21">
        <f t="shared" si="156"/>
        <v>23060.620000000003</v>
      </c>
      <c r="T287" s="21">
        <f t="shared" si="156"/>
        <v>23060.620000000003</v>
      </c>
      <c r="U287" s="21">
        <f t="shared" si="156"/>
        <v>23060.620000000003</v>
      </c>
      <c r="V287" s="21">
        <f t="shared" si="156"/>
        <v>23060.620000000003</v>
      </c>
      <c r="W287" s="21">
        <f t="shared" si="156"/>
        <v>23060.620000000003</v>
      </c>
      <c r="X287" s="21">
        <f t="shared" si="156"/>
        <v>23060.620000000003</v>
      </c>
      <c r="Y287" s="21">
        <f t="shared" si="156"/>
        <v>23060.620000000003</v>
      </c>
      <c r="Z287" s="21">
        <f t="shared" si="156"/>
        <v>23060.620000000003</v>
      </c>
    </row>
    <row r="288" spans="1:26" s="20" customFormat="1" x14ac:dyDescent="0.2">
      <c r="A288" s="20" t="s">
        <v>220</v>
      </c>
      <c r="B288" s="51"/>
      <c r="C288" s="51">
        <v>247980.12999999995</v>
      </c>
      <c r="D288" s="51">
        <v>109370.62</v>
      </c>
      <c r="E288" s="51">
        <v>165935.08000000002</v>
      </c>
      <c r="F288" s="51">
        <v>128875.94999999998</v>
      </c>
      <c r="G288" s="51">
        <v>122012.32</v>
      </c>
      <c r="H288" s="51">
        <v>101252.66999999998</v>
      </c>
      <c r="I288" s="51">
        <v>88241.22</v>
      </c>
      <c r="J288" s="51">
        <v>109976.04999999999</v>
      </c>
      <c r="K288" s="51">
        <v>89344.170000000013</v>
      </c>
      <c r="L288" s="51">
        <v>75328.929999999993</v>
      </c>
      <c r="M288" s="51">
        <v>125758.42000000001</v>
      </c>
      <c r="N288" s="51">
        <v>201795.02</v>
      </c>
      <c r="O288" s="51">
        <f t="shared" ref="O288:Z288" si="157">+SUM(O284:O287)</f>
        <v>112069.99000000002</v>
      </c>
      <c r="P288" s="51">
        <f t="shared" si="157"/>
        <v>134646.43000000002</v>
      </c>
      <c r="Q288" s="51">
        <f t="shared" si="157"/>
        <v>87582.25</v>
      </c>
      <c r="R288" s="51">
        <f t="shared" si="157"/>
        <v>82035.460000000006</v>
      </c>
      <c r="S288" s="51">
        <f t="shared" si="157"/>
        <v>103989.92000000001</v>
      </c>
      <c r="T288" s="51">
        <f t="shared" si="157"/>
        <v>85444.53</v>
      </c>
      <c r="U288" s="51">
        <f t="shared" si="157"/>
        <v>103219.31302571445</v>
      </c>
      <c r="V288" s="51">
        <f t="shared" si="157"/>
        <v>75538.277372708311</v>
      </c>
      <c r="W288" s="51">
        <f t="shared" si="157"/>
        <v>54756.43</v>
      </c>
      <c r="X288" s="51">
        <f t="shared" si="157"/>
        <v>52276.540000000008</v>
      </c>
      <c r="Y288" s="51">
        <f t="shared" si="157"/>
        <v>105397.84</v>
      </c>
      <c r="Z288" s="51">
        <f t="shared" si="157"/>
        <v>115868.44</v>
      </c>
    </row>
    <row r="289" spans="1:26" s="20" customFormat="1" x14ac:dyDescent="0.2">
      <c r="B289" s="36"/>
      <c r="U289" s="21"/>
    </row>
    <row r="290" spans="1:26" s="20" customFormat="1" x14ac:dyDescent="0.2">
      <c r="V290" s="21"/>
    </row>
    <row r="291" spans="1:26" x14ac:dyDescent="0.2">
      <c r="V291" s="16"/>
    </row>
    <row r="295" spans="1:26" x14ac:dyDescent="0.2">
      <c r="A295" s="14" t="s">
        <v>490</v>
      </c>
      <c r="C295" s="187">
        <v>45307</v>
      </c>
      <c r="D295" s="187">
        <v>45338</v>
      </c>
      <c r="E295" s="187">
        <v>45366</v>
      </c>
      <c r="F295" s="187">
        <v>45397</v>
      </c>
      <c r="G295" s="187">
        <v>45427</v>
      </c>
      <c r="H295" s="187">
        <v>45458</v>
      </c>
      <c r="I295" s="187">
        <v>45488</v>
      </c>
      <c r="J295" s="187">
        <v>45519</v>
      </c>
      <c r="K295" s="187">
        <v>45550</v>
      </c>
      <c r="L295" s="187">
        <v>45580</v>
      </c>
      <c r="M295" s="187">
        <v>45611</v>
      </c>
      <c r="N295" s="187">
        <v>45641</v>
      </c>
      <c r="O295" s="187">
        <f t="shared" ref="O295:Z295" si="158">+O2</f>
        <v>45673</v>
      </c>
      <c r="P295" s="187">
        <f t="shared" si="158"/>
        <v>45704</v>
      </c>
      <c r="Q295" s="187">
        <f t="shared" si="158"/>
        <v>45732</v>
      </c>
      <c r="R295" s="187">
        <f t="shared" si="158"/>
        <v>45763</v>
      </c>
      <c r="S295" s="187">
        <f t="shared" si="158"/>
        <v>45793</v>
      </c>
      <c r="T295" s="187">
        <f t="shared" si="158"/>
        <v>45824</v>
      </c>
      <c r="U295" s="187">
        <f t="shared" si="158"/>
        <v>45854</v>
      </c>
      <c r="V295" s="187">
        <f t="shared" si="158"/>
        <v>45885</v>
      </c>
      <c r="W295" s="187">
        <f t="shared" si="158"/>
        <v>45916</v>
      </c>
      <c r="X295" s="187">
        <f t="shared" si="158"/>
        <v>45946</v>
      </c>
      <c r="Y295" s="187">
        <f t="shared" si="158"/>
        <v>45977</v>
      </c>
      <c r="Z295" s="187">
        <f t="shared" si="158"/>
        <v>46007</v>
      </c>
    </row>
    <row r="296" spans="1:26" x14ac:dyDescent="0.2">
      <c r="A296" s="54" t="s">
        <v>491</v>
      </c>
      <c r="C296" s="116">
        <v>430.53100000000001</v>
      </c>
      <c r="D296" s="116">
        <v>395.31299999999999</v>
      </c>
      <c r="E296" s="116">
        <v>626.71799999999996</v>
      </c>
      <c r="F296" s="116">
        <v>1376.009</v>
      </c>
      <c r="G296" s="116">
        <v>2250.1590000000001</v>
      </c>
      <c r="H296" s="116">
        <v>2966.8330000000001</v>
      </c>
      <c r="I296" s="116">
        <v>2493.7660000000001</v>
      </c>
      <c r="J296" s="116">
        <v>2211.4859999999999</v>
      </c>
      <c r="K296" s="116">
        <v>1698.8209999999999</v>
      </c>
      <c r="L296" s="116">
        <v>1312.9960000000001</v>
      </c>
      <c r="M296" s="116">
        <v>1202.5719999999999</v>
      </c>
      <c r="N296" s="116">
        <v>612.94000000000005</v>
      </c>
      <c r="O296" s="116">
        <v>314.54000000000002</v>
      </c>
      <c r="P296" s="116">
        <v>436.35500000000002</v>
      </c>
      <c r="Q296" s="116">
        <v>1449.615</v>
      </c>
      <c r="R296" s="116">
        <v>1568.808</v>
      </c>
      <c r="S296" s="116">
        <v>2332.5340000000001</v>
      </c>
      <c r="T296" s="116">
        <v>3240.2579999999998</v>
      </c>
      <c r="U296" s="116">
        <v>2058.4160000000002</v>
      </c>
      <c r="V296" s="116">
        <v>1990.952</v>
      </c>
      <c r="W296" s="116">
        <v>1810.067</v>
      </c>
      <c r="X296" s="116">
        <v>1478.998</v>
      </c>
      <c r="Y296" s="116">
        <v>574.27300000000002</v>
      </c>
      <c r="Z296" s="116">
        <v>393.69900000000001</v>
      </c>
    </row>
    <row r="297" spans="1:26" x14ac:dyDescent="0.2">
      <c r="A297" s="54" t="s">
        <v>492</v>
      </c>
      <c r="C297" s="162">
        <v>0</v>
      </c>
      <c r="D297" s="162">
        <v>0</v>
      </c>
      <c r="E297" s="162">
        <v>0</v>
      </c>
      <c r="F297" s="162">
        <v>0</v>
      </c>
      <c r="G297" s="162">
        <v>0</v>
      </c>
      <c r="H297" s="162">
        <v>0</v>
      </c>
      <c r="I297" s="162">
        <v>0</v>
      </c>
      <c r="J297" s="162">
        <v>0</v>
      </c>
      <c r="K297" s="162">
        <v>0</v>
      </c>
      <c r="L297" s="162">
        <v>0</v>
      </c>
      <c r="M297" s="162">
        <v>0</v>
      </c>
      <c r="N297" s="162">
        <v>0</v>
      </c>
      <c r="O297" s="162">
        <f t="shared" ref="O297:Z297" si="159">SUM(C297:C299)</f>
        <v>0</v>
      </c>
      <c r="P297" s="162">
        <f t="shared" si="159"/>
        <v>0</v>
      </c>
      <c r="Q297" s="162">
        <f t="shared" si="159"/>
        <v>0</v>
      </c>
      <c r="R297" s="162">
        <f t="shared" si="159"/>
        <v>0</v>
      </c>
      <c r="S297" s="162">
        <f t="shared" si="159"/>
        <v>0</v>
      </c>
      <c r="T297" s="162">
        <f t="shared" si="159"/>
        <v>0</v>
      </c>
      <c r="U297" s="162">
        <f t="shared" si="159"/>
        <v>0</v>
      </c>
      <c r="V297" s="162">
        <f t="shared" si="159"/>
        <v>0</v>
      </c>
      <c r="W297" s="162">
        <f t="shared" si="159"/>
        <v>0</v>
      </c>
      <c r="X297" s="162">
        <f t="shared" si="159"/>
        <v>0</v>
      </c>
      <c r="Y297" s="162">
        <f t="shared" si="159"/>
        <v>0</v>
      </c>
      <c r="Z297" s="162">
        <f t="shared" si="159"/>
        <v>0</v>
      </c>
    </row>
    <row r="298" spans="1:26" x14ac:dyDescent="0.2">
      <c r="A298" s="54" t="s">
        <v>516</v>
      </c>
      <c r="C298" s="162">
        <v>0</v>
      </c>
      <c r="D298" s="162">
        <v>0</v>
      </c>
      <c r="E298" s="162">
        <v>0</v>
      </c>
      <c r="F298" s="162">
        <v>0</v>
      </c>
      <c r="G298" s="162">
        <v>0</v>
      </c>
      <c r="H298" s="162">
        <v>0</v>
      </c>
      <c r="I298" s="162">
        <v>0</v>
      </c>
      <c r="J298" s="162">
        <v>0</v>
      </c>
      <c r="K298" s="162">
        <v>0</v>
      </c>
      <c r="L298" s="162">
        <v>0</v>
      </c>
      <c r="M298" s="162">
        <v>0</v>
      </c>
      <c r="N298" s="162">
        <v>0</v>
      </c>
      <c r="O298" s="162">
        <v>0</v>
      </c>
      <c r="P298" s="162">
        <v>0</v>
      </c>
      <c r="Q298" s="162">
        <v>0</v>
      </c>
      <c r="R298" s="162">
        <v>0</v>
      </c>
      <c r="S298" s="162">
        <v>0</v>
      </c>
      <c r="T298" s="162">
        <v>0</v>
      </c>
      <c r="U298" s="162">
        <v>0</v>
      </c>
      <c r="V298" s="162">
        <v>0</v>
      </c>
      <c r="W298" s="162">
        <v>0</v>
      </c>
      <c r="X298" s="162">
        <v>0</v>
      </c>
      <c r="Y298" s="162">
        <v>0</v>
      </c>
      <c r="Z298" s="162">
        <v>0</v>
      </c>
    </row>
    <row r="299" spans="1:26" x14ac:dyDescent="0.2">
      <c r="A299" s="54" t="s">
        <v>515</v>
      </c>
      <c r="C299" s="162">
        <v>0</v>
      </c>
      <c r="D299" s="162">
        <v>0</v>
      </c>
      <c r="E299" s="162">
        <v>0</v>
      </c>
      <c r="F299" s="162">
        <v>0</v>
      </c>
      <c r="G299" s="162">
        <v>0</v>
      </c>
      <c r="H299" s="162">
        <v>0</v>
      </c>
      <c r="I299" s="162">
        <v>0</v>
      </c>
      <c r="J299" s="162">
        <v>0</v>
      </c>
      <c r="K299" s="162">
        <v>0</v>
      </c>
      <c r="L299" s="162">
        <v>0</v>
      </c>
      <c r="M299" s="162">
        <v>0</v>
      </c>
      <c r="N299" s="162">
        <v>0</v>
      </c>
      <c r="O299" s="162">
        <f t="shared" ref="O299" si="160">+C299</f>
        <v>0</v>
      </c>
      <c r="P299" s="162">
        <f t="shared" ref="P299" si="161">+D299</f>
        <v>0</v>
      </c>
      <c r="Q299" s="162">
        <f t="shared" ref="Q299" si="162">+E299</f>
        <v>0</v>
      </c>
      <c r="R299" s="162">
        <f t="shared" ref="R299" si="163">+F299</f>
        <v>0</v>
      </c>
      <c r="S299" s="162">
        <f t="shared" ref="S299" si="164">+G299</f>
        <v>0</v>
      </c>
      <c r="T299" s="162">
        <f t="shared" ref="T299" si="165">+H299</f>
        <v>0</v>
      </c>
      <c r="U299" s="162">
        <f t="shared" ref="U299" si="166">+I299</f>
        <v>0</v>
      </c>
      <c r="V299" s="162">
        <f t="shared" ref="V299" si="167">+J299</f>
        <v>0</v>
      </c>
      <c r="W299" s="162">
        <f t="shared" ref="W299" si="168">+K299</f>
        <v>0</v>
      </c>
      <c r="X299" s="162">
        <f t="shared" ref="X299" si="169">+L299</f>
        <v>0</v>
      </c>
      <c r="Y299" s="162">
        <f t="shared" ref="Y299" si="170">+M299</f>
        <v>0</v>
      </c>
      <c r="Z299" s="162">
        <f t="shared" ref="Z299" si="171">+N299</f>
        <v>0</v>
      </c>
    </row>
    <row r="300" spans="1:26" x14ac:dyDescent="0.2">
      <c r="A300" s="54" t="s">
        <v>493</v>
      </c>
      <c r="C300" s="83">
        <v>430.53100000000001</v>
      </c>
      <c r="D300" s="83">
        <v>395.31299999999999</v>
      </c>
      <c r="E300" s="83">
        <v>626.71799999999996</v>
      </c>
      <c r="F300" s="83">
        <v>1376.009</v>
      </c>
      <c r="G300" s="83">
        <v>2250.1590000000001</v>
      </c>
      <c r="H300" s="83">
        <v>2966.8330000000001</v>
      </c>
      <c r="I300" s="83">
        <v>2493.7660000000001</v>
      </c>
      <c r="J300" s="83">
        <v>2211.4859999999999</v>
      </c>
      <c r="K300" s="83">
        <v>1698.8209999999999</v>
      </c>
      <c r="L300" s="83">
        <v>1312.9960000000001</v>
      </c>
      <c r="M300" s="83">
        <v>1202.5719999999999</v>
      </c>
      <c r="N300" s="83">
        <v>612.94000000000005</v>
      </c>
      <c r="O300" s="83">
        <f t="shared" ref="O300:Z300" si="172">+SUM(O296:O299)</f>
        <v>314.54000000000002</v>
      </c>
      <c r="P300" s="83">
        <f t="shared" si="172"/>
        <v>436.35500000000002</v>
      </c>
      <c r="Q300" s="83">
        <f t="shared" si="172"/>
        <v>1449.615</v>
      </c>
      <c r="R300" s="83">
        <f t="shared" si="172"/>
        <v>1568.808</v>
      </c>
      <c r="S300" s="83">
        <f t="shared" si="172"/>
        <v>2332.5340000000001</v>
      </c>
      <c r="T300" s="83">
        <f t="shared" si="172"/>
        <v>3240.2579999999998</v>
      </c>
      <c r="U300" s="83">
        <f t="shared" si="172"/>
        <v>2058.4160000000002</v>
      </c>
      <c r="V300" s="83">
        <f t="shared" si="172"/>
        <v>1990.952</v>
      </c>
      <c r="W300" s="83">
        <f t="shared" si="172"/>
        <v>1810.067</v>
      </c>
      <c r="X300" s="83">
        <f t="shared" si="172"/>
        <v>1478.998</v>
      </c>
      <c r="Y300" s="83">
        <f t="shared" si="172"/>
        <v>574.27300000000002</v>
      </c>
      <c r="Z300" s="83">
        <f t="shared" si="172"/>
        <v>393.69900000000001</v>
      </c>
    </row>
    <row r="303" spans="1:26" x14ac:dyDescent="0.2">
      <c r="A303" s="14" t="s">
        <v>495</v>
      </c>
      <c r="C303" s="187">
        <v>45307</v>
      </c>
      <c r="D303" s="187">
        <v>45338</v>
      </c>
      <c r="E303" s="187">
        <v>45366</v>
      </c>
      <c r="F303" s="187">
        <v>45397</v>
      </c>
      <c r="G303" s="187">
        <v>45427</v>
      </c>
      <c r="H303" s="187">
        <v>45458</v>
      </c>
      <c r="I303" s="187">
        <v>45488</v>
      </c>
      <c r="J303" s="187">
        <v>45519</v>
      </c>
      <c r="K303" s="187">
        <v>45550</v>
      </c>
      <c r="L303" s="187">
        <v>45580</v>
      </c>
      <c r="M303" s="187">
        <v>45611</v>
      </c>
      <c r="N303" s="187">
        <v>45641</v>
      </c>
      <c r="O303" s="187">
        <f t="shared" ref="O303:Z303" si="173">+O2</f>
        <v>45673</v>
      </c>
      <c r="P303" s="187">
        <f t="shared" si="173"/>
        <v>45704</v>
      </c>
      <c r="Q303" s="187">
        <f t="shared" si="173"/>
        <v>45732</v>
      </c>
      <c r="R303" s="187">
        <f t="shared" si="173"/>
        <v>45763</v>
      </c>
      <c r="S303" s="187">
        <f t="shared" si="173"/>
        <v>45793</v>
      </c>
      <c r="T303" s="187">
        <f t="shared" si="173"/>
        <v>45824</v>
      </c>
      <c r="U303" s="187">
        <f t="shared" si="173"/>
        <v>45854</v>
      </c>
      <c r="V303" s="187">
        <f t="shared" si="173"/>
        <v>45885</v>
      </c>
      <c r="W303" s="187">
        <f t="shared" si="173"/>
        <v>45916</v>
      </c>
      <c r="X303" s="187">
        <f t="shared" si="173"/>
        <v>45946</v>
      </c>
      <c r="Y303" s="187">
        <f t="shared" si="173"/>
        <v>45977</v>
      </c>
      <c r="Z303" s="187">
        <f t="shared" si="173"/>
        <v>46007</v>
      </c>
    </row>
    <row r="304" spans="1:26" x14ac:dyDescent="0.2">
      <c r="A304" s="54" t="s">
        <v>496</v>
      </c>
      <c r="C304" s="116">
        <v>2116.7750000000001</v>
      </c>
      <c r="D304" s="116">
        <v>949.29499999999996</v>
      </c>
      <c r="E304" s="116">
        <v>976.23500000000001</v>
      </c>
      <c r="F304" s="116">
        <v>2749.2370000000001</v>
      </c>
      <c r="G304" s="116">
        <v>1539.579</v>
      </c>
      <c r="H304" s="116">
        <v>758.06899999999996</v>
      </c>
      <c r="I304" s="116">
        <v>395.34699999999998</v>
      </c>
      <c r="J304" s="116">
        <v>155.542</v>
      </c>
      <c r="K304" s="178">
        <v>739.16200000000003</v>
      </c>
      <c r="L304" s="178">
        <v>1288.1890000000001</v>
      </c>
      <c r="M304" s="178">
        <v>1396.394</v>
      </c>
      <c r="N304" s="178">
        <v>2326.8159999999998</v>
      </c>
      <c r="O304" s="116">
        <v>1793.3389999999999</v>
      </c>
      <c r="P304" s="116">
        <v>879.43299999999999</v>
      </c>
      <c r="Q304" s="116">
        <v>2873.3609999999999</v>
      </c>
      <c r="R304" s="116">
        <v>2748.998</v>
      </c>
      <c r="S304" s="116">
        <v>2582.6819999999998</v>
      </c>
      <c r="T304" s="116">
        <v>1667.5740000000001</v>
      </c>
      <c r="U304" s="116">
        <v>2467.7060000000001</v>
      </c>
      <c r="V304" s="116">
        <v>1590.4269999999999</v>
      </c>
      <c r="W304" s="116">
        <v>1225.8679999999999</v>
      </c>
      <c r="X304" s="116">
        <v>1308.4960000000001</v>
      </c>
      <c r="Y304" s="116">
        <v>1552.7439999999999</v>
      </c>
      <c r="Z304" s="116">
        <v>2616.8969999999999</v>
      </c>
    </row>
    <row r="305" spans="1:26" x14ac:dyDescent="0.2">
      <c r="A305" s="54" t="s">
        <v>498</v>
      </c>
      <c r="C305" s="117">
        <v>1001.4849462365592</v>
      </c>
      <c r="D305" s="117">
        <v>458.28034482758619</v>
      </c>
      <c r="E305" s="117">
        <v>441.47370121130552</v>
      </c>
      <c r="F305" s="117">
        <v>1344.0714222222223</v>
      </c>
      <c r="G305" s="117">
        <v>728.40296774193541</v>
      </c>
      <c r="H305" s="117">
        <v>336.91955555555552</v>
      </c>
      <c r="I305" s="117">
        <v>187.04589247311827</v>
      </c>
      <c r="J305" s="117">
        <v>73.58976344086021</v>
      </c>
      <c r="K305" s="117">
        <v>328.51644444444446</v>
      </c>
      <c r="L305" s="117">
        <v>637.16875268817205</v>
      </c>
      <c r="M305" s="117">
        <v>619.7587794729543</v>
      </c>
      <c r="N305" s="117">
        <v>1050.8201290322581</v>
      </c>
      <c r="O305" s="178"/>
      <c r="P305" s="178"/>
      <c r="Q305" s="178"/>
      <c r="R305" s="178"/>
      <c r="S305" s="178"/>
      <c r="T305" s="178"/>
      <c r="U305" s="178"/>
      <c r="V305" s="178"/>
      <c r="W305" s="178"/>
      <c r="X305" s="178"/>
      <c r="Y305" s="178"/>
      <c r="Z305" s="178"/>
    </row>
    <row r="306" spans="1:26" x14ac:dyDescent="0.2">
      <c r="A306" s="54" t="s">
        <v>499</v>
      </c>
      <c r="C306" s="117">
        <v>1115.2900537634409</v>
      </c>
      <c r="D306" s="117">
        <v>491.01465517241382</v>
      </c>
      <c r="E306" s="117">
        <v>534.76129878869449</v>
      </c>
      <c r="F306" s="117">
        <v>1405.1655777777778</v>
      </c>
      <c r="G306" s="117">
        <v>811.17603225806454</v>
      </c>
      <c r="H306" s="117">
        <v>421.14944444444438</v>
      </c>
      <c r="I306" s="117">
        <v>208.30110752688174</v>
      </c>
      <c r="J306" s="117">
        <v>81.952236559139791</v>
      </c>
      <c r="K306" s="117">
        <v>410.64555555555552</v>
      </c>
      <c r="L306" s="117">
        <v>651.02024731182803</v>
      </c>
      <c r="M306" s="117">
        <v>776.6352205270457</v>
      </c>
      <c r="N306" s="117">
        <v>1275.9958709677419</v>
      </c>
      <c r="O306" s="178"/>
      <c r="P306" s="178"/>
      <c r="Q306" s="178"/>
      <c r="R306" s="178"/>
      <c r="S306" s="178"/>
      <c r="T306" s="178"/>
      <c r="U306" s="178"/>
      <c r="V306" s="178"/>
      <c r="W306" s="178"/>
      <c r="X306" s="178"/>
      <c r="Y306" s="178"/>
      <c r="Z306" s="178"/>
    </row>
    <row r="307" spans="1:26" x14ac:dyDescent="0.2">
      <c r="A307" s="54" t="s">
        <v>497</v>
      </c>
      <c r="C307" s="196">
        <v>1</v>
      </c>
      <c r="D307" s="196">
        <v>1</v>
      </c>
      <c r="E307" s="196">
        <v>1</v>
      </c>
      <c r="F307" s="196">
        <v>1</v>
      </c>
      <c r="G307" s="196">
        <v>1</v>
      </c>
      <c r="H307" s="196">
        <v>1</v>
      </c>
      <c r="I307" s="196">
        <v>1</v>
      </c>
      <c r="J307" s="196">
        <v>1</v>
      </c>
      <c r="K307" s="196">
        <v>1</v>
      </c>
      <c r="L307" s="196">
        <v>1</v>
      </c>
      <c r="M307" s="196">
        <v>1</v>
      </c>
      <c r="N307" s="196">
        <v>1</v>
      </c>
      <c r="O307" s="190"/>
      <c r="P307" s="190"/>
      <c r="Q307" s="190"/>
      <c r="R307" s="190"/>
      <c r="S307" s="190"/>
      <c r="T307" s="190"/>
      <c r="U307" s="190"/>
      <c r="V307" s="190"/>
      <c r="W307" s="190"/>
      <c r="X307" s="190"/>
      <c r="Y307" s="190"/>
      <c r="Z307" s="190"/>
    </row>
    <row r="308" spans="1:26" x14ac:dyDescent="0.2">
      <c r="A308" s="54" t="s">
        <v>500</v>
      </c>
      <c r="C308" s="117">
        <v>1001.4849462365592</v>
      </c>
      <c r="D308" s="117">
        <v>458.28034482758619</v>
      </c>
      <c r="E308" s="117">
        <v>441.47370121130552</v>
      </c>
      <c r="F308" s="117">
        <v>1344.0714222222223</v>
      </c>
      <c r="G308" s="117">
        <v>728.40296774193541</v>
      </c>
      <c r="H308" s="117">
        <v>336.91955555555552</v>
      </c>
      <c r="I308" s="117">
        <v>187.04589247311827</v>
      </c>
      <c r="J308" s="117">
        <v>73.58976344086021</v>
      </c>
      <c r="K308" s="117">
        <v>328.51644444444446</v>
      </c>
      <c r="L308" s="117">
        <v>637.16875268817205</v>
      </c>
      <c r="M308" s="117">
        <v>619.7587794729543</v>
      </c>
      <c r="N308" s="117">
        <v>1050.8201290322581</v>
      </c>
    </row>
    <row r="309" spans="1:26" x14ac:dyDescent="0.2">
      <c r="A309" s="54" t="s">
        <v>501</v>
      </c>
      <c r="C309" s="117">
        <v>1115.2900537634409</v>
      </c>
      <c r="D309" s="117">
        <v>491.01465517241382</v>
      </c>
      <c r="E309" s="117">
        <v>534.76129878869449</v>
      </c>
      <c r="F309" s="117">
        <v>1405.1655777777778</v>
      </c>
      <c r="G309" s="117">
        <v>811.17603225806454</v>
      </c>
      <c r="H309" s="117">
        <v>421.14944444444438</v>
      </c>
      <c r="I309" s="117">
        <v>208.30110752688174</v>
      </c>
      <c r="J309" s="117">
        <v>81.952236559139791</v>
      </c>
      <c r="K309" s="117">
        <v>410.64555555555552</v>
      </c>
      <c r="L309" s="117">
        <v>651.02024731182803</v>
      </c>
      <c r="M309" s="117">
        <v>776.6352205270457</v>
      </c>
      <c r="N309" s="117">
        <v>1275.9958709677419</v>
      </c>
    </row>
    <row r="310" spans="1:26" x14ac:dyDescent="0.2">
      <c r="A310" s="54" t="s">
        <v>502</v>
      </c>
      <c r="C310" s="117">
        <v>2116.7750000000001</v>
      </c>
      <c r="D310" s="117">
        <v>949.29499999999996</v>
      </c>
      <c r="E310" s="117">
        <v>976.23500000000001</v>
      </c>
      <c r="F310" s="117">
        <v>2749.2370000000001</v>
      </c>
      <c r="G310" s="117">
        <v>1539.579</v>
      </c>
      <c r="H310" s="117">
        <v>758.06899999999996</v>
      </c>
      <c r="I310" s="117">
        <v>395.34699999999998</v>
      </c>
      <c r="J310" s="117">
        <v>155.542</v>
      </c>
      <c r="K310" s="117">
        <v>739.16200000000003</v>
      </c>
      <c r="L310" s="117">
        <v>1288.1890000000001</v>
      </c>
      <c r="M310" s="117">
        <v>1396.394</v>
      </c>
      <c r="N310" s="117">
        <v>2326.8159999999998</v>
      </c>
      <c r="O310" s="9">
        <f>O304</f>
        <v>1793.3389999999999</v>
      </c>
      <c r="P310" s="9">
        <f t="shared" ref="P310:Z310" si="174">P304</f>
        <v>879.43299999999999</v>
      </c>
      <c r="Q310" s="9">
        <f t="shared" si="174"/>
        <v>2873.3609999999999</v>
      </c>
      <c r="R310" s="9">
        <f t="shared" si="174"/>
        <v>2748.998</v>
      </c>
      <c r="S310" s="9">
        <f t="shared" si="174"/>
        <v>2582.6819999999998</v>
      </c>
      <c r="T310" s="9">
        <f t="shared" si="174"/>
        <v>1667.5740000000001</v>
      </c>
      <c r="U310" s="9">
        <f t="shared" si="174"/>
        <v>2467.7060000000001</v>
      </c>
      <c r="V310" s="9">
        <f t="shared" si="174"/>
        <v>1590.4269999999999</v>
      </c>
      <c r="W310" s="9">
        <f t="shared" si="174"/>
        <v>1225.8679999999999</v>
      </c>
      <c r="X310" s="9">
        <f t="shared" si="174"/>
        <v>1308.4960000000001</v>
      </c>
      <c r="Y310" s="9">
        <f t="shared" si="174"/>
        <v>1552.7439999999999</v>
      </c>
      <c r="Z310" s="9">
        <f t="shared" si="174"/>
        <v>2616.8969999999999</v>
      </c>
    </row>
    <row r="311" spans="1:26" x14ac:dyDescent="0.2">
      <c r="A311" s="54" t="s">
        <v>503</v>
      </c>
      <c r="C311" s="124">
        <v>60.321249999999999</v>
      </c>
      <c r="D311" s="124">
        <v>60.321249999999999</v>
      </c>
      <c r="E311" s="124">
        <v>60.321249999999999</v>
      </c>
      <c r="F311" s="124">
        <v>60.321249999999999</v>
      </c>
      <c r="G311" s="124">
        <v>60.321249999999999</v>
      </c>
      <c r="H311" s="124">
        <v>60.321249999999999</v>
      </c>
      <c r="I311" s="124">
        <v>60.321249999999999</v>
      </c>
      <c r="J311" s="124">
        <v>60.321249999999999</v>
      </c>
      <c r="K311" s="124">
        <v>67.5</v>
      </c>
      <c r="L311" s="124">
        <v>67.5</v>
      </c>
      <c r="M311" s="124">
        <v>67.5</v>
      </c>
      <c r="N311" s="124">
        <v>67.5</v>
      </c>
      <c r="O311" s="124">
        <v>67.5</v>
      </c>
      <c r="P311" s="124">
        <v>67.5</v>
      </c>
      <c r="Q311" s="124">
        <v>67.5</v>
      </c>
      <c r="R311" s="124">
        <v>67.5</v>
      </c>
      <c r="S311" s="124">
        <v>67.5</v>
      </c>
      <c r="T311" s="124">
        <v>67.5</v>
      </c>
      <c r="U311" s="124">
        <v>67.5</v>
      </c>
      <c r="V311" s="124">
        <v>67.5</v>
      </c>
      <c r="W311">
        <f>K311*(1+W55)</f>
        <v>69.1875</v>
      </c>
      <c r="X311">
        <f>L311*(1+X55)</f>
        <v>69.1875</v>
      </c>
      <c r="Y311">
        <f>M311*(1+Y55)</f>
        <v>69.1875</v>
      </c>
      <c r="Z311">
        <f>N311*(1+Z55)</f>
        <v>69.1875</v>
      </c>
    </row>
    <row r="312" spans="1:26" x14ac:dyDescent="0.2">
      <c r="A312" s="54" t="s">
        <v>504</v>
      </c>
      <c r="C312" s="124">
        <v>60.321249999999999</v>
      </c>
      <c r="D312" s="124">
        <v>60.321249999999999</v>
      </c>
      <c r="E312" s="124">
        <v>60.321249999999999</v>
      </c>
      <c r="F312" s="124">
        <v>60.321249999999999</v>
      </c>
      <c r="G312" s="124">
        <v>60.321249999999999</v>
      </c>
      <c r="H312" s="124">
        <v>60.321249999999999</v>
      </c>
      <c r="I312" s="124">
        <v>60.321249999999999</v>
      </c>
      <c r="J312" s="124">
        <v>60.321249999999999</v>
      </c>
      <c r="K312" s="124">
        <v>67.5</v>
      </c>
      <c r="L312" s="124">
        <v>67.5</v>
      </c>
      <c r="M312" s="124">
        <v>67.5</v>
      </c>
      <c r="N312" s="124">
        <v>67.5</v>
      </c>
    </row>
    <row r="313" spans="1:26" x14ac:dyDescent="0.2">
      <c r="A313" s="54" t="s">
        <v>505</v>
      </c>
      <c r="C313" s="188">
        <v>1</v>
      </c>
      <c r="D313" s="188">
        <v>1</v>
      </c>
      <c r="E313" s="188">
        <v>1</v>
      </c>
      <c r="F313" s="188">
        <v>1</v>
      </c>
      <c r="G313" s="188">
        <v>1</v>
      </c>
      <c r="H313" s="188">
        <v>1</v>
      </c>
      <c r="I313" s="188">
        <v>1</v>
      </c>
      <c r="J313" s="188">
        <v>1</v>
      </c>
      <c r="K313" s="188">
        <v>1</v>
      </c>
      <c r="L313" s="188">
        <v>1</v>
      </c>
      <c r="M313" s="188">
        <v>1</v>
      </c>
      <c r="N313" s="188">
        <v>1</v>
      </c>
    </row>
    <row r="314" spans="1:26" x14ac:dyDescent="0.2">
      <c r="A314" s="54" t="s">
        <v>506</v>
      </c>
      <c r="C314" s="189">
        <v>0</v>
      </c>
      <c r="D314" s="189">
        <v>0</v>
      </c>
      <c r="E314" s="189">
        <v>0</v>
      </c>
      <c r="F314" s="189">
        <v>0</v>
      </c>
      <c r="G314" s="189">
        <v>0</v>
      </c>
      <c r="H314" s="189">
        <v>0</v>
      </c>
      <c r="I314" s="189">
        <v>0</v>
      </c>
      <c r="J314" s="189">
        <v>0</v>
      </c>
      <c r="K314" s="189">
        <v>0</v>
      </c>
      <c r="L314" s="189">
        <v>0</v>
      </c>
      <c r="M314" s="189">
        <v>0</v>
      </c>
      <c r="N314" s="189">
        <v>0</v>
      </c>
    </row>
    <row r="315" spans="1:26" x14ac:dyDescent="0.2">
      <c r="A315" s="54" t="s">
        <v>507</v>
      </c>
      <c r="C315" s="191">
        <v>60410.823813172043</v>
      </c>
      <c r="D315" s="191">
        <v>27644.043250431034</v>
      </c>
      <c r="E315" s="191">
        <v>26630.245499192464</v>
      </c>
      <c r="F315" s="191">
        <v>81076.068277722225</v>
      </c>
      <c r="G315" s="191">
        <v>43938.177517903219</v>
      </c>
      <c r="H315" s="191">
        <v>20323.408740555555</v>
      </c>
      <c r="I315" s="191">
        <v>11282.842041344085</v>
      </c>
      <c r="J315" s="191">
        <v>4439.0265179569888</v>
      </c>
      <c r="K315" s="191">
        <v>22174.86</v>
      </c>
      <c r="L315" s="191">
        <v>43008.890806451614</v>
      </c>
      <c r="M315" s="191">
        <v>41833.717614424415</v>
      </c>
      <c r="N315" s="191">
        <v>70930.358709677428</v>
      </c>
    </row>
    <row r="316" spans="1:26" x14ac:dyDescent="0.2">
      <c r="A316" s="54" t="s">
        <v>508</v>
      </c>
      <c r="C316" s="191">
        <v>67275.690155577962</v>
      </c>
      <c r="D316" s="191">
        <v>29618.617768318967</v>
      </c>
      <c r="E316" s="191">
        <v>32257.469994557538</v>
      </c>
      <c r="F316" s="191">
        <v>84761.344108527774</v>
      </c>
      <c r="G316" s="191">
        <v>48931.152235846777</v>
      </c>
      <c r="H316" s="191">
        <v>25404.260925694442</v>
      </c>
      <c r="I316" s="191">
        <v>12564.983182405915</v>
      </c>
      <c r="J316" s="191">
        <v>4943.4613495430112</v>
      </c>
      <c r="K316" s="191">
        <v>27718.574999999997</v>
      </c>
      <c r="L316" s="191">
        <v>43943.866693548393</v>
      </c>
      <c r="M316" s="191">
        <v>52422.877385575586</v>
      </c>
      <c r="N316" s="191">
        <v>86129.721290322574</v>
      </c>
    </row>
    <row r="317" spans="1:26" x14ac:dyDescent="0.2">
      <c r="A317" s="54" t="s">
        <v>639</v>
      </c>
      <c r="C317" s="191"/>
      <c r="D317" s="191"/>
      <c r="E317" s="191"/>
      <c r="F317" s="191"/>
      <c r="G317" s="191"/>
      <c r="H317" s="191"/>
      <c r="I317" s="191"/>
      <c r="J317" s="191"/>
      <c r="K317">
        <v>0</v>
      </c>
      <c r="L317">
        <v>0</v>
      </c>
      <c r="M317">
        <v>0</v>
      </c>
      <c r="N317">
        <v>0</v>
      </c>
      <c r="O317">
        <v>0</v>
      </c>
      <c r="P317">
        <v>0</v>
      </c>
      <c r="Q317">
        <v>0</v>
      </c>
      <c r="R317">
        <v>0</v>
      </c>
      <c r="S317">
        <v>0</v>
      </c>
      <c r="T317">
        <v>0</v>
      </c>
      <c r="U317">
        <v>0</v>
      </c>
      <c r="V317">
        <v>0</v>
      </c>
      <c r="W317">
        <v>0</v>
      </c>
      <c r="X317">
        <v>0</v>
      </c>
      <c r="Y317">
        <v>0</v>
      </c>
      <c r="Z317">
        <v>0</v>
      </c>
    </row>
    <row r="318" spans="1:26" x14ac:dyDescent="0.2">
      <c r="A318" s="54" t="s">
        <v>652</v>
      </c>
      <c r="C318" s="191"/>
      <c r="D318" s="191"/>
      <c r="E318" s="191"/>
      <c r="F318" s="191"/>
      <c r="G318" s="191"/>
      <c r="H318" s="191"/>
      <c r="I318" s="191"/>
      <c r="J318" s="191"/>
      <c r="K318" s="191"/>
      <c r="L318" s="191"/>
      <c r="M318" s="191"/>
      <c r="N318" s="191"/>
      <c r="O318" s="229">
        <f>O310*O317</f>
        <v>0</v>
      </c>
      <c r="P318" s="229">
        <f t="shared" ref="P318:Z318" si="175">P310*P317</f>
        <v>0</v>
      </c>
      <c r="Q318" s="229">
        <f t="shared" si="175"/>
        <v>0</v>
      </c>
      <c r="R318" s="229">
        <f t="shared" si="175"/>
        <v>0</v>
      </c>
      <c r="S318" s="229">
        <f t="shared" si="175"/>
        <v>0</v>
      </c>
      <c r="T318" s="229">
        <f t="shared" si="175"/>
        <v>0</v>
      </c>
      <c r="U318" s="229">
        <f t="shared" si="175"/>
        <v>0</v>
      </c>
      <c r="V318" s="229">
        <f t="shared" si="175"/>
        <v>0</v>
      </c>
      <c r="W318" s="229">
        <f t="shared" si="175"/>
        <v>0</v>
      </c>
      <c r="X318" s="229">
        <f t="shared" si="175"/>
        <v>0</v>
      </c>
      <c r="Y318" s="229">
        <f t="shared" si="175"/>
        <v>0</v>
      </c>
      <c r="Z318" s="229">
        <f t="shared" si="175"/>
        <v>0</v>
      </c>
    </row>
    <row r="319" spans="1:26" x14ac:dyDescent="0.2">
      <c r="A319" s="54" t="s">
        <v>509</v>
      </c>
      <c r="C319" s="191">
        <v>127686.51396875001</v>
      </c>
      <c r="D319" s="191">
        <v>57262.661018750005</v>
      </c>
      <c r="E319" s="191">
        <v>58887.715493750002</v>
      </c>
      <c r="F319" s="191">
        <v>165837.41238624998</v>
      </c>
      <c r="G319" s="191">
        <v>92869.329753750004</v>
      </c>
      <c r="H319" s="191">
        <v>45727.669666249996</v>
      </c>
      <c r="I319" s="191">
        <v>23847.825223749998</v>
      </c>
      <c r="J319" s="191">
        <v>9382.4878675</v>
      </c>
      <c r="K319" s="191">
        <v>49893.434999999998</v>
      </c>
      <c r="L319" s="191">
        <v>86952.757500000007</v>
      </c>
      <c r="M319" s="191">
        <v>94256.595000000001</v>
      </c>
      <c r="N319" s="191">
        <v>157060.08000000002</v>
      </c>
      <c r="O319" s="16">
        <f>O310*O311+O318</f>
        <v>121050.38249999999</v>
      </c>
      <c r="P319" s="16">
        <f t="shared" ref="P319:Z319" si="176">P310*P311+P318</f>
        <v>59361.727500000001</v>
      </c>
      <c r="Q319" s="16">
        <f t="shared" si="176"/>
        <v>193951.86749999999</v>
      </c>
      <c r="R319" s="16">
        <f t="shared" si="176"/>
        <v>185557.36499999999</v>
      </c>
      <c r="S319" s="16">
        <f t="shared" si="176"/>
        <v>174331.03499999997</v>
      </c>
      <c r="T319" s="16">
        <f t="shared" si="176"/>
        <v>112561.24500000001</v>
      </c>
      <c r="U319" s="16">
        <f t="shared" si="176"/>
        <v>166570.155</v>
      </c>
      <c r="V319" s="16">
        <f t="shared" si="176"/>
        <v>107353.82249999999</v>
      </c>
      <c r="W319" s="16">
        <f t="shared" si="176"/>
        <v>84814.742249999996</v>
      </c>
      <c r="X319" s="16">
        <f t="shared" si="176"/>
        <v>90531.56700000001</v>
      </c>
      <c r="Y319" s="16">
        <f t="shared" si="176"/>
        <v>107430.4755</v>
      </c>
      <c r="Z319" s="16">
        <f t="shared" si="176"/>
        <v>181056.56118749999</v>
      </c>
    </row>
    <row r="320" spans="1:26" hidden="1" x14ac:dyDescent="0.2">
      <c r="A320" s="54"/>
    </row>
    <row r="321" spans="1:1" hidden="1" x14ac:dyDescent="0.2">
      <c r="A321" s="54"/>
    </row>
    <row r="322" spans="1:1" hidden="1" x14ac:dyDescent="0.2">
      <c r="A322" s="14" t="s">
        <v>510</v>
      </c>
    </row>
    <row r="323" spans="1:1" hidden="1" x14ac:dyDescent="0.2">
      <c r="A323" s="54" t="s">
        <v>511</v>
      </c>
    </row>
    <row r="324" spans="1:1" hidden="1" x14ac:dyDescent="0.2">
      <c r="A324" s="54" t="s">
        <v>498</v>
      </c>
    </row>
    <row r="325" spans="1:1" hidden="1" x14ac:dyDescent="0.2">
      <c r="A325" s="54" t="s">
        <v>514</v>
      </c>
    </row>
    <row r="326" spans="1:1" hidden="1" x14ac:dyDescent="0.2">
      <c r="A326" s="54" t="s">
        <v>512</v>
      </c>
    </row>
    <row r="327" spans="1:1" hidden="1" x14ac:dyDescent="0.2">
      <c r="A327" s="54" t="s">
        <v>513</v>
      </c>
    </row>
    <row r="328" spans="1:1" hidden="1" x14ac:dyDescent="0.2">
      <c r="A328" s="54" t="s">
        <v>37</v>
      </c>
    </row>
    <row r="329" spans="1:1" hidden="1" x14ac:dyDescent="0.2">
      <c r="A329" s="54"/>
    </row>
    <row r="330" spans="1:1" hidden="1" x14ac:dyDescent="0.2">
      <c r="A330" s="54"/>
    </row>
    <row r="331" spans="1:1" hidden="1" x14ac:dyDescent="0.2">
      <c r="A331" s="54"/>
    </row>
    <row r="332" spans="1:1" s="20" customFormat="1" hidden="1" x14ac:dyDescent="0.2"/>
    <row r="334" spans="1:1" hidden="1" x14ac:dyDescent="0.2">
      <c r="A334" s="14" t="s">
        <v>29</v>
      </c>
    </row>
    <row r="335" spans="1:1" hidden="1" x14ac:dyDescent="0.2">
      <c r="A335" s="30" t="s">
        <v>289</v>
      </c>
    </row>
    <row r="336" spans="1:1" hidden="1" x14ac:dyDescent="0.2">
      <c r="A336" s="29" t="s">
        <v>538</v>
      </c>
    </row>
    <row r="337" spans="1:26" hidden="1" x14ac:dyDescent="0.2">
      <c r="A337" s="30" t="s">
        <v>31</v>
      </c>
    </row>
    <row r="338" spans="1:26" hidden="1" x14ac:dyDescent="0.2">
      <c r="C338" s="33">
        <v>45307</v>
      </c>
      <c r="D338" s="33">
        <v>45338</v>
      </c>
      <c r="E338" s="33">
        <v>45366</v>
      </c>
      <c r="F338" s="33">
        <v>45397</v>
      </c>
      <c r="G338" s="33">
        <v>45427</v>
      </c>
      <c r="H338" s="33">
        <v>45458</v>
      </c>
      <c r="I338" s="33">
        <v>45488</v>
      </c>
      <c r="J338" s="33">
        <v>45519</v>
      </c>
      <c r="K338" s="33">
        <v>45550</v>
      </c>
      <c r="L338" s="33">
        <v>45580</v>
      </c>
      <c r="M338" s="33">
        <v>45611</v>
      </c>
      <c r="N338" s="33">
        <v>45641</v>
      </c>
      <c r="O338" s="33" t="e">
        <f>+#REF!</f>
        <v>#REF!</v>
      </c>
      <c r="P338" s="33" t="e">
        <f>+#REF!</f>
        <v>#REF!</v>
      </c>
      <c r="Q338" s="33" t="e">
        <f>+#REF!</f>
        <v>#REF!</v>
      </c>
      <c r="R338" s="33" t="e">
        <f>+#REF!</f>
        <v>#REF!</v>
      </c>
      <c r="S338" s="33" t="e">
        <f>+#REF!</f>
        <v>#REF!</v>
      </c>
      <c r="T338" s="33" t="e">
        <f>+#REF!</f>
        <v>#REF!</v>
      </c>
      <c r="U338" s="33" t="e">
        <f>+#REF!</f>
        <v>#REF!</v>
      </c>
      <c r="V338" s="33" t="e">
        <f>+#REF!</f>
        <v>#REF!</v>
      </c>
      <c r="W338" s="33" t="e">
        <f>+#REF!</f>
        <v>#REF!</v>
      </c>
      <c r="X338" s="33" t="e">
        <f>+#REF!</f>
        <v>#REF!</v>
      </c>
      <c r="Y338" s="33" t="e">
        <f>+#REF!</f>
        <v>#REF!</v>
      </c>
      <c r="Z338" s="33" t="e">
        <f>+#REF!</f>
        <v>#REF!</v>
      </c>
    </row>
    <row r="339" spans="1:26" hidden="1" x14ac:dyDescent="0.2">
      <c r="A339" t="s">
        <v>23</v>
      </c>
      <c r="C339" s="173"/>
      <c r="D339" s="173"/>
      <c r="E339" s="173"/>
      <c r="F339" s="173"/>
      <c r="G339" s="173"/>
      <c r="H339" s="173"/>
      <c r="I339" s="173"/>
      <c r="J339" s="173"/>
      <c r="K339" s="173"/>
      <c r="L339" s="173"/>
      <c r="M339" s="173"/>
      <c r="N339" s="173"/>
      <c r="O339" s="173"/>
      <c r="P339" s="173"/>
      <c r="Q339" s="173"/>
      <c r="R339" s="173"/>
      <c r="S339" s="173"/>
      <c r="T339" s="173"/>
      <c r="U339" s="173"/>
      <c r="V339" s="173"/>
      <c r="W339" s="173"/>
      <c r="X339" s="173"/>
      <c r="Y339" s="173"/>
      <c r="Z339" s="173"/>
    </row>
    <row r="340" spans="1:26" hidden="1" x14ac:dyDescent="0.2">
      <c r="A340" t="s">
        <v>24</v>
      </c>
      <c r="C340" s="21">
        <v>0</v>
      </c>
      <c r="D340" s="21">
        <v>0</v>
      </c>
      <c r="E340" s="21">
        <v>0</v>
      </c>
      <c r="F340" s="21">
        <v>0</v>
      </c>
      <c r="G340" s="21">
        <v>0</v>
      </c>
      <c r="H340" s="21">
        <v>0</v>
      </c>
      <c r="I340" s="21">
        <v>0</v>
      </c>
      <c r="J340" s="21">
        <v>0</v>
      </c>
      <c r="K340" s="21">
        <v>0</v>
      </c>
      <c r="L340" s="21">
        <v>0</v>
      </c>
      <c r="M340" s="21">
        <v>0</v>
      </c>
      <c r="N340" s="21">
        <v>0</v>
      </c>
      <c r="O340" s="21">
        <f t="shared" ref="O340:Z340" si="177">+O341+O343+O344+O345+-O342-O346</f>
        <v>0</v>
      </c>
      <c r="P340" s="21">
        <f t="shared" si="177"/>
        <v>0</v>
      </c>
      <c r="Q340" s="21">
        <f t="shared" si="177"/>
        <v>0</v>
      </c>
      <c r="R340" s="21">
        <f t="shared" si="177"/>
        <v>0</v>
      </c>
      <c r="S340" s="21">
        <f t="shared" si="177"/>
        <v>0</v>
      </c>
      <c r="T340" s="21">
        <f t="shared" si="177"/>
        <v>0</v>
      </c>
      <c r="U340" s="21">
        <f t="shared" si="177"/>
        <v>0</v>
      </c>
      <c r="V340" s="21">
        <f t="shared" si="177"/>
        <v>0</v>
      </c>
      <c r="W340" s="21">
        <f t="shared" si="177"/>
        <v>0</v>
      </c>
      <c r="X340" s="21">
        <f t="shared" si="177"/>
        <v>0</v>
      </c>
      <c r="Y340" s="21">
        <f t="shared" si="177"/>
        <v>0</v>
      </c>
      <c r="Z340" s="21">
        <f t="shared" si="177"/>
        <v>0</v>
      </c>
    </row>
    <row r="341" spans="1:26" hidden="1" x14ac:dyDescent="0.2">
      <c r="A341" t="s">
        <v>10</v>
      </c>
      <c r="C341" s="121"/>
      <c r="D341" s="121"/>
      <c r="E341" s="121"/>
      <c r="F341" s="121"/>
      <c r="G341" s="121"/>
      <c r="H341" s="121"/>
      <c r="I341" s="121"/>
      <c r="J341" s="121"/>
      <c r="K341" s="121"/>
      <c r="L341" s="121"/>
      <c r="M341" s="121"/>
      <c r="N341" s="121"/>
      <c r="O341" s="121"/>
      <c r="P341" s="121"/>
      <c r="Q341" s="121"/>
      <c r="R341" s="121"/>
      <c r="S341" s="121"/>
      <c r="T341" s="121"/>
      <c r="U341" s="121"/>
      <c r="V341" s="121"/>
      <c r="W341" s="121"/>
      <c r="X341" s="121"/>
      <c r="Y341" s="121"/>
      <c r="Z341" s="121"/>
    </row>
    <row r="342" spans="1:26" hidden="1" x14ac:dyDescent="0.2">
      <c r="A342" t="s">
        <v>69</v>
      </c>
      <c r="C342" s="121"/>
      <c r="D342" s="121"/>
      <c r="E342" s="121"/>
      <c r="F342" s="121"/>
      <c r="G342" s="121"/>
      <c r="H342" s="121"/>
      <c r="I342" s="121"/>
      <c r="J342" s="121"/>
      <c r="K342" s="121"/>
      <c r="L342" s="121"/>
      <c r="M342" s="121"/>
      <c r="N342" s="121"/>
      <c r="O342" s="121"/>
      <c r="P342" s="121"/>
      <c r="Q342" s="121"/>
      <c r="R342" s="121"/>
      <c r="S342" s="121"/>
      <c r="T342" s="121"/>
      <c r="U342" s="121"/>
      <c r="V342" s="121"/>
      <c r="W342" s="121"/>
      <c r="X342" s="121"/>
      <c r="Y342" s="121"/>
      <c r="Z342" s="121"/>
    </row>
    <row r="343" spans="1:26" hidden="1" x14ac:dyDescent="0.2">
      <c r="A343" t="s">
        <v>70</v>
      </c>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idden="1" x14ac:dyDescent="0.2">
      <c r="A344" t="s">
        <v>71</v>
      </c>
      <c r="C344" s="121"/>
      <c r="D344" s="121"/>
      <c r="E344" s="121"/>
      <c r="F344" s="121"/>
      <c r="G344" s="121"/>
      <c r="H344" s="121"/>
      <c r="I344" s="121"/>
      <c r="J344" s="121"/>
      <c r="K344" s="121"/>
      <c r="L344" s="121"/>
      <c r="M344" s="121"/>
      <c r="N344" s="121"/>
      <c r="O344" s="121"/>
      <c r="P344" s="121"/>
      <c r="Q344" s="121"/>
      <c r="R344" s="121"/>
      <c r="S344" s="121"/>
      <c r="T344" s="121"/>
      <c r="U344" s="121"/>
      <c r="V344" s="121"/>
      <c r="W344" s="121"/>
      <c r="X344" s="121"/>
      <c r="Y344" s="121"/>
      <c r="Z344" s="121"/>
    </row>
    <row r="345" spans="1:26" hidden="1" x14ac:dyDescent="0.2">
      <c r="A345" t="s">
        <v>72</v>
      </c>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idden="1" x14ac:dyDescent="0.2">
      <c r="A346" t="s">
        <v>73</v>
      </c>
      <c r="C346" s="21">
        <v>0</v>
      </c>
      <c r="D346" s="21">
        <v>0</v>
      </c>
      <c r="E346" s="21">
        <v>0</v>
      </c>
      <c r="F346" s="21">
        <v>0</v>
      </c>
      <c r="G346" s="21">
        <v>0</v>
      </c>
      <c r="H346" s="21">
        <v>0</v>
      </c>
      <c r="I346" s="21">
        <v>0</v>
      </c>
      <c r="J346" s="21">
        <v>0</v>
      </c>
      <c r="K346" s="21">
        <v>0</v>
      </c>
      <c r="L346" s="21">
        <v>0</v>
      </c>
      <c r="M346" s="21">
        <v>0</v>
      </c>
      <c r="N346" s="21">
        <v>0</v>
      </c>
      <c r="O346" s="21">
        <f t="shared" ref="O346" si="178">+C346</f>
        <v>0</v>
      </c>
      <c r="P346" s="21">
        <f t="shared" ref="P346" si="179">+D346</f>
        <v>0</v>
      </c>
      <c r="Q346" s="21">
        <f t="shared" ref="Q346" si="180">+E346</f>
        <v>0</v>
      </c>
      <c r="R346" s="21">
        <f t="shared" ref="R346" si="181">+F346</f>
        <v>0</v>
      </c>
      <c r="S346" s="21">
        <f t="shared" ref="S346" si="182">+G346</f>
        <v>0</v>
      </c>
      <c r="T346" s="21">
        <f t="shared" ref="T346" si="183">+H346</f>
        <v>0</v>
      </c>
      <c r="U346" s="21">
        <f t="shared" ref="U346" si="184">+I346</f>
        <v>0</v>
      </c>
      <c r="V346" s="21">
        <f t="shared" ref="V346" si="185">+J346</f>
        <v>0</v>
      </c>
      <c r="W346" s="21">
        <f t="shared" ref="W346" si="186">+K346</f>
        <v>0</v>
      </c>
      <c r="X346" s="21">
        <f t="shared" ref="X346" si="187">+L346</f>
        <v>0</v>
      </c>
      <c r="Y346" s="21">
        <f t="shared" ref="Y346" si="188">+M346</f>
        <v>0</v>
      </c>
      <c r="Z346" s="21">
        <f t="shared" ref="Z346" si="189">+N346</f>
        <v>0</v>
      </c>
    </row>
    <row r="347" spans="1:26" hidden="1" x14ac:dyDescent="0.2">
      <c r="A347" t="s">
        <v>51</v>
      </c>
    </row>
    <row r="348" spans="1:26" hidden="1" x14ac:dyDescent="0.2"/>
    <row r="349" spans="1:26" hidden="1" x14ac:dyDescent="0.2"/>
    <row r="350" spans="1:26" x14ac:dyDescent="0.2">
      <c r="A350" s="14" t="s">
        <v>314</v>
      </c>
    </row>
    <row r="351" spans="1:26" x14ac:dyDescent="0.2">
      <c r="A351" s="54"/>
    </row>
    <row r="352" spans="1:26" x14ac:dyDescent="0.2">
      <c r="A352" t="s">
        <v>23</v>
      </c>
      <c r="C352" s="116">
        <v>822.7941607407563</v>
      </c>
      <c r="D352" s="116">
        <v>896.69389766279403</v>
      </c>
      <c r="E352" s="116">
        <v>1503.0574507212386</v>
      </c>
      <c r="F352" s="116">
        <v>1958.6891381529049</v>
      </c>
      <c r="G352" s="116">
        <v>1874.6041380152053</v>
      </c>
      <c r="H352" s="116">
        <v>1846.6793320401027</v>
      </c>
      <c r="I352" s="116">
        <v>1982.2211661368667</v>
      </c>
      <c r="J352" s="116">
        <v>1994.774165085543</v>
      </c>
      <c r="K352" s="116">
        <v>1841.4734902125836</v>
      </c>
      <c r="L352" s="116">
        <v>1544.4669258112649</v>
      </c>
      <c r="M352" s="116">
        <v>1345.1954722339046</v>
      </c>
      <c r="N352" s="116">
        <v>922.92988553371015</v>
      </c>
      <c r="O352" s="192">
        <v>919</v>
      </c>
      <c r="P352" s="192">
        <v>1040</v>
      </c>
      <c r="Q352" s="192">
        <v>1996</v>
      </c>
      <c r="R352" s="192">
        <v>2636</v>
      </c>
      <c r="S352" s="192">
        <v>2505</v>
      </c>
      <c r="T352" s="192">
        <v>2449</v>
      </c>
      <c r="U352" s="192">
        <v>2360</v>
      </c>
      <c r="V352" s="192">
        <v>2297</v>
      </c>
      <c r="W352" s="192">
        <v>2140</v>
      </c>
      <c r="X352" s="192">
        <v>1822</v>
      </c>
      <c r="Y352" s="192">
        <v>1601</v>
      </c>
      <c r="Z352" s="192">
        <v>1033</v>
      </c>
    </row>
    <row r="353" spans="1:26" x14ac:dyDescent="0.2">
      <c r="A353" s="54" t="s">
        <v>281</v>
      </c>
      <c r="C353" s="28">
        <v>189.14433590662495</v>
      </c>
      <c r="D353" s="28">
        <v>189.20867327617225</v>
      </c>
      <c r="E353" s="28">
        <v>181.3597312197542</v>
      </c>
      <c r="F353" s="28">
        <v>175.16540386289117</v>
      </c>
      <c r="G353" s="28">
        <v>177.70543310138174</v>
      </c>
      <c r="H353" s="28">
        <v>180.00936055512628</v>
      </c>
      <c r="I353" s="28">
        <v>176.27015851210456</v>
      </c>
      <c r="J353" s="28">
        <v>177.68118272340433</v>
      </c>
      <c r="K353" s="28">
        <v>179.07269826060752</v>
      </c>
      <c r="L353" s="28">
        <v>180.92344878848004</v>
      </c>
      <c r="M353" s="28">
        <v>180.04222798114779</v>
      </c>
      <c r="N353" s="28">
        <v>187.76986976708534</v>
      </c>
      <c r="O353" s="28">
        <f t="shared" ref="O353" si="190">+O356/O352</f>
        <v>188.33317149147723</v>
      </c>
      <c r="P353" s="28">
        <f t="shared" ref="P353" si="191">+P356/P352</f>
        <v>184.67790902443858</v>
      </c>
      <c r="Q353" s="28">
        <f t="shared" ref="Q353" si="192">+Q356/Q352</f>
        <v>168.45752902643744</v>
      </c>
      <c r="R353" s="28">
        <f t="shared" ref="R353" si="193">+R356/R352</f>
        <v>162.30877206777217</v>
      </c>
      <c r="S353" s="28">
        <f t="shared" ref="S353" si="194">+S356/S352</f>
        <v>164.46802753403986</v>
      </c>
      <c r="T353" s="28">
        <f t="shared" ref="T353" si="195">+T356/T352</f>
        <v>166.03083515147503</v>
      </c>
      <c r="U353" s="28">
        <f t="shared" ref="U353" si="196">+U356/U352</f>
        <v>166.42001009399439</v>
      </c>
      <c r="V353" s="28">
        <f t="shared" ref="V353" si="197">+V356/V352</f>
        <v>167.02936097444604</v>
      </c>
      <c r="W353" s="28">
        <f t="shared" ref="W353" si="198">+W356/W352</f>
        <v>169.23764569952641</v>
      </c>
      <c r="X353" s="28">
        <f t="shared" ref="X353" si="199">+X356/X352</f>
        <v>170.66142951341146</v>
      </c>
      <c r="Y353" s="28">
        <f t="shared" ref="Y353" si="200">+Y356/Y352</f>
        <v>170.75808958955375</v>
      </c>
      <c r="Z353" s="28">
        <f t="shared" ref="Z353" si="201">+Z356/Z352</f>
        <v>181.38693604980608</v>
      </c>
    </row>
    <row r="354" spans="1:26" x14ac:dyDescent="0.2">
      <c r="A354" s="54" t="s">
        <v>523</v>
      </c>
      <c r="C354" s="144">
        <v>134939.99322089792</v>
      </c>
      <c r="D354" s="144">
        <v>149059.68277189351</v>
      </c>
      <c r="E354" s="144">
        <v>251227.16513708708</v>
      </c>
      <c r="F354" s="144">
        <v>321492.23555824073</v>
      </c>
      <c r="G354" s="144">
        <v>311403.86238093011</v>
      </c>
      <c r="H354" s="144">
        <v>311526.28445826744</v>
      </c>
      <c r="I354" s="144">
        <v>328851.71177598328</v>
      </c>
      <c r="J354" s="144">
        <v>333688.07070800272</v>
      </c>
      <c r="K354" s="144">
        <v>309957.16790362197</v>
      </c>
      <c r="L354" s="144">
        <v>258231.71354798207</v>
      </c>
      <c r="M354" s="144">
        <v>220741.77218107248</v>
      </c>
      <c r="N354" s="144">
        <v>151543.83625028774</v>
      </c>
      <c r="O354" s="238">
        <v>152081.01977190241</v>
      </c>
      <c r="P354" s="238">
        <v>171153.40674659674</v>
      </c>
      <c r="Q354" s="238">
        <v>314553.79385119997</v>
      </c>
      <c r="R354" s="238">
        <v>405919.54972695379</v>
      </c>
      <c r="S354" s="238">
        <v>389943.07894618495</v>
      </c>
      <c r="T354" s="238">
        <v>385402.83481453353</v>
      </c>
      <c r="U354" s="238">
        <v>371888.17552604061</v>
      </c>
      <c r="V354" s="238">
        <v>362609.49351465725</v>
      </c>
      <c r="W354" s="238">
        <v>342071.09615140082</v>
      </c>
      <c r="X354" s="238">
        <v>289428.57682575914</v>
      </c>
      <c r="Y354" s="238">
        <v>251611.7304571525</v>
      </c>
      <c r="Z354" s="238">
        <v>165291.79795651376</v>
      </c>
    </row>
    <row r="355" spans="1:26" x14ac:dyDescent="0.2">
      <c r="A355" s="54" t="s">
        <v>524</v>
      </c>
      <c r="C355" s="153">
        <v>20686.861900261247</v>
      </c>
      <c r="D355" s="153">
        <v>20602.579939723513</v>
      </c>
      <c r="E355" s="153">
        <v>21366.930133565704</v>
      </c>
      <c r="F355" s="153">
        <v>21602.338368171087</v>
      </c>
      <c r="G355" s="153">
        <v>21723.477858704318</v>
      </c>
      <c r="H355" s="153">
        <v>20893.281252639183</v>
      </c>
      <c r="I355" s="153">
        <v>20554.727385010956</v>
      </c>
      <c r="J355" s="153">
        <v>20745.762210487948</v>
      </c>
      <c r="K355" s="153">
        <v>19800.458764123792</v>
      </c>
      <c r="L355" s="153">
        <v>21198.569209533554</v>
      </c>
      <c r="M355" s="153">
        <v>21450.217710071953</v>
      </c>
      <c r="N355" s="153">
        <v>21754.588160527979</v>
      </c>
      <c r="O355" s="153">
        <f t="shared" ref="O355:Z355" si="202">+C355*1.015</f>
        <v>20997.164828765162</v>
      </c>
      <c r="P355" s="153">
        <f t="shared" si="202"/>
        <v>20911.618638819364</v>
      </c>
      <c r="Q355" s="153">
        <f t="shared" si="202"/>
        <v>21687.434085569188</v>
      </c>
      <c r="R355" s="153">
        <f t="shared" si="202"/>
        <v>21926.37344369365</v>
      </c>
      <c r="S355" s="153">
        <f t="shared" si="202"/>
        <v>22049.330026584881</v>
      </c>
      <c r="T355" s="153">
        <f t="shared" si="202"/>
        <v>21206.680471428768</v>
      </c>
      <c r="U355" s="153">
        <f t="shared" si="202"/>
        <v>20863.048295786117</v>
      </c>
      <c r="V355" s="153">
        <f t="shared" si="202"/>
        <v>21056.948643645264</v>
      </c>
      <c r="W355" s="153">
        <f t="shared" si="202"/>
        <v>20097.465645585646</v>
      </c>
      <c r="X355" s="153">
        <f t="shared" si="202"/>
        <v>21516.547747676555</v>
      </c>
      <c r="Y355" s="153">
        <f t="shared" si="202"/>
        <v>21771.97097572303</v>
      </c>
      <c r="Z355" s="153">
        <f t="shared" si="202"/>
        <v>22080.906982935896</v>
      </c>
    </row>
    <row r="356" spans="1:26" x14ac:dyDescent="0.2">
      <c r="A356" t="s">
        <v>24</v>
      </c>
      <c r="C356" s="153">
        <v>155626.85512115917</v>
      </c>
      <c r="D356" s="153">
        <v>169662.26271161702</v>
      </c>
      <c r="E356" s="153">
        <v>272594.09527065279</v>
      </c>
      <c r="F356" s="153">
        <v>343094.5739264118</v>
      </c>
      <c r="G356" s="153">
        <v>333127.34023963445</v>
      </c>
      <c r="H356" s="153">
        <v>332419.56571090664</v>
      </c>
      <c r="I356" s="153">
        <v>349406.43916099425</v>
      </c>
      <c r="J356" s="153">
        <v>354433.83291849069</v>
      </c>
      <c r="K356" s="153">
        <v>329757.62666774576</v>
      </c>
      <c r="L356" s="153">
        <v>279430.28275751561</v>
      </c>
      <c r="M356" s="153">
        <v>242191.98989114442</v>
      </c>
      <c r="N356" s="153">
        <v>173298.42441081573</v>
      </c>
      <c r="O356" s="153">
        <f t="shared" ref="O356:Z356" si="203">+O355+O354</f>
        <v>173078.18460066756</v>
      </c>
      <c r="P356" s="153">
        <f t="shared" si="203"/>
        <v>192065.02538541611</v>
      </c>
      <c r="Q356" s="153">
        <f t="shared" si="203"/>
        <v>336241.22793676914</v>
      </c>
      <c r="R356" s="153">
        <f t="shared" si="203"/>
        <v>427845.92317064747</v>
      </c>
      <c r="S356" s="153">
        <f t="shared" si="203"/>
        <v>411992.40897276986</v>
      </c>
      <c r="T356" s="153">
        <f t="shared" si="203"/>
        <v>406609.51528596232</v>
      </c>
      <c r="U356" s="153">
        <f t="shared" si="203"/>
        <v>392751.22382182674</v>
      </c>
      <c r="V356" s="153">
        <f t="shared" si="203"/>
        <v>383666.44215830253</v>
      </c>
      <c r="W356" s="153">
        <f t="shared" si="203"/>
        <v>362168.5617969865</v>
      </c>
      <c r="X356" s="153">
        <f t="shared" si="203"/>
        <v>310945.12457343569</v>
      </c>
      <c r="Y356" s="153">
        <f t="shared" si="203"/>
        <v>273383.70143287553</v>
      </c>
      <c r="Z356" s="153">
        <f t="shared" si="203"/>
        <v>187372.70493944967</v>
      </c>
    </row>
    <row r="357" spans="1:26" x14ac:dyDescent="0.2">
      <c r="A357" s="54"/>
    </row>
    <row r="358" spans="1:26" x14ac:dyDescent="0.2">
      <c r="A358" s="54"/>
    </row>
    <row r="361" spans="1:26" x14ac:dyDescent="0.2">
      <c r="A361" s="14" t="s">
        <v>315</v>
      </c>
      <c r="B361" s="54"/>
    </row>
    <row r="362" spans="1:26" x14ac:dyDescent="0.2">
      <c r="A362" s="54" t="s">
        <v>23</v>
      </c>
      <c r="C362" s="116">
        <v>1279.4498719200001</v>
      </c>
      <c r="D362" s="116">
        <v>1174.4548912800001</v>
      </c>
      <c r="E362" s="116">
        <v>1324.6302141599999</v>
      </c>
      <c r="F362" s="116">
        <v>1159.0357495200001</v>
      </c>
      <c r="G362" s="116">
        <v>1210.97372088</v>
      </c>
      <c r="H362" s="116">
        <v>1146.5784595319999</v>
      </c>
      <c r="I362" s="116">
        <v>1303.2021208800002</v>
      </c>
      <c r="J362" s="116">
        <v>1298.7328411200001</v>
      </c>
      <c r="K362" s="116">
        <v>935.93307984</v>
      </c>
      <c r="L362" s="116">
        <v>875.64427896000007</v>
      </c>
      <c r="M362" s="116">
        <v>923.53251936000004</v>
      </c>
      <c r="N362" s="116">
        <v>1071.6737539200001</v>
      </c>
      <c r="O362" s="192">
        <v>855.5880272902175</v>
      </c>
      <c r="P362" s="192">
        <v>1216.6626608280001</v>
      </c>
      <c r="Q362" s="192">
        <v>1343.0808651280001</v>
      </c>
      <c r="R362" s="192">
        <v>1101.6512430080002</v>
      </c>
      <c r="S362" s="192">
        <v>1178.85868222</v>
      </c>
      <c r="T362" s="192">
        <v>1227.42121365</v>
      </c>
      <c r="U362" s="192">
        <v>1326.034240984</v>
      </c>
      <c r="V362" s="192">
        <v>1317.5500513919999</v>
      </c>
      <c r="W362" s="192">
        <v>862.78325753600006</v>
      </c>
      <c r="X362" s="192">
        <v>909.81460522399993</v>
      </c>
      <c r="Y362" s="192">
        <v>944.68568961200003</v>
      </c>
      <c r="Z362" s="192">
        <v>1070.9799383940001</v>
      </c>
    </row>
    <row r="363" spans="1:26" x14ac:dyDescent="0.2">
      <c r="A363" s="54" t="s">
        <v>281</v>
      </c>
      <c r="C363" s="120">
        <v>110</v>
      </c>
      <c r="D363" s="185">
        <v>110</v>
      </c>
      <c r="E363" s="185">
        <v>110</v>
      </c>
      <c r="F363" s="185">
        <v>110</v>
      </c>
      <c r="G363" s="185">
        <v>110</v>
      </c>
      <c r="H363" s="185">
        <v>110</v>
      </c>
      <c r="I363" s="185">
        <v>110</v>
      </c>
      <c r="J363" s="185">
        <v>110</v>
      </c>
      <c r="K363" s="185">
        <v>110</v>
      </c>
      <c r="L363" s="185">
        <v>110</v>
      </c>
      <c r="M363" s="185">
        <v>110</v>
      </c>
      <c r="N363" s="185">
        <v>110</v>
      </c>
      <c r="O363" s="185">
        <f t="shared" ref="O363:Z363" si="204">N363</f>
        <v>110</v>
      </c>
      <c r="P363" s="185">
        <f t="shared" si="204"/>
        <v>110</v>
      </c>
      <c r="Q363" s="185">
        <f t="shared" si="204"/>
        <v>110</v>
      </c>
      <c r="R363" s="185">
        <f t="shared" si="204"/>
        <v>110</v>
      </c>
      <c r="S363" s="185">
        <f t="shared" si="204"/>
        <v>110</v>
      </c>
      <c r="T363" s="185">
        <f t="shared" si="204"/>
        <v>110</v>
      </c>
      <c r="U363" s="185">
        <f t="shared" si="204"/>
        <v>110</v>
      </c>
      <c r="V363" s="185">
        <f t="shared" si="204"/>
        <v>110</v>
      </c>
      <c r="W363" s="185">
        <f t="shared" si="204"/>
        <v>110</v>
      </c>
      <c r="X363" s="185">
        <f t="shared" si="204"/>
        <v>110</v>
      </c>
      <c r="Y363" s="185">
        <f t="shared" si="204"/>
        <v>110</v>
      </c>
      <c r="Z363" s="185">
        <f t="shared" si="204"/>
        <v>110</v>
      </c>
    </row>
    <row r="364" spans="1:26" x14ac:dyDescent="0.2">
      <c r="A364" s="54" t="s">
        <v>37</v>
      </c>
      <c r="C364" s="161">
        <v>140739.4859112</v>
      </c>
      <c r="D364" s="161">
        <v>129190.03804080001</v>
      </c>
      <c r="E364" s="161">
        <v>145709.3235576</v>
      </c>
      <c r="F364" s="161">
        <v>127493.93244720002</v>
      </c>
      <c r="G364" s="161">
        <v>133207.10929679999</v>
      </c>
      <c r="H364" s="161">
        <v>126123.63054851998</v>
      </c>
      <c r="I364" s="161">
        <v>143352.23329680003</v>
      </c>
      <c r="J364" s="161">
        <v>142860.61252320002</v>
      </c>
      <c r="K364" s="161">
        <v>102952.6387824</v>
      </c>
      <c r="L364" s="161">
        <v>96320.870685600006</v>
      </c>
      <c r="M364" s="161">
        <v>101588.5771296</v>
      </c>
      <c r="N364" s="161">
        <v>117884.11293120001</v>
      </c>
      <c r="O364" s="161">
        <f t="shared" ref="O364:Z364" si="205">+O363*O362</f>
        <v>94114.683001923928</v>
      </c>
      <c r="P364" s="161">
        <f t="shared" si="205"/>
        <v>133832.89269108002</v>
      </c>
      <c r="Q364" s="161">
        <f t="shared" si="205"/>
        <v>147738.89516408002</v>
      </c>
      <c r="R364" s="161">
        <f t="shared" si="205"/>
        <v>121181.63673088001</v>
      </c>
      <c r="S364" s="161">
        <f t="shared" si="205"/>
        <v>129674.4550442</v>
      </c>
      <c r="T364" s="161">
        <f t="shared" si="205"/>
        <v>135016.33350149999</v>
      </c>
      <c r="U364" s="161">
        <f t="shared" si="205"/>
        <v>145863.76650823999</v>
      </c>
      <c r="V364" s="161">
        <f t="shared" si="205"/>
        <v>144930.50565312</v>
      </c>
      <c r="W364" s="161">
        <f t="shared" si="205"/>
        <v>94906.158328960009</v>
      </c>
      <c r="X364" s="161">
        <f t="shared" si="205"/>
        <v>100079.60657464</v>
      </c>
      <c r="Y364" s="161">
        <f t="shared" si="205"/>
        <v>103915.42585732001</v>
      </c>
      <c r="Z364" s="161">
        <f t="shared" si="205"/>
        <v>117807.79322334001</v>
      </c>
    </row>
    <row r="365" spans="1:26" x14ac:dyDescent="0.2">
      <c r="A365" s="54" t="s">
        <v>401</v>
      </c>
      <c r="C365" s="169">
        <v>0.9</v>
      </c>
      <c r="D365" s="169">
        <v>0.9</v>
      </c>
      <c r="E365" s="169">
        <v>0.9</v>
      </c>
      <c r="F365" s="169">
        <v>0.9</v>
      </c>
      <c r="G365" s="169">
        <v>0.9</v>
      </c>
      <c r="H365" s="169">
        <v>0.9</v>
      </c>
      <c r="I365" s="169">
        <v>0.9</v>
      </c>
      <c r="J365" s="169">
        <v>0.9</v>
      </c>
      <c r="K365" s="169">
        <v>0.9</v>
      </c>
      <c r="L365" s="169">
        <v>0.9</v>
      </c>
      <c r="M365" s="169">
        <v>0.9</v>
      </c>
      <c r="N365" s="169">
        <v>0.9</v>
      </c>
      <c r="O365" s="169">
        <v>0.9</v>
      </c>
      <c r="P365" s="169">
        <v>0.9</v>
      </c>
      <c r="Q365" s="169">
        <v>0.9</v>
      </c>
      <c r="R365" s="169">
        <v>0.9</v>
      </c>
      <c r="S365" s="169">
        <v>0.9</v>
      </c>
      <c r="T365" s="169">
        <v>0.9</v>
      </c>
      <c r="U365" s="169">
        <v>0.9</v>
      </c>
      <c r="V365" s="169">
        <v>0.9</v>
      </c>
      <c r="W365" s="169">
        <v>0.9</v>
      </c>
      <c r="X365" s="169">
        <v>0.9</v>
      </c>
      <c r="Y365" s="169">
        <v>0.9</v>
      </c>
      <c r="Z365" s="169">
        <v>0.9</v>
      </c>
    </row>
    <row r="366" spans="1:26" x14ac:dyDescent="0.2">
      <c r="A366" s="54"/>
    </row>
    <row r="367" spans="1:26" x14ac:dyDescent="0.2">
      <c r="A367" s="54"/>
    </row>
    <row r="368" spans="1:26" x14ac:dyDescent="0.2">
      <c r="A368" s="54" t="s">
        <v>316</v>
      </c>
      <c r="C368" s="12">
        <v>2102.2440326607566</v>
      </c>
      <c r="D368" s="12">
        <v>2071.148788942794</v>
      </c>
      <c r="E368" s="12">
        <v>2827.6876648812386</v>
      </c>
      <c r="F368" s="12">
        <v>3117.724887672905</v>
      </c>
      <c r="G368" s="12">
        <v>3085.5778588952053</v>
      </c>
      <c r="H368" s="12">
        <v>2993.2577915721026</v>
      </c>
      <c r="I368" s="12">
        <v>3285.4232870168671</v>
      </c>
      <c r="J368" s="12">
        <v>3293.5070062055429</v>
      </c>
      <c r="K368" s="12">
        <v>2777.4065700525834</v>
      </c>
      <c r="L368" s="12">
        <v>2420.111204771265</v>
      </c>
      <c r="M368" s="12">
        <v>2268.7279915939048</v>
      </c>
      <c r="N368" s="12">
        <v>1994.6036394537102</v>
      </c>
      <c r="O368" s="12">
        <f t="shared" ref="O368:Z368" si="206">+O362+O352</f>
        <v>1774.5880272902175</v>
      </c>
      <c r="P368" s="12">
        <f t="shared" si="206"/>
        <v>2256.6626608280003</v>
      </c>
      <c r="Q368" s="12">
        <f t="shared" si="206"/>
        <v>3339.0808651280004</v>
      </c>
      <c r="R368" s="12">
        <f t="shared" si="206"/>
        <v>3737.6512430080002</v>
      </c>
      <c r="S368" s="12">
        <f t="shared" si="206"/>
        <v>3683.85868222</v>
      </c>
      <c r="T368" s="12">
        <f t="shared" si="206"/>
        <v>3676.42121365</v>
      </c>
      <c r="U368" s="12">
        <f t="shared" si="206"/>
        <v>3686.034240984</v>
      </c>
      <c r="V368" s="12">
        <f t="shared" si="206"/>
        <v>3614.5500513919997</v>
      </c>
      <c r="W368" s="12">
        <f t="shared" si="206"/>
        <v>3002.7832575359998</v>
      </c>
      <c r="X368" s="12">
        <f t="shared" si="206"/>
        <v>2731.8146052239999</v>
      </c>
      <c r="Y368" s="12">
        <f t="shared" si="206"/>
        <v>2545.6856896119998</v>
      </c>
      <c r="Z368" s="12">
        <f t="shared" si="206"/>
        <v>2103.9799383939999</v>
      </c>
    </row>
    <row r="369" spans="1:26" x14ac:dyDescent="0.2">
      <c r="A369" s="54" t="s">
        <v>317</v>
      </c>
      <c r="C369" s="21">
        <v>296366.34103235917</v>
      </c>
      <c r="D369" s="21">
        <v>298852.30075241701</v>
      </c>
      <c r="E369" s="21">
        <v>418303.41882825282</v>
      </c>
      <c r="F369" s="21">
        <v>470588.5063736118</v>
      </c>
      <c r="G369" s="21">
        <v>466334.44953643443</v>
      </c>
      <c r="H369" s="21">
        <v>458543.19625942665</v>
      </c>
      <c r="I369" s="21">
        <v>492758.67245779431</v>
      </c>
      <c r="J369" s="21">
        <v>497294.44544169074</v>
      </c>
      <c r="K369" s="21">
        <v>432710.26545014576</v>
      </c>
      <c r="L369" s="21">
        <v>375751.15344311565</v>
      </c>
      <c r="M369" s="21">
        <v>343780.56702074443</v>
      </c>
      <c r="N369" s="21">
        <v>291182.53734201577</v>
      </c>
      <c r="O369" s="21">
        <f t="shared" ref="O369:Z369" si="207">+O364+O356</f>
        <v>267192.86760259152</v>
      </c>
      <c r="P369" s="21">
        <f t="shared" si="207"/>
        <v>325897.91807649611</v>
      </c>
      <c r="Q369" s="21">
        <f t="shared" si="207"/>
        <v>483980.12310084916</v>
      </c>
      <c r="R369" s="21">
        <f t="shared" si="207"/>
        <v>549027.55990152748</v>
      </c>
      <c r="S369" s="21">
        <f t="shared" si="207"/>
        <v>541666.86401696992</v>
      </c>
      <c r="T369" s="21">
        <f t="shared" si="207"/>
        <v>541625.84878746234</v>
      </c>
      <c r="U369" s="21">
        <f t="shared" si="207"/>
        <v>538614.99033006676</v>
      </c>
      <c r="V369" s="21">
        <f t="shared" si="207"/>
        <v>528596.94781142252</v>
      </c>
      <c r="W369" s="21">
        <f t="shared" si="207"/>
        <v>457074.72012594651</v>
      </c>
      <c r="X369" s="21">
        <f t="shared" si="207"/>
        <v>411024.73114807566</v>
      </c>
      <c r="Y369" s="21">
        <f t="shared" si="207"/>
        <v>377299.12729019555</v>
      </c>
      <c r="Z369" s="21">
        <f t="shared" si="207"/>
        <v>305180.49816278968</v>
      </c>
    </row>
    <row r="376" spans="1:26" x14ac:dyDescent="0.2">
      <c r="A376" s="14" t="s">
        <v>276</v>
      </c>
      <c r="C376" s="64">
        <v>45307</v>
      </c>
      <c r="D376" s="64">
        <v>45338</v>
      </c>
      <c r="E376" s="64">
        <v>45366</v>
      </c>
      <c r="F376" s="64">
        <v>45397</v>
      </c>
      <c r="G376" s="64">
        <v>45427</v>
      </c>
      <c r="H376" s="64">
        <v>45458</v>
      </c>
      <c r="I376" s="64">
        <v>45488</v>
      </c>
      <c r="J376" s="64">
        <v>45519</v>
      </c>
      <c r="K376" s="64">
        <v>45550</v>
      </c>
      <c r="L376" s="64">
        <v>45580</v>
      </c>
      <c r="M376" s="64">
        <v>45611</v>
      </c>
      <c r="N376" s="64">
        <v>45641</v>
      </c>
      <c r="O376" s="64">
        <f>O2</f>
        <v>45673</v>
      </c>
      <c r="P376" s="64">
        <f t="shared" ref="P376:Z376" si="208">P2</f>
        <v>45704</v>
      </c>
      <c r="Q376" s="64">
        <f t="shared" si="208"/>
        <v>45732</v>
      </c>
      <c r="R376" s="64">
        <f t="shared" si="208"/>
        <v>45763</v>
      </c>
      <c r="S376" s="64">
        <f t="shared" si="208"/>
        <v>45793</v>
      </c>
      <c r="T376" s="64">
        <f t="shared" si="208"/>
        <v>45824</v>
      </c>
      <c r="U376" s="64">
        <f t="shared" si="208"/>
        <v>45854</v>
      </c>
      <c r="V376" s="64">
        <f t="shared" si="208"/>
        <v>45885</v>
      </c>
      <c r="W376" s="64">
        <f t="shared" si="208"/>
        <v>45916</v>
      </c>
      <c r="X376" s="64">
        <f t="shared" si="208"/>
        <v>45946</v>
      </c>
      <c r="Y376" s="64">
        <f t="shared" si="208"/>
        <v>45977</v>
      </c>
      <c r="Z376" s="64">
        <f t="shared" si="208"/>
        <v>46007</v>
      </c>
    </row>
    <row r="377" spans="1:26" x14ac:dyDescent="0.2">
      <c r="A377" s="54" t="s">
        <v>333</v>
      </c>
      <c r="C377" s="110"/>
      <c r="D377" s="110"/>
      <c r="E377" s="110"/>
      <c r="F377" s="110"/>
      <c r="G377" s="110"/>
      <c r="H377" s="110"/>
      <c r="I377" s="110"/>
      <c r="J377" s="110"/>
      <c r="K377" s="110"/>
      <c r="L377" s="110"/>
      <c r="M377" s="110"/>
      <c r="N377" s="110"/>
      <c r="O377" s="110"/>
      <c r="P377" s="110"/>
      <c r="Q377" s="110"/>
      <c r="R377" s="110"/>
      <c r="S377" s="110"/>
      <c r="T377" s="110"/>
      <c r="U377" s="110"/>
      <c r="V377" s="110"/>
      <c r="W377" s="110"/>
      <c r="X377" s="110"/>
      <c r="Y377" s="110"/>
      <c r="Z377" s="110"/>
    </row>
    <row r="378" spans="1:26" x14ac:dyDescent="0.2">
      <c r="A378" s="54" t="s">
        <v>334</v>
      </c>
      <c r="C378" s="45">
        <v>0</v>
      </c>
      <c r="D378" s="45">
        <v>0</v>
      </c>
      <c r="E378" s="45">
        <v>0</v>
      </c>
      <c r="F378" s="45">
        <v>0</v>
      </c>
      <c r="G378" s="45">
        <v>0</v>
      </c>
      <c r="H378" s="45">
        <v>0</v>
      </c>
      <c r="I378" s="45">
        <v>0</v>
      </c>
      <c r="J378" s="45">
        <v>0</v>
      </c>
      <c r="K378" s="45">
        <v>0</v>
      </c>
      <c r="L378" s="45">
        <v>0</v>
      </c>
      <c r="M378" s="45">
        <v>0</v>
      </c>
      <c r="N378" s="45">
        <v>0</v>
      </c>
      <c r="O378" s="45">
        <f t="shared" ref="O378:Z378" si="209">+C378</f>
        <v>0</v>
      </c>
      <c r="P378" s="45">
        <f t="shared" si="209"/>
        <v>0</v>
      </c>
      <c r="Q378" s="45">
        <f t="shared" si="209"/>
        <v>0</v>
      </c>
      <c r="R378" s="45">
        <f t="shared" si="209"/>
        <v>0</v>
      </c>
      <c r="S378" s="45">
        <f t="shared" si="209"/>
        <v>0</v>
      </c>
      <c r="T378" s="45">
        <f t="shared" si="209"/>
        <v>0</v>
      </c>
      <c r="U378" s="45">
        <f t="shared" si="209"/>
        <v>0</v>
      </c>
      <c r="V378" s="45">
        <f t="shared" si="209"/>
        <v>0</v>
      </c>
      <c r="W378" s="45">
        <f t="shared" si="209"/>
        <v>0</v>
      </c>
      <c r="X378" s="45">
        <f t="shared" si="209"/>
        <v>0</v>
      </c>
      <c r="Y378" s="45">
        <f t="shared" si="209"/>
        <v>0</v>
      </c>
      <c r="Z378" s="45">
        <f t="shared" si="209"/>
        <v>0</v>
      </c>
    </row>
    <row r="379" spans="1:26" x14ac:dyDescent="0.2">
      <c r="A379" s="54" t="s">
        <v>335</v>
      </c>
      <c r="C379" s="97">
        <v>0.1162486559139785</v>
      </c>
      <c r="D379" s="97">
        <v>0.30429112787356322</v>
      </c>
      <c r="E379" s="97">
        <v>0.36562500000000003</v>
      </c>
      <c r="F379" s="97">
        <v>0.43953697916666667</v>
      </c>
      <c r="G379" s="97">
        <v>0.37608484543010751</v>
      </c>
      <c r="H379" s="97">
        <v>0.20760607638888887</v>
      </c>
      <c r="I379" s="97">
        <v>0.27451663306451612</v>
      </c>
      <c r="J379" s="97">
        <v>0.17322866263440861</v>
      </c>
      <c r="K379" s="97">
        <v>0.27138437500000001</v>
      </c>
      <c r="L379" s="97">
        <v>0.2729453965053763</v>
      </c>
      <c r="M379" s="97">
        <v>0.39592406380027739</v>
      </c>
      <c r="N379" s="97">
        <v>0.42733719758064515</v>
      </c>
      <c r="O379" s="97">
        <f t="shared" ref="O379:Z379" si="210">+O380/(8*O33)</f>
        <v>0.18724277553763441</v>
      </c>
      <c r="P379" s="97">
        <f t="shared" si="210"/>
        <v>0.33990252976190477</v>
      </c>
      <c r="Q379" s="97">
        <f t="shared" si="210"/>
        <v>0.3930832772543742</v>
      </c>
      <c r="R379" s="97">
        <f t="shared" si="210"/>
        <v>0.36986249999999998</v>
      </c>
      <c r="S379" s="97">
        <f t="shared" si="210"/>
        <v>0.25636323924731186</v>
      </c>
      <c r="T379" s="97">
        <f t="shared" si="210"/>
        <v>0.28059305555555553</v>
      </c>
      <c r="U379" s="97">
        <f t="shared" si="210"/>
        <v>0.1756594422043011</v>
      </c>
      <c r="V379" s="97">
        <f t="shared" si="210"/>
        <v>0.32128864247311828</v>
      </c>
      <c r="W379" s="97">
        <f t="shared" si="210"/>
        <v>0.17025399305555555</v>
      </c>
      <c r="X379" s="97">
        <f t="shared" si="210"/>
        <v>0.34913071236559134</v>
      </c>
      <c r="Y379" s="97">
        <f t="shared" si="210"/>
        <v>0.3056354022191401</v>
      </c>
      <c r="Z379" s="97">
        <f t="shared" si="210"/>
        <v>0.25378040994623657</v>
      </c>
    </row>
    <row r="380" spans="1:26" x14ac:dyDescent="0.2">
      <c r="A380" t="s">
        <v>23</v>
      </c>
      <c r="C380" s="116">
        <v>691.91200000000003</v>
      </c>
      <c r="D380" s="116">
        <v>1694.2929999999999</v>
      </c>
      <c r="E380" s="116">
        <v>2173.2750000000001</v>
      </c>
      <c r="F380" s="116">
        <v>2531.7330000000002</v>
      </c>
      <c r="G380" s="116">
        <v>2238.4569999999999</v>
      </c>
      <c r="H380" s="116">
        <v>1195.8109999999999</v>
      </c>
      <c r="I380" s="116">
        <v>1633.923</v>
      </c>
      <c r="J380" s="116">
        <v>1031.057</v>
      </c>
      <c r="K380" s="116">
        <v>1563.174</v>
      </c>
      <c r="L380" s="116">
        <v>1624.5709999999999</v>
      </c>
      <c r="M380" s="116">
        <v>2283.69</v>
      </c>
      <c r="N380" s="116">
        <v>2543.511</v>
      </c>
      <c r="O380" s="116">
        <v>1114.4690000000001</v>
      </c>
      <c r="P380" s="116">
        <v>1827.316</v>
      </c>
      <c r="Q380" s="116">
        <v>2336.4870000000001</v>
      </c>
      <c r="R380" s="116">
        <v>2130.4079999999999</v>
      </c>
      <c r="S380" s="116">
        <v>1525.874</v>
      </c>
      <c r="T380" s="116">
        <v>1616.2159999999999</v>
      </c>
      <c r="U380" s="116">
        <v>1045.5250000000001</v>
      </c>
      <c r="V380" s="116">
        <v>1912.31</v>
      </c>
      <c r="W380" s="116">
        <v>980.66300000000001</v>
      </c>
      <c r="X380" s="116">
        <v>2078.0259999999998</v>
      </c>
      <c r="Y380" s="116">
        <v>1762.905</v>
      </c>
      <c r="Z380" s="116">
        <v>1510.501</v>
      </c>
    </row>
    <row r="381" spans="1:26" x14ac:dyDescent="0.2">
      <c r="A381" t="s">
        <v>389</v>
      </c>
      <c r="C381" s="124">
        <v>0</v>
      </c>
      <c r="D381" s="124">
        <v>0</v>
      </c>
      <c r="E381" s="124">
        <v>0</v>
      </c>
      <c r="F381" s="124">
        <v>0</v>
      </c>
      <c r="G381" s="124">
        <v>0</v>
      </c>
      <c r="H381" s="124">
        <v>0</v>
      </c>
      <c r="I381" s="124">
        <v>0</v>
      </c>
      <c r="J381" s="124">
        <v>0</v>
      </c>
      <c r="K381" s="124">
        <v>0</v>
      </c>
      <c r="L381" s="124">
        <v>0</v>
      </c>
      <c r="M381" s="124">
        <v>0</v>
      </c>
      <c r="N381" s="124">
        <v>0</v>
      </c>
      <c r="O381" s="124">
        <v>0</v>
      </c>
      <c r="P381" s="124">
        <v>0</v>
      </c>
      <c r="Q381" s="124">
        <v>0</v>
      </c>
      <c r="R381" s="124">
        <v>0</v>
      </c>
      <c r="S381" s="124">
        <v>0</v>
      </c>
      <c r="T381" s="124">
        <v>0</v>
      </c>
      <c r="U381" s="124">
        <v>0</v>
      </c>
      <c r="V381" s="124">
        <v>0</v>
      </c>
      <c r="W381" s="124">
        <v>0</v>
      </c>
      <c r="X381" s="124">
        <v>0</v>
      </c>
      <c r="Y381" s="124">
        <v>0</v>
      </c>
      <c r="Z381" s="124">
        <v>0</v>
      </c>
    </row>
    <row r="382" spans="1:26" x14ac:dyDescent="0.2">
      <c r="A382" t="s">
        <v>24</v>
      </c>
      <c r="C382" s="144">
        <v>235658</v>
      </c>
      <c r="D382" s="153">
        <v>235658</v>
      </c>
      <c r="E382" s="153">
        <v>235658</v>
      </c>
      <c r="F382" s="153">
        <v>235658</v>
      </c>
      <c r="G382" s="153">
        <v>235658</v>
      </c>
      <c r="H382" s="153">
        <v>235658</v>
      </c>
      <c r="I382" s="153">
        <v>235658</v>
      </c>
      <c r="J382" s="153">
        <v>235658</v>
      </c>
      <c r="K382" s="153">
        <v>235658</v>
      </c>
      <c r="L382" s="153">
        <v>235658</v>
      </c>
      <c r="M382" s="153">
        <v>235658</v>
      </c>
      <c r="N382" s="153">
        <v>235658</v>
      </c>
      <c r="O382" s="238">
        <v>232123</v>
      </c>
      <c r="P382" s="238">
        <v>232123</v>
      </c>
      <c r="Q382" s="238">
        <v>232123</v>
      </c>
      <c r="R382" s="238">
        <v>232123</v>
      </c>
      <c r="S382" s="238">
        <v>232123</v>
      </c>
      <c r="T382" s="238">
        <v>232123</v>
      </c>
      <c r="U382" s="238">
        <v>232123</v>
      </c>
      <c r="V382" s="238">
        <v>232123</v>
      </c>
      <c r="W382" s="238">
        <v>232123</v>
      </c>
      <c r="X382" s="238">
        <v>228641</v>
      </c>
      <c r="Y382" s="238">
        <v>228641</v>
      </c>
      <c r="Z382" s="238">
        <v>228641</v>
      </c>
    </row>
    <row r="386" spans="1:26" x14ac:dyDescent="0.2">
      <c r="A386">
        <f>0.55*0.975</f>
        <v>0.53625</v>
      </c>
    </row>
    <row r="388" spans="1:26" x14ac:dyDescent="0.2">
      <c r="A388" s="14" t="s">
        <v>415</v>
      </c>
      <c r="O388" s="147"/>
      <c r="P388" s="147"/>
      <c r="Q388" s="147"/>
      <c r="R388" s="147"/>
      <c r="S388" s="147"/>
      <c r="T388" s="147"/>
      <c r="U388" s="147"/>
      <c r="V388" s="147"/>
      <c r="W388" s="147"/>
      <c r="X388" s="147"/>
      <c r="Y388" s="147"/>
      <c r="Z388" s="147"/>
    </row>
    <row r="389" spans="1:26" x14ac:dyDescent="0.2">
      <c r="A389" t="s">
        <v>23</v>
      </c>
      <c r="C389" s="125">
        <v>6.5990000000000002</v>
      </c>
      <c r="D389" s="125">
        <v>5.57</v>
      </c>
      <c r="E389" s="125">
        <v>6.6020000000000003</v>
      </c>
      <c r="F389" s="125">
        <v>8.8140000000000001</v>
      </c>
      <c r="G389" s="125">
        <v>3.2</v>
      </c>
      <c r="H389" s="125">
        <v>5.1639999999999997</v>
      </c>
      <c r="I389" s="125">
        <v>2.8740000000000001</v>
      </c>
      <c r="J389" s="125">
        <v>1.964</v>
      </c>
      <c r="K389" s="125">
        <v>2.7360000000000002</v>
      </c>
      <c r="L389" s="125">
        <v>3.85</v>
      </c>
      <c r="M389" s="125">
        <v>5.6639999999999997</v>
      </c>
      <c r="N389" s="125">
        <v>6.992</v>
      </c>
      <c r="O389" s="207">
        <v>6.1630000000000003</v>
      </c>
      <c r="P389" s="207">
        <v>5.3150000000000004</v>
      </c>
      <c r="Q389" s="207">
        <v>8.8699999999999992</v>
      </c>
      <c r="R389" s="207">
        <v>8.4670000000000005</v>
      </c>
      <c r="S389" s="207">
        <v>3.548</v>
      </c>
      <c r="T389" s="207">
        <v>4.8390000000000004</v>
      </c>
      <c r="U389" s="207">
        <v>6.5609999999999999</v>
      </c>
      <c r="V389" s="207">
        <v>2.73</v>
      </c>
      <c r="W389" s="207">
        <v>3.2450000000000001</v>
      </c>
      <c r="X389" s="207">
        <v>4.4050000000000002</v>
      </c>
      <c r="Y389" s="207">
        <v>6.125</v>
      </c>
      <c r="Z389" s="207">
        <v>3.7570000000000001</v>
      </c>
    </row>
    <row r="390" spans="1:26" x14ac:dyDescent="0.2">
      <c r="A390" t="s">
        <v>13</v>
      </c>
      <c r="B390" s="24">
        <v>76.313878914228638</v>
      </c>
      <c r="C390">
        <v>71.69</v>
      </c>
      <c r="D390">
        <v>71.69</v>
      </c>
      <c r="E390">
        <v>71.69</v>
      </c>
      <c r="F390">
        <v>71.69</v>
      </c>
      <c r="G390">
        <v>71.69</v>
      </c>
      <c r="H390">
        <v>71.69</v>
      </c>
      <c r="I390">
        <v>71.69</v>
      </c>
      <c r="J390" s="119">
        <v>71.69</v>
      </c>
      <c r="K390" s="119">
        <v>71.69</v>
      </c>
      <c r="L390" s="119">
        <v>71.69</v>
      </c>
      <c r="M390" s="119">
        <v>71.69</v>
      </c>
      <c r="N390" s="119">
        <v>71.69</v>
      </c>
      <c r="O390" s="147">
        <f>C390*1.03</f>
        <v>73.840699999999998</v>
      </c>
      <c r="P390" s="147">
        <f t="shared" ref="P390:Z390" si="211">D390*1.03</f>
        <v>73.840699999999998</v>
      </c>
      <c r="Q390" s="147">
        <f t="shared" si="211"/>
        <v>73.840699999999998</v>
      </c>
      <c r="R390" s="147">
        <f t="shared" si="211"/>
        <v>73.840699999999998</v>
      </c>
      <c r="S390" s="147">
        <f t="shared" si="211"/>
        <v>73.840699999999998</v>
      </c>
      <c r="T390" s="147">
        <f t="shared" si="211"/>
        <v>73.840699999999998</v>
      </c>
      <c r="U390" s="147">
        <f t="shared" si="211"/>
        <v>73.840699999999998</v>
      </c>
      <c r="V390" s="147">
        <f t="shared" si="211"/>
        <v>73.840699999999998</v>
      </c>
      <c r="W390" s="147">
        <f t="shared" si="211"/>
        <v>73.840699999999998</v>
      </c>
      <c r="X390" s="147">
        <f t="shared" si="211"/>
        <v>73.840699999999998</v>
      </c>
      <c r="Y390" s="147">
        <f t="shared" si="211"/>
        <v>73.840699999999998</v>
      </c>
      <c r="Z390" s="147">
        <f t="shared" si="211"/>
        <v>73.840699999999998</v>
      </c>
    </row>
    <row r="391" spans="1:26" x14ac:dyDescent="0.2">
      <c r="A391" t="s">
        <v>37</v>
      </c>
      <c r="C391" s="21">
        <v>473.08231000000001</v>
      </c>
      <c r="D391" s="21">
        <v>399.31330000000003</v>
      </c>
      <c r="E391" s="21">
        <v>473.29738000000003</v>
      </c>
      <c r="F391" s="21">
        <v>631.87566000000004</v>
      </c>
      <c r="G391" s="21">
        <v>229.40800000000002</v>
      </c>
      <c r="H391" s="21">
        <v>370.20715999999999</v>
      </c>
      <c r="I391" s="21">
        <v>206.03706</v>
      </c>
      <c r="J391" s="21">
        <v>140.79916</v>
      </c>
      <c r="K391" s="21">
        <v>196.14384000000001</v>
      </c>
      <c r="L391" s="21">
        <v>276.00650000000002</v>
      </c>
      <c r="M391" s="21">
        <v>406.05215999999996</v>
      </c>
      <c r="N391" s="21">
        <v>501.25648000000001</v>
      </c>
      <c r="O391" s="21">
        <f t="shared" ref="O391:Z391" si="212">+O390*O389</f>
        <v>455.08023409999998</v>
      </c>
      <c r="P391" s="21">
        <f t="shared" si="212"/>
        <v>392.46332050000001</v>
      </c>
      <c r="Q391" s="21">
        <f t="shared" si="212"/>
        <v>654.96700899999996</v>
      </c>
      <c r="R391" s="21">
        <f t="shared" si="212"/>
        <v>625.20920690000003</v>
      </c>
      <c r="S391" s="21">
        <f t="shared" si="212"/>
        <v>261.98680359999997</v>
      </c>
      <c r="T391" s="21">
        <f t="shared" si="212"/>
        <v>357.31514730000004</v>
      </c>
      <c r="U391" s="21">
        <f t="shared" si="212"/>
        <v>484.46883270000001</v>
      </c>
      <c r="V391" s="21">
        <f t="shared" si="212"/>
        <v>201.58511099999998</v>
      </c>
      <c r="W391" s="21">
        <f t="shared" si="212"/>
        <v>239.61307149999999</v>
      </c>
      <c r="X391" s="21">
        <f t="shared" si="212"/>
        <v>325.2682835</v>
      </c>
      <c r="Y391" s="21">
        <f t="shared" si="212"/>
        <v>452.27428750000001</v>
      </c>
      <c r="Z391" s="21">
        <f t="shared" si="212"/>
        <v>277.41950989999998</v>
      </c>
    </row>
    <row r="392" spans="1:26" x14ac:dyDescent="0.2">
      <c r="O392" s="147"/>
      <c r="P392" s="147"/>
      <c r="Q392" s="147"/>
      <c r="R392" s="147"/>
      <c r="S392" s="147"/>
      <c r="T392" s="147"/>
      <c r="U392" s="147"/>
      <c r="V392" s="147"/>
      <c r="W392" s="147"/>
      <c r="X392" s="147"/>
      <c r="Y392" s="147"/>
      <c r="Z392" s="147"/>
    </row>
    <row r="393" spans="1:26" x14ac:dyDescent="0.2">
      <c r="A393" s="14" t="s">
        <v>205</v>
      </c>
      <c r="O393" s="147"/>
      <c r="P393" s="147"/>
      <c r="Q393" s="147"/>
      <c r="R393" s="147"/>
      <c r="S393" s="147"/>
      <c r="T393" s="147"/>
      <c r="U393" s="147"/>
      <c r="V393" s="147"/>
      <c r="W393" s="147"/>
      <c r="X393" s="147"/>
      <c r="Y393" s="147"/>
      <c r="Z393" s="147"/>
    </row>
    <row r="394" spans="1:26" x14ac:dyDescent="0.2">
      <c r="A394" t="s">
        <v>23</v>
      </c>
      <c r="C394" s="125">
        <v>6.6360000000000001</v>
      </c>
      <c r="D394" s="125">
        <v>7.0110000000000001</v>
      </c>
      <c r="E394" s="125">
        <v>8.7200000000000006</v>
      </c>
      <c r="F394" s="125">
        <v>13.276999999999999</v>
      </c>
      <c r="G394" s="125">
        <v>7.4429999999999996</v>
      </c>
      <c r="H394" s="125">
        <v>3.9420000000000002</v>
      </c>
      <c r="I394" s="125">
        <v>7.266</v>
      </c>
      <c r="J394" s="125">
        <v>0.21099999999999999</v>
      </c>
      <c r="K394" s="125">
        <v>6.1429999999999998</v>
      </c>
      <c r="L394" s="125">
        <v>9.8230000000000004</v>
      </c>
      <c r="M394" s="125">
        <v>11.869</v>
      </c>
      <c r="N394" s="125">
        <v>10.47</v>
      </c>
      <c r="O394" s="207">
        <v>2.7709999999999999</v>
      </c>
      <c r="P394" s="207">
        <v>1.226</v>
      </c>
      <c r="Q394" s="207">
        <v>6.6079999999999997</v>
      </c>
      <c r="R394" s="207">
        <v>8.7200000000000006</v>
      </c>
      <c r="S394" s="207">
        <v>5.718</v>
      </c>
      <c r="T394" s="207">
        <v>8.6720000000000006</v>
      </c>
      <c r="U394" s="207">
        <v>9.2799999999999994</v>
      </c>
      <c r="V394" s="207">
        <v>10.022</v>
      </c>
      <c r="W394" s="207">
        <v>9.0120000000000005</v>
      </c>
      <c r="X394" s="207">
        <v>9.0500000000000007</v>
      </c>
      <c r="Y394" s="207">
        <v>12.472</v>
      </c>
      <c r="Z394" s="207">
        <v>10.718</v>
      </c>
    </row>
    <row r="395" spans="1:26" x14ac:dyDescent="0.2">
      <c r="A395" t="s">
        <v>13</v>
      </c>
      <c r="B395" s="24">
        <v>76.313878914228638</v>
      </c>
      <c r="C395" s="119">
        <v>71.69</v>
      </c>
      <c r="D395" s="119">
        <v>71.69</v>
      </c>
      <c r="E395" s="119">
        <v>71.69</v>
      </c>
      <c r="F395" s="119">
        <v>71.69</v>
      </c>
      <c r="G395" s="119">
        <v>71.69</v>
      </c>
      <c r="H395" s="119">
        <v>71.69</v>
      </c>
      <c r="I395" s="119">
        <v>71.69</v>
      </c>
      <c r="J395" s="119">
        <v>71.69</v>
      </c>
      <c r="K395" s="119">
        <v>71.69</v>
      </c>
      <c r="L395" s="119">
        <v>71.69</v>
      </c>
      <c r="M395" s="119">
        <v>71.69</v>
      </c>
      <c r="N395" s="119">
        <v>71.69</v>
      </c>
      <c r="O395" s="147">
        <f>C395*1.03</f>
        <v>73.840699999999998</v>
      </c>
      <c r="P395" s="147">
        <f t="shared" ref="P395:Z395" si="213">D395*1.03</f>
        <v>73.840699999999998</v>
      </c>
      <c r="Q395" s="147">
        <f t="shared" si="213"/>
        <v>73.840699999999998</v>
      </c>
      <c r="R395" s="147">
        <f t="shared" si="213"/>
        <v>73.840699999999998</v>
      </c>
      <c r="S395" s="147">
        <f t="shared" si="213"/>
        <v>73.840699999999998</v>
      </c>
      <c r="T395" s="147">
        <f t="shared" si="213"/>
        <v>73.840699999999998</v>
      </c>
      <c r="U395" s="147">
        <f t="shared" si="213"/>
        <v>73.840699999999998</v>
      </c>
      <c r="V395" s="147">
        <f t="shared" si="213"/>
        <v>73.840699999999998</v>
      </c>
      <c r="W395" s="147">
        <f t="shared" si="213"/>
        <v>73.840699999999998</v>
      </c>
      <c r="X395" s="147">
        <f t="shared" si="213"/>
        <v>73.840699999999998</v>
      </c>
      <c r="Y395" s="147">
        <f t="shared" si="213"/>
        <v>73.840699999999998</v>
      </c>
      <c r="Z395" s="147">
        <f t="shared" si="213"/>
        <v>73.840699999999998</v>
      </c>
    </row>
    <row r="396" spans="1:26" x14ac:dyDescent="0.2">
      <c r="A396" t="s">
        <v>37</v>
      </c>
      <c r="C396" s="21">
        <v>475.73484000000002</v>
      </c>
      <c r="D396" s="21">
        <v>502.61858999999998</v>
      </c>
      <c r="E396" s="21">
        <v>625.13679999999999</v>
      </c>
      <c r="F396" s="21">
        <v>951.82812999999987</v>
      </c>
      <c r="G396" s="21">
        <v>533.58866999999998</v>
      </c>
      <c r="H396" s="21">
        <v>282.60198000000003</v>
      </c>
      <c r="I396" s="21">
        <v>520.89954</v>
      </c>
      <c r="J396" s="21">
        <v>15.126589999999998</v>
      </c>
      <c r="K396" s="21">
        <v>440.39166999999998</v>
      </c>
      <c r="L396" s="21">
        <v>704.21087</v>
      </c>
      <c r="M396" s="21">
        <v>850.88860999999997</v>
      </c>
      <c r="N396" s="21">
        <v>750.59429999999998</v>
      </c>
      <c r="O396" s="21">
        <f t="shared" ref="O396:Z396" si="214">+O395*O394</f>
        <v>204.6125797</v>
      </c>
      <c r="P396" s="21">
        <f t="shared" si="214"/>
        <v>90.528698199999994</v>
      </c>
      <c r="Q396" s="21">
        <f t="shared" si="214"/>
        <v>487.93934559999997</v>
      </c>
      <c r="R396" s="21">
        <f t="shared" si="214"/>
        <v>643.89090399999998</v>
      </c>
      <c r="S396" s="21">
        <f t="shared" si="214"/>
        <v>422.2211226</v>
      </c>
      <c r="T396" s="21">
        <f t="shared" si="214"/>
        <v>640.34655040000007</v>
      </c>
      <c r="U396" s="21">
        <f t="shared" si="214"/>
        <v>685.24169599999993</v>
      </c>
      <c r="V396" s="21">
        <f t="shared" si="214"/>
        <v>740.03149540000004</v>
      </c>
      <c r="W396" s="21">
        <f t="shared" si="214"/>
        <v>665.45238840000002</v>
      </c>
      <c r="X396" s="21">
        <f t="shared" si="214"/>
        <v>668.25833499999999</v>
      </c>
      <c r="Y396" s="21">
        <f t="shared" si="214"/>
        <v>920.94121039999993</v>
      </c>
      <c r="Z396" s="21">
        <f t="shared" si="214"/>
        <v>791.42462260000002</v>
      </c>
    </row>
    <row r="398" spans="1:26" x14ac:dyDescent="0.2">
      <c r="A398" s="14"/>
    </row>
    <row r="399" spans="1:26" x14ac:dyDescent="0.2">
      <c r="A399" s="14" t="s">
        <v>423</v>
      </c>
      <c r="C399" s="32"/>
      <c r="D399" s="32"/>
      <c r="E399" s="32"/>
      <c r="F399" s="32"/>
      <c r="G399" s="32"/>
      <c r="H399" s="32"/>
      <c r="I399" s="32"/>
      <c r="J399" s="32"/>
      <c r="K399" s="32"/>
      <c r="L399" s="32"/>
      <c r="M399" s="32"/>
      <c r="N399" s="32"/>
      <c r="O399" s="32"/>
      <c r="P399" s="32"/>
      <c r="Q399" s="32"/>
      <c r="R399" s="32"/>
      <c r="S399" s="32"/>
      <c r="T399" s="32"/>
      <c r="U399" s="32"/>
      <c r="V399" s="32"/>
      <c r="W399" s="32"/>
      <c r="X399" s="32"/>
      <c r="Y399" s="32"/>
      <c r="Z399" s="32"/>
    </row>
    <row r="400" spans="1:26" x14ac:dyDescent="0.2">
      <c r="A400" s="54"/>
      <c r="C400" s="32"/>
      <c r="D400" s="32"/>
      <c r="E400" s="32"/>
      <c r="F400" s="32"/>
      <c r="G400" s="32"/>
      <c r="H400" s="32"/>
      <c r="I400" s="32"/>
      <c r="J400" s="32"/>
      <c r="K400" s="32"/>
      <c r="L400" s="32"/>
      <c r="M400" s="32"/>
      <c r="N400" s="32"/>
      <c r="O400" s="32"/>
      <c r="P400" s="32"/>
      <c r="Q400" s="32"/>
      <c r="R400" s="32"/>
      <c r="S400" s="32"/>
      <c r="T400" s="32"/>
      <c r="U400" s="32"/>
      <c r="V400" s="32"/>
      <c r="W400" s="32"/>
      <c r="X400" s="32"/>
      <c r="Y400" s="32"/>
      <c r="Z400" s="32"/>
    </row>
    <row r="401" spans="1:26" x14ac:dyDescent="0.2">
      <c r="C401" s="32"/>
      <c r="D401" s="32"/>
      <c r="E401" s="32"/>
      <c r="F401" s="32"/>
      <c r="G401" s="32"/>
      <c r="H401" s="32"/>
      <c r="I401" s="32"/>
      <c r="J401" s="32"/>
      <c r="K401" s="32"/>
      <c r="L401" s="32"/>
      <c r="M401" s="32"/>
      <c r="N401" s="32"/>
      <c r="O401" s="32"/>
      <c r="P401" s="32"/>
      <c r="Q401" s="32"/>
      <c r="R401" s="32"/>
      <c r="S401" s="32"/>
      <c r="T401" s="32"/>
      <c r="U401" s="32"/>
      <c r="V401" s="32"/>
      <c r="W401" s="32"/>
      <c r="X401" s="32"/>
      <c r="Y401" s="32"/>
      <c r="Z401" s="32"/>
    </row>
    <row r="402" spans="1:26" x14ac:dyDescent="0.2">
      <c r="A402" s="54" t="s">
        <v>280</v>
      </c>
      <c r="C402" s="150">
        <v>82.368815302608866</v>
      </c>
      <c r="D402" s="150">
        <v>102.47426660327568</v>
      </c>
      <c r="E402" s="150">
        <v>142.61874440136083</v>
      </c>
      <c r="F402" s="150">
        <v>152.29775698790357</v>
      </c>
      <c r="G402" s="150">
        <v>175.3939009489327</v>
      </c>
      <c r="H402" s="150">
        <v>170.52825016689701</v>
      </c>
      <c r="I402" s="150">
        <v>172.49898341085586</v>
      </c>
      <c r="J402" s="150">
        <v>163.7149481188651</v>
      </c>
      <c r="K402" s="150">
        <v>130.71321103075522</v>
      </c>
      <c r="L402" s="150">
        <v>103.13286483135056</v>
      </c>
      <c r="M402" s="150">
        <v>63.569064727890698</v>
      </c>
      <c r="N402" s="150">
        <v>57.920504934503356</v>
      </c>
      <c r="O402" s="206">
        <v>28.8</v>
      </c>
      <c r="P402" s="206">
        <v>86.4</v>
      </c>
      <c r="Q402" s="206">
        <v>117.6</v>
      </c>
      <c r="R402" s="206">
        <v>132</v>
      </c>
      <c r="S402" s="206">
        <v>168</v>
      </c>
      <c r="T402" s="206">
        <v>156</v>
      </c>
      <c r="U402" s="206">
        <v>146.4</v>
      </c>
      <c r="V402" s="206">
        <v>151.19999999999999</v>
      </c>
      <c r="W402" s="206">
        <v>136.80000000000001</v>
      </c>
      <c r="X402" s="206">
        <v>76.8</v>
      </c>
      <c r="Y402" s="206">
        <v>60</v>
      </c>
      <c r="Z402" s="206">
        <v>28.8</v>
      </c>
    </row>
    <row r="403" spans="1:26" x14ac:dyDescent="0.2">
      <c r="A403" s="54" t="s">
        <v>281</v>
      </c>
      <c r="C403" s="119">
        <v>132.94478366126924</v>
      </c>
      <c r="D403" s="119">
        <v>132.94478366126924</v>
      </c>
      <c r="E403" s="119">
        <v>132.94478366126924</v>
      </c>
      <c r="F403" s="119">
        <v>132.94478366126924</v>
      </c>
      <c r="G403" s="119">
        <v>132.94478366126924</v>
      </c>
      <c r="H403" s="119">
        <v>132.94478366126924</v>
      </c>
      <c r="I403" s="119">
        <v>132.94478366126924</v>
      </c>
      <c r="J403" s="119">
        <v>132.94478366126924</v>
      </c>
      <c r="K403" s="119">
        <v>132.94478366126924</v>
      </c>
      <c r="L403" s="119">
        <v>132.94478366126924</v>
      </c>
      <c r="M403" s="119">
        <v>132.94478366126924</v>
      </c>
      <c r="N403" s="119">
        <v>134.27423149788194</v>
      </c>
      <c r="O403" s="119">
        <f t="shared" ref="O403" si="215">+C403*1.01</f>
        <v>134.27423149788194</v>
      </c>
      <c r="P403" s="119">
        <f t="shared" ref="P403" si="216">+D403*1.01</f>
        <v>134.27423149788194</v>
      </c>
      <c r="Q403" s="119">
        <f t="shared" ref="Q403" si="217">+E403*1.01</f>
        <v>134.27423149788194</v>
      </c>
      <c r="R403" s="119">
        <f t="shared" ref="R403" si="218">+F403*1.01</f>
        <v>134.27423149788194</v>
      </c>
      <c r="S403" s="119">
        <f t="shared" ref="S403" si="219">+G403*1.01</f>
        <v>134.27423149788194</v>
      </c>
      <c r="T403" s="119">
        <f t="shared" ref="T403" si="220">+H403*1.01</f>
        <v>134.27423149788194</v>
      </c>
      <c r="U403" s="119">
        <f t="shared" ref="U403" si="221">+I403*1.01</f>
        <v>134.27423149788194</v>
      </c>
      <c r="V403" s="119">
        <f t="shared" ref="V403" si="222">+J403*1.01</f>
        <v>134.27423149788194</v>
      </c>
      <c r="W403" s="119">
        <f t="shared" ref="W403" si="223">+K403*1.01</f>
        <v>134.27423149788194</v>
      </c>
      <c r="X403" s="119">
        <f t="shared" ref="X403" si="224">+L403*1.01</f>
        <v>134.27423149788194</v>
      </c>
      <c r="Y403" s="119">
        <f t="shared" ref="Y403" si="225">+M403*1.01</f>
        <v>134.27423149788194</v>
      </c>
      <c r="Z403" s="119">
        <f t="shared" ref="Z403" si="226">+N403*1.01</f>
        <v>135.61697381286075</v>
      </c>
    </row>
    <row r="404" spans="1:26" x14ac:dyDescent="0.2">
      <c r="A404" s="54" t="s">
        <v>37</v>
      </c>
      <c r="C404" s="118">
        <v>10950.504330840378</v>
      </c>
      <c r="D404" s="118">
        <v>13623.419204419713</v>
      </c>
      <c r="E404" s="118">
        <v>18960.418120480768</v>
      </c>
      <c r="F404" s="118">
        <v>20247.192354853396</v>
      </c>
      <c r="G404" s="118">
        <v>23317.704217161943</v>
      </c>
      <c r="H404" s="118">
        <v>22670.841326572925</v>
      </c>
      <c r="I404" s="118">
        <v>22932.840031345102</v>
      </c>
      <c r="J404" s="118">
        <v>21765.048359778437</v>
      </c>
      <c r="K404" s="118">
        <v>17377.639562153585</v>
      </c>
      <c r="L404" s="118">
        <v>13710.976403370823</v>
      </c>
      <c r="M404" s="118">
        <v>8451.1755577986496</v>
      </c>
      <c r="N404" s="118">
        <v>7777.2312880497166</v>
      </c>
      <c r="O404" s="118">
        <f t="shared" ref="O404:Z404" si="227">+O403*O402</f>
        <v>3867.0978671389998</v>
      </c>
      <c r="P404" s="118">
        <f t="shared" si="227"/>
        <v>11601.293601417001</v>
      </c>
      <c r="Q404" s="118">
        <f t="shared" si="227"/>
        <v>15790.649624150916</v>
      </c>
      <c r="R404" s="118">
        <f t="shared" si="227"/>
        <v>17724.198557720418</v>
      </c>
      <c r="S404" s="118">
        <f t="shared" si="227"/>
        <v>22558.070891644165</v>
      </c>
      <c r="T404" s="118">
        <f t="shared" si="227"/>
        <v>20946.780113669582</v>
      </c>
      <c r="U404" s="118">
        <f t="shared" si="227"/>
        <v>19657.747491289916</v>
      </c>
      <c r="V404" s="118">
        <f t="shared" si="227"/>
        <v>20302.263802479749</v>
      </c>
      <c r="W404" s="118">
        <f t="shared" si="227"/>
        <v>18368.714868910251</v>
      </c>
      <c r="X404" s="118">
        <f t="shared" si="227"/>
        <v>10312.260979037334</v>
      </c>
      <c r="Y404" s="118">
        <f t="shared" si="227"/>
        <v>8056.453889872917</v>
      </c>
      <c r="Z404" s="118">
        <f t="shared" si="227"/>
        <v>3905.7688458103898</v>
      </c>
    </row>
    <row r="405" spans="1:26" x14ac:dyDescent="0.2">
      <c r="C405" s="32"/>
      <c r="D405" s="32"/>
      <c r="E405" s="32"/>
      <c r="F405" s="32"/>
      <c r="G405" s="32"/>
      <c r="H405" s="32"/>
      <c r="I405" s="32"/>
      <c r="J405" s="32"/>
      <c r="K405" s="32"/>
      <c r="L405" s="32"/>
      <c r="M405" s="32"/>
      <c r="N405" s="32"/>
      <c r="O405" s="32"/>
      <c r="P405" s="32"/>
      <c r="Q405" s="32"/>
      <c r="R405" s="32"/>
      <c r="S405" s="32"/>
      <c r="T405" s="32"/>
      <c r="U405" s="32"/>
      <c r="V405" s="32"/>
      <c r="W405" s="32"/>
      <c r="X405" s="32"/>
      <c r="Y405" s="32"/>
      <c r="Z405" s="32"/>
    </row>
    <row r="406" spans="1:26" x14ac:dyDescent="0.2">
      <c r="A406" s="14" t="s">
        <v>424</v>
      </c>
      <c r="C406" s="32"/>
      <c r="D406" s="32"/>
      <c r="E406" s="32"/>
      <c r="F406" s="32"/>
      <c r="G406" s="32"/>
      <c r="H406" s="32"/>
      <c r="I406" s="32"/>
      <c r="J406" s="32"/>
      <c r="K406" s="32"/>
      <c r="L406" s="32"/>
      <c r="M406" s="32"/>
      <c r="N406" s="32"/>
      <c r="O406" s="32"/>
      <c r="P406" s="32"/>
      <c r="Q406" s="32"/>
      <c r="R406" s="32"/>
      <c r="S406" s="32"/>
      <c r="T406" s="32"/>
      <c r="U406" s="32"/>
      <c r="V406" s="32"/>
      <c r="W406" s="32"/>
      <c r="X406" s="32"/>
      <c r="Y406" s="32"/>
      <c r="Z406" s="32"/>
    </row>
    <row r="407" spans="1:26" x14ac:dyDescent="0.2">
      <c r="A407" s="54"/>
      <c r="C407" s="32"/>
      <c r="D407" s="32"/>
      <c r="E407" s="32"/>
      <c r="F407" s="32"/>
      <c r="G407" s="32"/>
      <c r="H407" s="32"/>
      <c r="I407" s="32"/>
      <c r="J407" s="32"/>
      <c r="K407" s="32"/>
      <c r="L407" s="32"/>
      <c r="M407" s="32"/>
      <c r="N407" s="32"/>
      <c r="O407" s="32"/>
      <c r="P407" s="32"/>
      <c r="Q407" s="32"/>
      <c r="R407" s="32"/>
      <c r="S407" s="32"/>
      <c r="T407" s="32"/>
      <c r="U407" s="32"/>
      <c r="V407" s="32"/>
      <c r="W407" s="32"/>
      <c r="X407" s="32"/>
      <c r="Y407" s="32"/>
      <c r="Z407" s="32"/>
    </row>
    <row r="408" spans="1:26" x14ac:dyDescent="0.2">
      <c r="A408" s="54" t="s">
        <v>280</v>
      </c>
      <c r="C408" s="150">
        <v>107.61758827827025</v>
      </c>
      <c r="D408" s="150">
        <v>133.88595756179387</v>
      </c>
      <c r="E408" s="150">
        <v>186.33599315202625</v>
      </c>
      <c r="F408" s="150">
        <v>198.98197711766505</v>
      </c>
      <c r="G408" s="150">
        <v>229.15781653911878</v>
      </c>
      <c r="H408" s="150">
        <v>222.80072706947905</v>
      </c>
      <c r="I408" s="150">
        <v>225.37547684647959</v>
      </c>
      <c r="J408" s="150">
        <v>213.89891851340573</v>
      </c>
      <c r="K408" s="150">
        <v>170.78111909213203</v>
      </c>
      <c r="L408" s="150">
        <v>134.74645306174159</v>
      </c>
      <c r="M408" s="150">
        <v>83.055056063667763</v>
      </c>
      <c r="N408" s="150">
        <v>75.29662491739839</v>
      </c>
      <c r="O408" s="206">
        <v>17.960999999999999</v>
      </c>
      <c r="P408" s="206">
        <v>89.085999999999999</v>
      </c>
      <c r="Q408" s="206">
        <v>107.559</v>
      </c>
      <c r="R408" s="206">
        <v>152.08500000000001</v>
      </c>
      <c r="S408" s="206">
        <v>190.334</v>
      </c>
      <c r="T408" s="206">
        <v>194.63499999999999</v>
      </c>
      <c r="U408" s="206">
        <v>211.06</v>
      </c>
      <c r="V408" s="206">
        <v>193.012</v>
      </c>
      <c r="W408" s="206">
        <v>181.09</v>
      </c>
      <c r="X408" s="206">
        <v>104.611</v>
      </c>
      <c r="Y408" s="206">
        <v>56.927</v>
      </c>
      <c r="Z408" s="206">
        <v>27.007000000000001</v>
      </c>
    </row>
    <row r="409" spans="1:26" x14ac:dyDescent="0.2">
      <c r="A409" s="54" t="s">
        <v>281</v>
      </c>
      <c r="C409" s="119">
        <v>118.24705402272001</v>
      </c>
      <c r="D409" s="119">
        <v>118.24705402272001</v>
      </c>
      <c r="E409" s="119">
        <v>118.24705402272001</v>
      </c>
      <c r="F409" s="119">
        <v>118.24705402272001</v>
      </c>
      <c r="G409" s="119">
        <v>118.24705402272001</v>
      </c>
      <c r="H409" s="119">
        <v>118.24705402272001</v>
      </c>
      <c r="I409" s="119">
        <v>118.24705402272001</v>
      </c>
      <c r="J409" s="119">
        <v>118.24705402272001</v>
      </c>
      <c r="K409" s="119">
        <v>118.24705402272001</v>
      </c>
      <c r="L409" s="119">
        <v>118.24705402272001</v>
      </c>
      <c r="M409" s="119">
        <v>120.61199510317441</v>
      </c>
      <c r="N409" s="119">
        <v>120.61199510317441</v>
      </c>
      <c r="O409" s="119">
        <f t="shared" ref="O409" si="228">+C409*1.02</f>
        <v>120.61199510317441</v>
      </c>
      <c r="P409" s="119">
        <f t="shared" ref="P409" si="229">+D409*1.02</f>
        <v>120.61199510317441</v>
      </c>
      <c r="Q409" s="119">
        <f t="shared" ref="Q409" si="230">+E409*1.02</f>
        <v>120.61199510317441</v>
      </c>
      <c r="R409" s="119">
        <f t="shared" ref="R409" si="231">+F409*1.02</f>
        <v>120.61199510317441</v>
      </c>
      <c r="S409" s="119">
        <f t="shared" ref="S409" si="232">+G409*1.02</f>
        <v>120.61199510317441</v>
      </c>
      <c r="T409" s="119">
        <f t="shared" ref="T409" si="233">+H409*1.02</f>
        <v>120.61199510317441</v>
      </c>
      <c r="U409" s="119">
        <f t="shared" ref="U409" si="234">+I409*1.02</f>
        <v>120.61199510317441</v>
      </c>
      <c r="V409" s="119">
        <f t="shared" ref="V409" si="235">+J409*1.02</f>
        <v>120.61199510317441</v>
      </c>
      <c r="W409" s="119">
        <f t="shared" ref="W409" si="236">+K409*1.02</f>
        <v>120.61199510317441</v>
      </c>
      <c r="X409" s="119">
        <f t="shared" ref="X409" si="237">+L409*1.02</f>
        <v>120.61199510317441</v>
      </c>
      <c r="Y409" s="119">
        <f t="shared" ref="Y409" si="238">+M409*1.02</f>
        <v>123.0242350052379</v>
      </c>
      <c r="Z409" s="119">
        <f t="shared" ref="Z409" si="239">+N409*1.02</f>
        <v>123.0242350052379</v>
      </c>
    </row>
    <row r="410" spans="1:26" x14ac:dyDescent="0.2">
      <c r="A410" s="54" t="s">
        <v>37</v>
      </c>
      <c r="C410" s="118">
        <v>12725.462774935462</v>
      </c>
      <c r="D410" s="118">
        <v>15831.620056693038</v>
      </c>
      <c r="E410" s="118">
        <v>22033.682248624835</v>
      </c>
      <c r="F410" s="118">
        <v>23529.032597780177</v>
      </c>
      <c r="G410" s="118">
        <v>27097.236712029739</v>
      </c>
      <c r="H410" s="118">
        <v>26345.529610085985</v>
      </c>
      <c r="I410" s="118">
        <v>26649.986186061953</v>
      </c>
      <c r="J410" s="118">
        <v>25292.916972856074</v>
      </c>
      <c r="K410" s="118">
        <v>20194.364215347916</v>
      </c>
      <c r="L410" s="118">
        <v>15933.371114561663</v>
      </c>
      <c r="M410" s="118">
        <v>10017.436015244972</v>
      </c>
      <c r="N410" s="118">
        <v>9081.6761558228154</v>
      </c>
      <c r="O410" s="118">
        <f t="shared" ref="O410:Z410" si="240">+O409*O408</f>
        <v>2166.3120440481152</v>
      </c>
      <c r="P410" s="118">
        <f t="shared" si="240"/>
        <v>10744.840195761395</v>
      </c>
      <c r="Q410" s="118">
        <f t="shared" si="240"/>
        <v>12972.905581302335</v>
      </c>
      <c r="R410" s="118">
        <f t="shared" si="240"/>
        <v>18343.275275266282</v>
      </c>
      <c r="S410" s="118">
        <f t="shared" si="240"/>
        <v>22956.5634759676</v>
      </c>
      <c r="T410" s="118">
        <f t="shared" si="240"/>
        <v>23475.31566690635</v>
      </c>
      <c r="U410" s="118">
        <f t="shared" si="240"/>
        <v>25456.367686475991</v>
      </c>
      <c r="V410" s="118">
        <f t="shared" si="240"/>
        <v>23279.562398853897</v>
      </c>
      <c r="W410" s="118">
        <f t="shared" si="240"/>
        <v>21841.626193233853</v>
      </c>
      <c r="X410" s="118">
        <f t="shared" si="240"/>
        <v>12617.341419738179</v>
      </c>
      <c r="Y410" s="118">
        <f t="shared" si="240"/>
        <v>7003.4006261431778</v>
      </c>
      <c r="Z410" s="118">
        <f t="shared" si="240"/>
        <v>3322.5155147864602</v>
      </c>
    </row>
    <row r="411" spans="1:26" x14ac:dyDescent="0.2">
      <c r="C411" s="32"/>
      <c r="D411" s="32"/>
      <c r="E411" s="32"/>
      <c r="F411" s="32"/>
      <c r="G411" s="32"/>
      <c r="H411" s="32"/>
      <c r="I411" s="32"/>
      <c r="J411" s="32"/>
      <c r="K411" s="32"/>
      <c r="L411" s="32"/>
      <c r="M411" s="32"/>
      <c r="N411" s="32"/>
      <c r="O411" s="32"/>
      <c r="P411" s="32"/>
      <c r="Q411" s="32"/>
      <c r="R411" s="32"/>
      <c r="S411" s="32"/>
      <c r="T411" s="32"/>
      <c r="U411" s="32"/>
      <c r="V411" s="32"/>
      <c r="W411" s="32"/>
      <c r="X411" s="32"/>
      <c r="Y411" s="32"/>
      <c r="Z411" s="32"/>
    </row>
    <row r="412" spans="1:26" x14ac:dyDescent="0.2">
      <c r="A412" s="14" t="s">
        <v>425</v>
      </c>
      <c r="C412" s="32"/>
      <c r="D412" s="32"/>
      <c r="E412" s="32"/>
      <c r="F412" s="32"/>
      <c r="G412" s="32"/>
      <c r="H412" s="32"/>
      <c r="I412" s="32"/>
      <c r="J412" s="32"/>
      <c r="K412" s="32"/>
      <c r="L412" s="32"/>
      <c r="M412" s="32"/>
      <c r="N412" s="32"/>
      <c r="O412" s="32"/>
      <c r="P412" s="32"/>
      <c r="Q412" s="32"/>
      <c r="R412" s="32"/>
      <c r="S412" s="32"/>
      <c r="T412" s="32"/>
      <c r="U412" s="32"/>
      <c r="V412" s="32"/>
      <c r="W412" s="32"/>
      <c r="X412" s="32"/>
      <c r="Y412" s="32"/>
      <c r="Z412" s="32"/>
    </row>
    <row r="413" spans="1:26" x14ac:dyDescent="0.2">
      <c r="A413" s="54"/>
      <c r="C413" s="32"/>
      <c r="D413" s="32"/>
      <c r="E413" s="32"/>
      <c r="F413" s="32"/>
      <c r="G413" s="32"/>
      <c r="H413" s="32"/>
      <c r="I413" s="32"/>
      <c r="J413" s="32"/>
      <c r="K413" s="32"/>
      <c r="L413" s="32"/>
      <c r="M413" s="32"/>
      <c r="N413" s="32"/>
      <c r="O413" s="32"/>
      <c r="P413" s="32"/>
      <c r="Q413" s="32"/>
      <c r="R413" s="32"/>
      <c r="S413" s="32"/>
      <c r="T413" s="32"/>
      <c r="U413" s="32"/>
      <c r="V413" s="32"/>
      <c r="W413" s="32"/>
      <c r="X413" s="32"/>
      <c r="Y413" s="32"/>
      <c r="Z413" s="32"/>
    </row>
    <row r="414" spans="1:26" x14ac:dyDescent="0.2">
      <c r="A414" s="54" t="s">
        <v>280</v>
      </c>
      <c r="C414" s="150">
        <v>389.4101044814314</v>
      </c>
      <c r="D414" s="150">
        <v>484.46118737665705</v>
      </c>
      <c r="E414" s="150">
        <v>674.24962559819653</v>
      </c>
      <c r="F414" s="150">
        <v>720.00863082472983</v>
      </c>
      <c r="G414" s="150">
        <v>829.19874702053585</v>
      </c>
      <c r="H414" s="150">
        <v>806.19585867719434</v>
      </c>
      <c r="I414" s="150">
        <v>815.51249166375942</v>
      </c>
      <c r="J414" s="150">
        <v>773.98500847963146</v>
      </c>
      <c r="K414" s="150">
        <v>617.96491152736326</v>
      </c>
      <c r="L414" s="150">
        <v>487.57485713686214</v>
      </c>
      <c r="M414" s="150">
        <v>300.53152586167658</v>
      </c>
      <c r="N414" s="150">
        <v>273.82707618539251</v>
      </c>
      <c r="O414" s="206">
        <v>127.2</v>
      </c>
      <c r="P414" s="206">
        <v>436.8</v>
      </c>
      <c r="Q414" s="206">
        <v>583.20000000000005</v>
      </c>
      <c r="R414" s="206">
        <v>614.4</v>
      </c>
      <c r="S414" s="206">
        <v>868.8</v>
      </c>
      <c r="T414" s="206">
        <v>772.8</v>
      </c>
      <c r="U414" s="206">
        <v>792</v>
      </c>
      <c r="V414" s="206">
        <v>748.8</v>
      </c>
      <c r="W414" s="206">
        <v>684</v>
      </c>
      <c r="X414" s="206">
        <v>372</v>
      </c>
      <c r="Y414" s="206">
        <v>292.8</v>
      </c>
      <c r="Z414" s="206">
        <v>127.2</v>
      </c>
    </row>
    <row r="415" spans="1:26" x14ac:dyDescent="0.2">
      <c r="A415" s="54" t="s">
        <v>281</v>
      </c>
      <c r="C415" s="96">
        <v>119.8</v>
      </c>
      <c r="D415" s="96">
        <v>119.8</v>
      </c>
      <c r="E415" s="96">
        <v>119.8</v>
      </c>
      <c r="F415" s="96">
        <v>119.8</v>
      </c>
      <c r="G415" s="96">
        <v>119.8</v>
      </c>
      <c r="H415" s="96">
        <v>119.8</v>
      </c>
      <c r="I415" s="96">
        <v>119.8</v>
      </c>
      <c r="J415" s="96">
        <v>119.8</v>
      </c>
      <c r="K415" s="96">
        <v>119.8</v>
      </c>
      <c r="L415" s="96">
        <v>119.8</v>
      </c>
      <c r="M415" s="96">
        <v>119.8</v>
      </c>
      <c r="N415" s="96">
        <v>119.8</v>
      </c>
      <c r="O415" s="96">
        <f t="shared" ref="O415:Z415" si="241">+N415</f>
        <v>119.8</v>
      </c>
      <c r="P415" s="96">
        <f t="shared" si="241"/>
        <v>119.8</v>
      </c>
      <c r="Q415" s="96">
        <f t="shared" si="241"/>
        <v>119.8</v>
      </c>
      <c r="R415" s="96">
        <f t="shared" si="241"/>
        <v>119.8</v>
      </c>
      <c r="S415" s="96">
        <f t="shared" si="241"/>
        <v>119.8</v>
      </c>
      <c r="T415" s="96">
        <f t="shared" si="241"/>
        <v>119.8</v>
      </c>
      <c r="U415" s="96">
        <f t="shared" si="241"/>
        <v>119.8</v>
      </c>
      <c r="V415" s="96">
        <f t="shared" si="241"/>
        <v>119.8</v>
      </c>
      <c r="W415" s="96">
        <f t="shared" si="241"/>
        <v>119.8</v>
      </c>
      <c r="X415" s="96">
        <f t="shared" si="241"/>
        <v>119.8</v>
      </c>
      <c r="Y415" s="96">
        <f t="shared" si="241"/>
        <v>119.8</v>
      </c>
      <c r="Z415" s="96">
        <f t="shared" si="241"/>
        <v>119.8</v>
      </c>
    </row>
    <row r="416" spans="1:26" x14ac:dyDescent="0.2">
      <c r="A416" s="54" t="s">
        <v>37</v>
      </c>
      <c r="C416" s="118">
        <v>46651.330516875481</v>
      </c>
      <c r="D416" s="118">
        <v>58038.450247723515</v>
      </c>
      <c r="E416" s="118">
        <v>80775.105146663947</v>
      </c>
      <c r="F416" s="118">
        <v>86257.03397280263</v>
      </c>
      <c r="G416" s="118">
        <v>99338.009893060196</v>
      </c>
      <c r="H416" s="118">
        <v>96582.263869527873</v>
      </c>
      <c r="I416" s="118">
        <v>97698.396501318377</v>
      </c>
      <c r="J416" s="118">
        <v>92723.404015859851</v>
      </c>
      <c r="K416" s="118">
        <v>74032.196400978122</v>
      </c>
      <c r="L416" s="118">
        <v>58411.467884996084</v>
      </c>
      <c r="M416" s="118">
        <v>36003.676798228851</v>
      </c>
      <c r="N416" s="118">
        <v>32804.483727010025</v>
      </c>
      <c r="O416" s="118">
        <f t="shared" ref="O416:Z416" si="242">+O415*O414</f>
        <v>15238.56</v>
      </c>
      <c r="P416" s="118">
        <f t="shared" si="242"/>
        <v>52328.639999999999</v>
      </c>
      <c r="Q416" s="118">
        <f t="shared" si="242"/>
        <v>69867.360000000001</v>
      </c>
      <c r="R416" s="118">
        <f t="shared" si="242"/>
        <v>73605.119999999995</v>
      </c>
      <c r="S416" s="118">
        <f t="shared" si="242"/>
        <v>104082.23999999999</v>
      </c>
      <c r="T416" s="118">
        <f t="shared" si="242"/>
        <v>92581.439999999988</v>
      </c>
      <c r="U416" s="118">
        <f t="shared" si="242"/>
        <v>94881.599999999991</v>
      </c>
      <c r="V416" s="118">
        <f t="shared" si="242"/>
        <v>89706.239999999991</v>
      </c>
      <c r="W416" s="118">
        <f t="shared" si="242"/>
        <v>81943.199999999997</v>
      </c>
      <c r="X416" s="118">
        <f t="shared" si="242"/>
        <v>44565.599999999999</v>
      </c>
      <c r="Y416" s="118">
        <f t="shared" si="242"/>
        <v>35077.440000000002</v>
      </c>
      <c r="Z416" s="118">
        <f t="shared" si="242"/>
        <v>15238.56</v>
      </c>
    </row>
    <row r="417" spans="1:26" x14ac:dyDescent="0.2">
      <c r="C417" s="32"/>
      <c r="D417" s="32"/>
      <c r="E417" s="32"/>
      <c r="F417" s="32"/>
      <c r="G417" s="32"/>
      <c r="H417" s="32"/>
      <c r="I417" s="32"/>
      <c r="J417" s="32"/>
      <c r="K417" s="32"/>
      <c r="L417" s="32"/>
      <c r="M417" s="32"/>
      <c r="N417" s="32"/>
      <c r="O417" s="32"/>
      <c r="P417" s="32"/>
      <c r="Q417" s="32"/>
      <c r="R417" s="32"/>
      <c r="S417" s="32"/>
      <c r="T417" s="32"/>
      <c r="U417" s="32"/>
      <c r="V417" s="32"/>
      <c r="W417" s="32"/>
      <c r="X417" s="32"/>
      <c r="Y417" s="32"/>
      <c r="Z417" s="32"/>
    </row>
    <row r="418" spans="1:26" x14ac:dyDescent="0.2">
      <c r="C418" s="32"/>
      <c r="D418" s="32"/>
      <c r="E418" s="32"/>
      <c r="F418" s="32"/>
      <c r="G418" s="32"/>
      <c r="H418" s="32"/>
      <c r="I418" s="32"/>
      <c r="J418" s="32"/>
      <c r="K418" s="32"/>
      <c r="L418" s="32"/>
      <c r="M418" s="32"/>
      <c r="N418" s="32"/>
      <c r="O418" s="32"/>
      <c r="P418" s="32"/>
      <c r="Q418" s="32"/>
      <c r="R418" s="32"/>
      <c r="S418" s="32"/>
      <c r="T418" s="32"/>
      <c r="U418" s="32"/>
      <c r="V418" s="32"/>
      <c r="W418" s="32"/>
      <c r="X418" s="32"/>
      <c r="Y418" s="32"/>
      <c r="Z418" s="32"/>
    </row>
    <row r="419" spans="1:26" x14ac:dyDescent="0.2">
      <c r="A419" s="14" t="s">
        <v>549</v>
      </c>
      <c r="C419" s="32"/>
      <c r="D419" s="32"/>
      <c r="E419" s="32"/>
      <c r="F419" s="32"/>
      <c r="G419" s="32"/>
      <c r="H419" s="32"/>
      <c r="I419" s="32"/>
      <c r="J419" s="32"/>
      <c r="K419" s="32"/>
      <c r="L419" s="32"/>
      <c r="M419" s="32"/>
      <c r="N419" s="32"/>
      <c r="O419" s="32"/>
      <c r="P419" s="32"/>
      <c r="Q419" s="32"/>
      <c r="R419" s="32"/>
      <c r="S419" s="32"/>
      <c r="T419" s="32"/>
      <c r="U419" s="32"/>
      <c r="V419" s="32"/>
      <c r="W419" s="32"/>
      <c r="X419" s="32"/>
      <c r="Y419" s="32"/>
      <c r="Z419" s="32"/>
    </row>
    <row r="420" spans="1:26" x14ac:dyDescent="0.2">
      <c r="C420" s="32"/>
      <c r="D420" s="32"/>
      <c r="E420" s="32"/>
      <c r="F420" s="32"/>
      <c r="G420" s="32"/>
      <c r="H420" s="32"/>
      <c r="I420" s="32"/>
      <c r="J420" s="32"/>
      <c r="K420" s="32"/>
      <c r="L420" s="32"/>
      <c r="M420" s="32"/>
      <c r="N420" s="32"/>
      <c r="O420" s="32"/>
      <c r="P420" s="32"/>
      <c r="Q420" s="32"/>
      <c r="R420" s="32"/>
      <c r="S420" s="32"/>
      <c r="T420" s="32"/>
      <c r="U420" s="32"/>
      <c r="V420" s="32"/>
      <c r="W420" s="32"/>
      <c r="X420" s="32"/>
      <c r="Y420" s="32"/>
      <c r="Z420" s="32"/>
    </row>
    <row r="421" spans="1:26" x14ac:dyDescent="0.2">
      <c r="A421" s="54" t="s">
        <v>280</v>
      </c>
      <c r="C421" s="150">
        <v>133.13048062158856</v>
      </c>
      <c r="D421" s="150">
        <v>170.75709963798096</v>
      </c>
      <c r="E421" s="150">
        <v>225.99297479009709</v>
      </c>
      <c r="F421" s="150">
        <v>250.23892173454735</v>
      </c>
      <c r="G421" s="150">
        <v>258.62012804431896</v>
      </c>
      <c r="H421" s="150">
        <v>270.70539398759809</v>
      </c>
      <c r="I421" s="150">
        <v>279.70805570328355</v>
      </c>
      <c r="J421" s="150">
        <v>265.47145427705112</v>
      </c>
      <c r="K421" s="150">
        <v>228.65201007463804</v>
      </c>
      <c r="L421" s="150">
        <v>160.94627579145541</v>
      </c>
      <c r="M421" s="150">
        <v>111.01147346078565</v>
      </c>
      <c r="N421" s="150">
        <v>102.20843953743685</v>
      </c>
      <c r="O421" s="206">
        <v>17.834</v>
      </c>
      <c r="P421" s="206">
        <v>130.50399999999999</v>
      </c>
      <c r="Q421" s="206">
        <v>159.358</v>
      </c>
      <c r="R421" s="206">
        <v>173.84800000000001</v>
      </c>
      <c r="S421" s="206">
        <v>302.47899999999998</v>
      </c>
      <c r="T421" s="206">
        <v>290.77499999999998</v>
      </c>
      <c r="U421" s="206">
        <v>292.03399999999999</v>
      </c>
      <c r="V421" s="206">
        <v>292.03399999999999</v>
      </c>
      <c r="W421" s="206">
        <v>309.77100000000002</v>
      </c>
      <c r="X421" s="206">
        <v>87.396000000000001</v>
      </c>
      <c r="Y421" s="206">
        <v>90.251999999999995</v>
      </c>
      <c r="Z421" s="206">
        <v>42.728999999999999</v>
      </c>
    </row>
    <row r="422" spans="1:26" x14ac:dyDescent="0.2">
      <c r="A422" s="54" t="s">
        <v>281</v>
      </c>
      <c r="C422" s="119">
        <v>120.3</v>
      </c>
      <c r="D422" s="119">
        <v>120.3</v>
      </c>
      <c r="E422" s="119">
        <v>120.3</v>
      </c>
      <c r="F422" s="119">
        <v>120.3</v>
      </c>
      <c r="G422" s="119">
        <v>120.3</v>
      </c>
      <c r="H422" s="119">
        <v>120.3</v>
      </c>
      <c r="I422" s="119">
        <v>120.3</v>
      </c>
      <c r="J422" s="119">
        <v>120.3</v>
      </c>
      <c r="K422" s="119">
        <v>120.3</v>
      </c>
      <c r="L422" s="119">
        <v>120.3</v>
      </c>
      <c r="M422" s="119">
        <v>120.3</v>
      </c>
      <c r="N422" s="119">
        <v>120.3</v>
      </c>
      <c r="O422" s="119">
        <f t="shared" ref="O422:Q422" si="243">+N422</f>
        <v>120.3</v>
      </c>
      <c r="P422" s="119">
        <f t="shared" si="243"/>
        <v>120.3</v>
      </c>
      <c r="Q422" s="119">
        <f t="shared" si="243"/>
        <v>120.3</v>
      </c>
      <c r="R422" s="119">
        <f t="shared" ref="R422:Z422" si="244">+Q422</f>
        <v>120.3</v>
      </c>
      <c r="S422" s="119">
        <f t="shared" si="244"/>
        <v>120.3</v>
      </c>
      <c r="T422" s="119">
        <f t="shared" si="244"/>
        <v>120.3</v>
      </c>
      <c r="U422" s="119">
        <f t="shared" si="244"/>
        <v>120.3</v>
      </c>
      <c r="V422" s="119">
        <f t="shared" si="244"/>
        <v>120.3</v>
      </c>
      <c r="W422" s="119">
        <f t="shared" si="244"/>
        <v>120.3</v>
      </c>
      <c r="X422" s="119">
        <f t="shared" si="244"/>
        <v>120.3</v>
      </c>
      <c r="Y422" s="119">
        <f t="shared" si="244"/>
        <v>120.3</v>
      </c>
      <c r="Z422" s="119">
        <f t="shared" si="244"/>
        <v>120.3</v>
      </c>
    </row>
    <row r="423" spans="1:26" x14ac:dyDescent="0.2">
      <c r="A423" s="54" t="s">
        <v>37</v>
      </c>
      <c r="C423" s="118">
        <v>16015.596818777103</v>
      </c>
      <c r="D423" s="118">
        <v>20542.07908644911</v>
      </c>
      <c r="E423" s="118">
        <v>27186.954867248678</v>
      </c>
      <c r="F423" s="118">
        <v>30103.742284666045</v>
      </c>
      <c r="G423" s="118">
        <v>31112.00140373157</v>
      </c>
      <c r="H423" s="118">
        <v>32565.85889670805</v>
      </c>
      <c r="I423" s="118">
        <v>33648.879101105013</v>
      </c>
      <c r="J423" s="118">
        <v>31936.215949529251</v>
      </c>
      <c r="K423" s="118">
        <v>27506.836811978956</v>
      </c>
      <c r="L423" s="118">
        <v>19361.836977712086</v>
      </c>
      <c r="M423" s="118">
        <v>13354.680257332513</v>
      </c>
      <c r="N423" s="118">
        <v>12295.675276353651</v>
      </c>
      <c r="O423" s="118">
        <f t="shared" ref="O423:Z423" si="245">+O422*O421</f>
        <v>2145.4301999999998</v>
      </c>
      <c r="P423" s="118">
        <f t="shared" si="245"/>
        <v>15699.631199999998</v>
      </c>
      <c r="Q423" s="118">
        <f t="shared" si="245"/>
        <v>19170.767400000001</v>
      </c>
      <c r="R423" s="118">
        <f t="shared" si="245"/>
        <v>20913.914400000001</v>
      </c>
      <c r="S423" s="118">
        <f t="shared" si="245"/>
        <v>36388.223699999995</v>
      </c>
      <c r="T423" s="118">
        <f t="shared" si="245"/>
        <v>34980.232499999998</v>
      </c>
      <c r="U423" s="118">
        <f t="shared" si="245"/>
        <v>35131.690199999997</v>
      </c>
      <c r="V423" s="118">
        <f t="shared" si="245"/>
        <v>35131.690199999997</v>
      </c>
      <c r="W423" s="118">
        <f t="shared" si="245"/>
        <v>37265.451300000001</v>
      </c>
      <c r="X423" s="118">
        <f t="shared" si="245"/>
        <v>10513.738799999999</v>
      </c>
      <c r="Y423" s="118">
        <f t="shared" si="245"/>
        <v>10857.3156</v>
      </c>
      <c r="Z423" s="118">
        <f t="shared" si="245"/>
        <v>5140.2986999999994</v>
      </c>
    </row>
    <row r="424" spans="1:26" x14ac:dyDescent="0.2">
      <c r="C424" s="32"/>
      <c r="D424" s="32"/>
      <c r="E424" s="32"/>
      <c r="F424" s="32"/>
      <c r="G424" s="32"/>
      <c r="H424" s="32"/>
      <c r="I424" s="32"/>
      <c r="J424" s="32"/>
      <c r="K424" s="32"/>
      <c r="L424" s="32"/>
      <c r="M424" s="32"/>
      <c r="N424" s="32"/>
      <c r="O424" s="32"/>
      <c r="P424" s="32"/>
      <c r="Q424" s="32"/>
      <c r="R424" s="32"/>
      <c r="S424" s="32"/>
      <c r="T424" s="32"/>
      <c r="U424" s="32"/>
      <c r="V424" s="32"/>
      <c r="W424" s="32"/>
      <c r="X424" s="32"/>
      <c r="Y424" s="32"/>
      <c r="Z424" s="32"/>
    </row>
    <row r="425" spans="1:26" x14ac:dyDescent="0.2">
      <c r="A425" s="14" t="s">
        <v>548</v>
      </c>
      <c r="C425" s="32"/>
      <c r="D425" s="32"/>
      <c r="E425" s="32"/>
      <c r="F425" s="32"/>
      <c r="G425" s="32"/>
      <c r="H425" s="32"/>
      <c r="I425" s="32"/>
      <c r="J425" s="32"/>
      <c r="K425" s="32"/>
      <c r="L425" s="32"/>
      <c r="M425" s="32"/>
      <c r="N425" s="32"/>
      <c r="O425" s="32"/>
      <c r="P425" s="32"/>
      <c r="Q425" s="32"/>
      <c r="R425" s="32"/>
      <c r="S425" s="32"/>
      <c r="T425" s="32"/>
      <c r="U425" s="32"/>
      <c r="V425" s="32"/>
      <c r="W425" s="32"/>
      <c r="X425" s="32"/>
      <c r="Y425" s="32"/>
      <c r="Z425" s="32"/>
    </row>
    <row r="426" spans="1:26" x14ac:dyDescent="0.2">
      <c r="A426" s="54"/>
      <c r="C426" s="32"/>
      <c r="D426" s="32"/>
      <c r="E426" s="32"/>
      <c r="F426" s="32"/>
      <c r="G426" s="32"/>
      <c r="H426" s="32"/>
      <c r="I426" s="32"/>
      <c r="J426" s="32"/>
      <c r="K426" s="32"/>
      <c r="L426" s="32"/>
      <c r="M426" s="32"/>
      <c r="N426" s="32"/>
      <c r="O426" s="32"/>
      <c r="P426" s="32"/>
      <c r="Q426" s="32"/>
      <c r="R426" s="32"/>
      <c r="S426" s="32"/>
      <c r="T426" s="32"/>
      <c r="U426" s="32"/>
      <c r="V426" s="32"/>
      <c r="W426" s="32"/>
      <c r="X426" s="32"/>
      <c r="Y426" s="32"/>
      <c r="Z426" s="32"/>
    </row>
    <row r="427" spans="1:26" x14ac:dyDescent="0.2">
      <c r="A427" s="54" t="s">
        <v>280</v>
      </c>
      <c r="C427" s="150">
        <v>152.16398631945611</v>
      </c>
      <c r="D427" s="150">
        <v>184.21139360559198</v>
      </c>
      <c r="E427" s="150">
        <v>262.62457530189107</v>
      </c>
      <c r="F427" s="150">
        <v>268.69920478444152</v>
      </c>
      <c r="G427" s="150">
        <v>307.28472847122794</v>
      </c>
      <c r="H427" s="150">
        <v>299.2497528085234</v>
      </c>
      <c r="I427" s="150">
        <v>307.67837274710365</v>
      </c>
      <c r="J427" s="150">
        <v>286.28920743399067</v>
      </c>
      <c r="K427" s="150">
        <v>235.06618130817932</v>
      </c>
      <c r="L427" s="150">
        <v>160.47507902683893</v>
      </c>
      <c r="M427" s="150">
        <v>123.46434840065945</v>
      </c>
      <c r="N427" s="150">
        <v>108.66013821401744</v>
      </c>
      <c r="O427" s="206">
        <v>12.326000000000001</v>
      </c>
      <c r="P427" s="206">
        <v>117.473</v>
      </c>
      <c r="Q427" s="206">
        <v>135.81700000000001</v>
      </c>
      <c r="R427" s="206">
        <v>96.929000000000002</v>
      </c>
      <c r="S427" s="206">
        <v>217.32900000000001</v>
      </c>
      <c r="T427" s="206">
        <v>253.636</v>
      </c>
      <c r="U427" s="206">
        <v>32.783999999999999</v>
      </c>
      <c r="V427" s="206">
        <v>188.60599999999999</v>
      </c>
      <c r="W427" s="206">
        <v>154.80099999999999</v>
      </c>
      <c r="X427" s="206">
        <v>88.379000000000005</v>
      </c>
      <c r="Y427" s="206">
        <v>54.585000000000001</v>
      </c>
      <c r="Z427" s="206">
        <v>4.6399999999999997</v>
      </c>
    </row>
    <row r="428" spans="1:26" x14ac:dyDescent="0.2">
      <c r="A428" s="54" t="s">
        <v>281</v>
      </c>
      <c r="C428" s="119">
        <v>109.8</v>
      </c>
      <c r="D428" s="119">
        <v>109.8</v>
      </c>
      <c r="E428" s="119">
        <v>109.8</v>
      </c>
      <c r="F428" s="119">
        <v>109.8</v>
      </c>
      <c r="G428" s="119">
        <v>109.8</v>
      </c>
      <c r="H428" s="119">
        <v>109.8</v>
      </c>
      <c r="I428" s="119">
        <v>109.8</v>
      </c>
      <c r="J428" s="119">
        <v>109.8</v>
      </c>
      <c r="K428" s="119">
        <v>109.8</v>
      </c>
      <c r="L428" s="119">
        <v>109.8</v>
      </c>
      <c r="M428" s="119">
        <v>109.8</v>
      </c>
      <c r="N428" s="119">
        <v>109.8</v>
      </c>
      <c r="O428" s="119">
        <f t="shared" ref="O428:Q428" si="246">+N428</f>
        <v>109.8</v>
      </c>
      <c r="P428" s="119">
        <f t="shared" si="246"/>
        <v>109.8</v>
      </c>
      <c r="Q428" s="119">
        <f t="shared" si="246"/>
        <v>109.8</v>
      </c>
      <c r="R428" s="119">
        <f t="shared" ref="R428:Z428" si="247">+Q428</f>
        <v>109.8</v>
      </c>
      <c r="S428" s="119">
        <f t="shared" si="247"/>
        <v>109.8</v>
      </c>
      <c r="T428" s="119">
        <f t="shared" si="247"/>
        <v>109.8</v>
      </c>
      <c r="U428" s="119">
        <f t="shared" si="247"/>
        <v>109.8</v>
      </c>
      <c r="V428" s="119">
        <f t="shared" si="247"/>
        <v>109.8</v>
      </c>
      <c r="W428" s="119">
        <f t="shared" si="247"/>
        <v>109.8</v>
      </c>
      <c r="X428" s="119">
        <f t="shared" si="247"/>
        <v>109.8</v>
      </c>
      <c r="Y428" s="119">
        <f t="shared" si="247"/>
        <v>109.8</v>
      </c>
      <c r="Z428" s="119">
        <f t="shared" si="247"/>
        <v>109.8</v>
      </c>
    </row>
    <row r="429" spans="1:26" x14ac:dyDescent="0.2">
      <c r="A429" s="54" t="s">
        <v>37</v>
      </c>
      <c r="C429" s="118">
        <v>16707.605697876283</v>
      </c>
      <c r="D429" s="118">
        <v>20226.411017893999</v>
      </c>
      <c r="E429" s="118">
        <v>28836.178368147637</v>
      </c>
      <c r="F429" s="118">
        <v>29503.17268533168</v>
      </c>
      <c r="G429" s="118">
        <v>33739.863186140828</v>
      </c>
      <c r="H429" s="118">
        <v>32857.622858375871</v>
      </c>
      <c r="I429" s="118">
        <v>33783.085327631983</v>
      </c>
      <c r="J429" s="118">
        <v>31434.554976252173</v>
      </c>
      <c r="K429" s="118">
        <v>25810.266707638089</v>
      </c>
      <c r="L429" s="118">
        <v>17620.163677146913</v>
      </c>
      <c r="M429" s="118">
        <v>13556.385454392406</v>
      </c>
      <c r="N429" s="118">
        <v>11930.883175899115</v>
      </c>
      <c r="O429" s="118">
        <f t="shared" ref="O429:Z429" si="248">+O428*O427</f>
        <v>1353.3948</v>
      </c>
      <c r="P429" s="118">
        <f t="shared" si="248"/>
        <v>12898.535399999999</v>
      </c>
      <c r="Q429" s="118">
        <f t="shared" si="248"/>
        <v>14912.7066</v>
      </c>
      <c r="R429" s="118">
        <f t="shared" si="248"/>
        <v>10642.8042</v>
      </c>
      <c r="S429" s="118">
        <f t="shared" si="248"/>
        <v>23862.724200000001</v>
      </c>
      <c r="T429" s="118">
        <f t="shared" si="248"/>
        <v>27849.232799999998</v>
      </c>
      <c r="U429" s="118">
        <f t="shared" si="248"/>
        <v>3599.6831999999999</v>
      </c>
      <c r="V429" s="118">
        <f t="shared" si="248"/>
        <v>20708.9388</v>
      </c>
      <c r="W429" s="118">
        <f t="shared" si="248"/>
        <v>16997.149799999999</v>
      </c>
      <c r="X429" s="118">
        <f t="shared" si="248"/>
        <v>9704.0141999999996</v>
      </c>
      <c r="Y429" s="118">
        <f t="shared" si="248"/>
        <v>5993.433</v>
      </c>
      <c r="Z429" s="118">
        <f t="shared" si="248"/>
        <v>509.47199999999998</v>
      </c>
    </row>
    <row r="430" spans="1:26" x14ac:dyDescent="0.2">
      <c r="C430" s="32"/>
      <c r="D430" s="32"/>
      <c r="E430" s="32"/>
      <c r="F430" s="32"/>
      <c r="G430" s="32"/>
      <c r="H430" s="32"/>
      <c r="I430" s="32"/>
      <c r="J430" s="32"/>
      <c r="K430" s="32"/>
      <c r="L430" s="32"/>
      <c r="M430" s="32"/>
      <c r="N430" s="32"/>
      <c r="O430" s="32"/>
      <c r="P430" s="32"/>
      <c r="Q430" s="32"/>
      <c r="R430" s="32"/>
      <c r="S430" s="32"/>
      <c r="T430" s="32"/>
      <c r="U430" s="32"/>
      <c r="V430" s="32"/>
      <c r="W430" s="32"/>
      <c r="X430" s="32"/>
      <c r="Y430" s="32"/>
      <c r="Z430" s="32"/>
    </row>
    <row r="431" spans="1:26" x14ac:dyDescent="0.2">
      <c r="C431" s="32"/>
      <c r="D431" s="32"/>
      <c r="E431" s="32"/>
      <c r="F431" s="32"/>
      <c r="G431" s="32"/>
      <c r="H431" s="32"/>
      <c r="I431" s="32"/>
      <c r="J431" s="32"/>
      <c r="K431" s="32"/>
      <c r="L431" s="32"/>
      <c r="M431" s="32"/>
      <c r="N431" s="32"/>
      <c r="O431" s="32"/>
      <c r="P431" s="32"/>
      <c r="Q431" s="32"/>
      <c r="R431" s="32"/>
      <c r="S431" s="32"/>
      <c r="T431" s="32"/>
      <c r="U431" s="32"/>
      <c r="V431" s="32"/>
      <c r="W431" s="32"/>
      <c r="X431" s="32"/>
      <c r="Y431" s="32"/>
      <c r="Z431" s="32"/>
    </row>
    <row r="432" spans="1:26" x14ac:dyDescent="0.2">
      <c r="C432" s="32"/>
      <c r="D432" s="32"/>
      <c r="E432" s="32"/>
      <c r="F432" s="32"/>
      <c r="G432" s="32"/>
      <c r="H432" s="32"/>
      <c r="I432" s="32"/>
      <c r="J432" s="32"/>
      <c r="K432" s="32"/>
      <c r="L432" s="32"/>
      <c r="M432" s="32"/>
      <c r="N432" s="32"/>
      <c r="O432" s="32"/>
      <c r="P432" s="32"/>
      <c r="Q432" s="32"/>
      <c r="R432" s="32"/>
      <c r="S432" s="32"/>
      <c r="T432" s="32"/>
      <c r="U432" s="32"/>
      <c r="V432" s="32"/>
      <c r="W432" s="32"/>
      <c r="X432" s="32"/>
      <c r="Y432" s="32"/>
      <c r="Z432" s="32"/>
    </row>
    <row r="434" spans="1:7" hidden="1" x14ac:dyDescent="0.2"/>
    <row r="435" spans="1:7" hidden="1" x14ac:dyDescent="0.2">
      <c r="A435" s="54" t="s">
        <v>371</v>
      </c>
    </row>
    <row r="436" spans="1:7" s="119" customFormat="1" hidden="1" x14ac:dyDescent="0.2">
      <c r="A436" s="149" t="s">
        <v>211</v>
      </c>
      <c r="C436" s="155">
        <v>10</v>
      </c>
      <c r="D436" s="155">
        <v>10</v>
      </c>
      <c r="E436" s="155">
        <v>10</v>
      </c>
      <c r="F436" s="155">
        <v>10</v>
      </c>
      <c r="G436" s="155">
        <v>10</v>
      </c>
    </row>
    <row r="437" spans="1:7" s="119" customFormat="1" hidden="1" x14ac:dyDescent="0.2">
      <c r="A437" s="147" t="s">
        <v>372</v>
      </c>
      <c r="C437" s="124">
        <v>6.9</v>
      </c>
      <c r="D437" s="124">
        <v>6.9</v>
      </c>
      <c r="E437" s="124">
        <v>6.9</v>
      </c>
      <c r="F437" s="124">
        <v>6.9</v>
      </c>
      <c r="G437" s="124">
        <v>6.9</v>
      </c>
    </row>
    <row r="438" spans="1:7" s="119" customFormat="1" hidden="1" x14ac:dyDescent="0.2">
      <c r="A438" s="147" t="s">
        <v>535</v>
      </c>
      <c r="C438" s="124"/>
      <c r="D438" s="124"/>
      <c r="E438" s="124"/>
      <c r="F438" s="124"/>
      <c r="G438" s="124"/>
    </row>
    <row r="439" spans="1:7" s="119" customFormat="1" hidden="1" x14ac:dyDescent="0.2">
      <c r="A439" s="147" t="s">
        <v>537</v>
      </c>
      <c r="C439" s="124"/>
      <c r="D439" s="124"/>
      <c r="E439" s="124"/>
      <c r="F439" s="124"/>
      <c r="G439" s="124"/>
    </row>
    <row r="440" spans="1:7" s="119" customFormat="1" hidden="1" x14ac:dyDescent="0.2">
      <c r="A440" s="147"/>
      <c r="C440" s="124"/>
      <c r="D440" s="124"/>
      <c r="E440" s="124"/>
      <c r="F440" s="124"/>
      <c r="G440" s="124"/>
    </row>
    <row r="441" spans="1:7" s="119" customFormat="1" hidden="1" x14ac:dyDescent="0.2">
      <c r="A441" s="147"/>
      <c r="C441" s="124"/>
      <c r="D441" s="124"/>
      <c r="E441" s="124"/>
      <c r="F441" s="124"/>
      <c r="G441" s="124"/>
    </row>
    <row r="442" spans="1:7" s="119" customFormat="1" hidden="1" x14ac:dyDescent="0.2">
      <c r="A442" s="147"/>
      <c r="C442" s="124"/>
      <c r="D442" s="124"/>
      <c r="E442" s="124"/>
      <c r="F442" s="124"/>
      <c r="G442" s="124"/>
    </row>
    <row r="443" spans="1:7" s="119" customFormat="1" hidden="1" x14ac:dyDescent="0.2">
      <c r="A443" s="147" t="s">
        <v>37</v>
      </c>
      <c r="C443" s="118">
        <v>69000</v>
      </c>
      <c r="D443" s="118">
        <v>69000</v>
      </c>
      <c r="E443" s="118">
        <v>69000</v>
      </c>
      <c r="F443" s="118">
        <v>69000</v>
      </c>
      <c r="G443" s="118">
        <v>69000</v>
      </c>
    </row>
    <row r="444" spans="1:7" s="119" customFormat="1" hidden="1" x14ac:dyDescent="0.2"/>
    <row r="445" spans="1:7" s="119" customFormat="1" hidden="1" x14ac:dyDescent="0.2">
      <c r="A445" s="149" t="s">
        <v>432</v>
      </c>
    </row>
    <row r="446" spans="1:7" s="119" customFormat="1" hidden="1" x14ac:dyDescent="0.2">
      <c r="A446" s="151" t="s">
        <v>433</v>
      </c>
    </row>
    <row r="447" spans="1:7" s="119" customFormat="1" hidden="1" x14ac:dyDescent="0.2">
      <c r="A447" s="147" t="s">
        <v>434</v>
      </c>
    </row>
    <row r="448" spans="1:7" s="119" customFormat="1" hidden="1" x14ac:dyDescent="0.2">
      <c r="A448" s="147" t="s">
        <v>37</v>
      </c>
    </row>
    <row r="449" spans="1:14" s="119" customFormat="1" hidden="1" x14ac:dyDescent="0.2">
      <c r="A449" s="147"/>
    </row>
    <row r="450" spans="1:14" s="119" customFormat="1" hidden="1" x14ac:dyDescent="0.2">
      <c r="A450" s="149" t="s">
        <v>555</v>
      </c>
    </row>
    <row r="451" spans="1:14" s="119" customFormat="1" hidden="1" x14ac:dyDescent="0.2">
      <c r="A451" s="151" t="s">
        <v>433</v>
      </c>
      <c r="C451" s="116">
        <v>8333</v>
      </c>
      <c r="D451" s="116">
        <v>8333</v>
      </c>
      <c r="E451" s="116">
        <v>8333</v>
      </c>
      <c r="F451" s="116">
        <v>8333</v>
      </c>
      <c r="G451" s="116">
        <v>8333</v>
      </c>
      <c r="H451" s="116">
        <v>8333</v>
      </c>
      <c r="I451" s="116">
        <v>8333</v>
      </c>
      <c r="J451" s="116">
        <v>8333</v>
      </c>
      <c r="K451" s="116">
        <v>8334</v>
      </c>
      <c r="L451" s="116">
        <v>8334</v>
      </c>
      <c r="M451" s="116">
        <v>8334</v>
      </c>
      <c r="N451" s="116">
        <v>8334</v>
      </c>
    </row>
    <row r="452" spans="1:14" s="119" customFormat="1" hidden="1" x14ac:dyDescent="0.2">
      <c r="A452" s="147" t="s">
        <v>434</v>
      </c>
      <c r="C452" s="227">
        <v>7</v>
      </c>
      <c r="D452" s="226">
        <v>7</v>
      </c>
      <c r="E452" s="226">
        <v>7</v>
      </c>
      <c r="F452" s="226">
        <v>7</v>
      </c>
      <c r="G452" s="226">
        <v>7</v>
      </c>
      <c r="H452" s="226">
        <v>7</v>
      </c>
      <c r="I452" s="226">
        <v>7</v>
      </c>
      <c r="J452" s="226">
        <v>7</v>
      </c>
      <c r="K452" s="226">
        <v>7</v>
      </c>
      <c r="L452" s="226">
        <v>7</v>
      </c>
      <c r="M452" s="226">
        <v>7</v>
      </c>
      <c r="N452" s="226">
        <v>7</v>
      </c>
    </row>
    <row r="453" spans="1:14" s="119" customFormat="1" hidden="1" x14ac:dyDescent="0.2">
      <c r="A453" s="147" t="s">
        <v>37</v>
      </c>
      <c r="C453" s="226">
        <v>58331</v>
      </c>
      <c r="D453" s="226">
        <v>58331</v>
      </c>
      <c r="E453" s="226">
        <v>58331</v>
      </c>
      <c r="F453" s="226">
        <v>58331</v>
      </c>
      <c r="G453" s="226">
        <v>58331</v>
      </c>
      <c r="H453" s="226">
        <v>58331</v>
      </c>
      <c r="I453" s="226">
        <v>58331</v>
      </c>
      <c r="J453" s="226">
        <v>58331</v>
      </c>
      <c r="K453" s="226">
        <v>58338</v>
      </c>
      <c r="L453" s="226">
        <v>58338</v>
      </c>
      <c r="M453" s="226">
        <v>58338</v>
      </c>
      <c r="N453" s="226">
        <v>58338</v>
      </c>
    </row>
    <row r="454" spans="1:14" s="119" customFormat="1" hidden="1" x14ac:dyDescent="0.2">
      <c r="A454" s="147"/>
    </row>
    <row r="455" spans="1:14" s="119" customFormat="1" hidden="1" x14ac:dyDescent="0.2">
      <c r="A455" s="149" t="s">
        <v>556</v>
      </c>
    </row>
    <row r="456" spans="1:14" s="119" customFormat="1" hidden="1" x14ac:dyDescent="0.2">
      <c r="A456" s="151" t="s">
        <v>433</v>
      </c>
    </row>
    <row r="457" spans="1:14" s="119" customFormat="1" hidden="1" x14ac:dyDescent="0.2">
      <c r="A457" s="147" t="s">
        <v>434</v>
      </c>
    </row>
    <row r="458" spans="1:14" s="119" customFormat="1" hidden="1" x14ac:dyDescent="0.2">
      <c r="A458" s="147" t="s">
        <v>37</v>
      </c>
    </row>
    <row r="459" spans="1:14" s="119" customFormat="1" hidden="1" x14ac:dyDescent="0.2">
      <c r="A459" s="147"/>
    </row>
    <row r="460" spans="1:14" s="119" customFormat="1" hidden="1" x14ac:dyDescent="0.2">
      <c r="A460" s="149" t="s">
        <v>554</v>
      </c>
    </row>
    <row r="461" spans="1:14" s="119" customFormat="1" hidden="1" x14ac:dyDescent="0.2">
      <c r="A461" s="151" t="s">
        <v>433</v>
      </c>
    </row>
    <row r="462" spans="1:14" s="119" customFormat="1" hidden="1" x14ac:dyDescent="0.2">
      <c r="A462" s="147" t="s">
        <v>434</v>
      </c>
    </row>
    <row r="463" spans="1:14" s="119" customFormat="1" hidden="1" x14ac:dyDescent="0.2">
      <c r="A463" s="147" t="s">
        <v>37</v>
      </c>
    </row>
    <row r="464" spans="1:14" s="119" customFormat="1" hidden="1" x14ac:dyDescent="0.2"/>
    <row r="465" spans="1:26" s="119" customFormat="1" hidden="1" x14ac:dyDescent="0.2"/>
    <row r="466" spans="1:26" s="119" customFormat="1" hidden="1" x14ac:dyDescent="0.2">
      <c r="A466" s="149" t="s">
        <v>536</v>
      </c>
    </row>
    <row r="467" spans="1:26" s="119" customFormat="1" hidden="1" x14ac:dyDescent="0.2">
      <c r="A467" s="147" t="s">
        <v>535</v>
      </c>
      <c r="C467" s="199"/>
      <c r="D467" s="199"/>
      <c r="E467" s="199"/>
      <c r="F467" s="199"/>
      <c r="G467" s="199"/>
      <c r="H467" s="199"/>
      <c r="I467" s="199"/>
      <c r="J467" s="199"/>
      <c r="K467" s="199"/>
      <c r="L467" s="199"/>
      <c r="M467" s="199"/>
      <c r="N467" s="199"/>
      <c r="O467" s="199"/>
      <c r="P467" s="199"/>
      <c r="Q467" s="199"/>
      <c r="R467" s="199"/>
      <c r="S467" s="199"/>
      <c r="T467" s="199"/>
      <c r="U467" s="199"/>
      <c r="V467" s="199"/>
      <c r="W467" s="199"/>
      <c r="X467" s="199"/>
      <c r="Y467" s="199"/>
      <c r="Z467" s="199"/>
    </row>
    <row r="468" spans="1:26" s="119" customFormat="1" hidden="1" x14ac:dyDescent="0.2">
      <c r="A468" s="147" t="s">
        <v>537</v>
      </c>
      <c r="C468" s="200"/>
      <c r="D468" s="200"/>
      <c r="E468" s="200"/>
      <c r="F468" s="200"/>
      <c r="G468" s="200"/>
      <c r="H468" s="200"/>
      <c r="I468" s="200"/>
      <c r="J468" s="200"/>
      <c r="K468" s="200"/>
      <c r="L468" s="200"/>
      <c r="M468" s="200"/>
      <c r="N468" s="200"/>
      <c r="O468" s="200"/>
      <c r="P468" s="200"/>
      <c r="Q468" s="200"/>
      <c r="R468" s="200"/>
      <c r="S468" s="200"/>
      <c r="T468" s="200"/>
      <c r="U468" s="200"/>
      <c r="V468" s="200"/>
      <c r="W468" s="200"/>
      <c r="X468" s="200"/>
      <c r="Y468" s="200"/>
      <c r="Z468" s="200"/>
    </row>
    <row r="469" spans="1:26" s="119" customFormat="1" hidden="1" x14ac:dyDescent="0.2">
      <c r="A469" s="147" t="s">
        <v>37</v>
      </c>
      <c r="C469" s="145">
        <v>0</v>
      </c>
      <c r="D469" s="145">
        <v>0</v>
      </c>
      <c r="E469" s="145">
        <v>0</v>
      </c>
      <c r="F469" s="145">
        <v>0</v>
      </c>
      <c r="G469" s="145">
        <v>0</v>
      </c>
      <c r="H469" s="145">
        <v>0</v>
      </c>
      <c r="I469" s="145">
        <v>0</v>
      </c>
      <c r="J469" s="145">
        <v>0</v>
      </c>
      <c r="K469" s="145">
        <v>0</v>
      </c>
      <c r="L469" s="145">
        <v>0</v>
      </c>
      <c r="M469" s="145">
        <v>0</v>
      </c>
      <c r="N469" s="145">
        <v>0</v>
      </c>
      <c r="O469" s="145">
        <f t="shared" ref="O469:Z469" si="249">+O468*O467*1000</f>
        <v>0</v>
      </c>
      <c r="P469" s="145">
        <f t="shared" si="249"/>
        <v>0</v>
      </c>
      <c r="Q469" s="145">
        <f t="shared" si="249"/>
        <v>0</v>
      </c>
      <c r="R469" s="145">
        <f t="shared" si="249"/>
        <v>0</v>
      </c>
      <c r="S469" s="145">
        <f t="shared" si="249"/>
        <v>0</v>
      </c>
      <c r="T469" s="145">
        <f t="shared" si="249"/>
        <v>0</v>
      </c>
      <c r="U469" s="145">
        <f t="shared" si="249"/>
        <v>0</v>
      </c>
      <c r="V469" s="145">
        <f t="shared" si="249"/>
        <v>0</v>
      </c>
      <c r="W469" s="145">
        <f t="shared" si="249"/>
        <v>0</v>
      </c>
      <c r="X469" s="145">
        <f t="shared" si="249"/>
        <v>0</v>
      </c>
      <c r="Y469" s="145">
        <f t="shared" si="249"/>
        <v>0</v>
      </c>
      <c r="Z469" s="145">
        <f t="shared" si="249"/>
        <v>0</v>
      </c>
    </row>
    <row r="470" spans="1:26" s="119" customFormat="1" hidden="1" x14ac:dyDescent="0.2"/>
    <row r="471" spans="1:26" s="119" customFormat="1" hidden="1" x14ac:dyDescent="0.2"/>
    <row r="472" spans="1:26" s="119" customFormat="1" hidden="1" x14ac:dyDescent="0.2"/>
    <row r="473" spans="1:26" s="119" customFormat="1" x14ac:dyDescent="0.2">
      <c r="A473" s="149" t="s">
        <v>605</v>
      </c>
    </row>
    <row r="474" spans="1:26" s="119" customFormat="1" x14ac:dyDescent="0.2">
      <c r="A474" s="147" t="s">
        <v>211</v>
      </c>
      <c r="C474" s="131">
        <v>5</v>
      </c>
      <c r="D474" s="131">
        <v>5</v>
      </c>
      <c r="E474" s="131">
        <v>5</v>
      </c>
      <c r="F474" s="131">
        <v>5</v>
      </c>
      <c r="G474" s="131">
        <v>5</v>
      </c>
      <c r="H474" s="131">
        <v>5</v>
      </c>
      <c r="I474" s="131">
        <v>5</v>
      </c>
      <c r="J474" s="131">
        <v>5</v>
      </c>
      <c r="K474" s="131">
        <v>5</v>
      </c>
      <c r="L474" s="131">
        <v>5</v>
      </c>
      <c r="M474" s="131">
        <v>5</v>
      </c>
      <c r="N474" s="131">
        <v>5</v>
      </c>
      <c r="O474" s="131">
        <v>5</v>
      </c>
      <c r="P474" s="131">
        <v>5</v>
      </c>
      <c r="Q474" s="131">
        <v>5</v>
      </c>
      <c r="R474" s="131">
        <v>5</v>
      </c>
      <c r="S474" s="131">
        <v>5</v>
      </c>
      <c r="T474" s="131">
        <v>5</v>
      </c>
      <c r="U474" s="131">
        <v>5</v>
      </c>
      <c r="V474" s="131">
        <v>5</v>
      </c>
      <c r="W474" s="131">
        <v>5</v>
      </c>
      <c r="X474" s="131">
        <v>5</v>
      </c>
      <c r="Y474" s="131">
        <v>5</v>
      </c>
      <c r="Z474" s="131">
        <v>5</v>
      </c>
    </row>
    <row r="475" spans="1:26" s="119" customFormat="1" x14ac:dyDescent="0.2">
      <c r="A475" s="147" t="s">
        <v>581</v>
      </c>
      <c r="C475" s="208">
        <v>4.75</v>
      </c>
      <c r="D475" s="208">
        <v>4.75</v>
      </c>
      <c r="E475" s="208">
        <v>4.75</v>
      </c>
      <c r="F475" s="208">
        <v>4.75</v>
      </c>
      <c r="G475" s="208">
        <v>4.75</v>
      </c>
      <c r="H475" s="208">
        <v>4.75</v>
      </c>
      <c r="I475" s="208">
        <v>4.75</v>
      </c>
      <c r="J475" s="208">
        <v>4.75</v>
      </c>
      <c r="K475" s="208">
        <v>4.75</v>
      </c>
      <c r="L475" s="208">
        <v>4.75</v>
      </c>
      <c r="M475" s="208">
        <v>4.75</v>
      </c>
      <c r="N475" s="208">
        <v>4.75</v>
      </c>
      <c r="O475" s="208">
        <v>4.75</v>
      </c>
      <c r="P475" s="208">
        <v>4.75</v>
      </c>
      <c r="Q475" s="208">
        <v>4.75</v>
      </c>
      <c r="R475" s="208">
        <v>4.75</v>
      </c>
      <c r="S475" s="208">
        <v>4.75</v>
      </c>
      <c r="T475" s="208">
        <v>4.75</v>
      </c>
      <c r="U475" s="208">
        <v>4.75</v>
      </c>
      <c r="V475" s="208">
        <v>4.75</v>
      </c>
      <c r="W475" s="208">
        <v>4.75</v>
      </c>
      <c r="X475" s="208">
        <v>4.75</v>
      </c>
      <c r="Y475" s="208">
        <v>4.75</v>
      </c>
      <c r="Z475" s="208">
        <v>4.75</v>
      </c>
    </row>
    <row r="476" spans="1:26" s="119" customFormat="1" x14ac:dyDescent="0.2">
      <c r="A476" s="147" t="s">
        <v>37</v>
      </c>
      <c r="C476" s="223">
        <v>23750</v>
      </c>
      <c r="D476" s="223">
        <v>23750</v>
      </c>
      <c r="E476" s="223">
        <v>23750</v>
      </c>
      <c r="F476" s="223">
        <v>23750</v>
      </c>
      <c r="G476" s="223">
        <v>23750</v>
      </c>
      <c r="H476" s="223">
        <v>23750</v>
      </c>
      <c r="I476" s="223">
        <v>23750</v>
      </c>
      <c r="J476" s="223">
        <v>23750</v>
      </c>
      <c r="K476" s="223">
        <v>23750</v>
      </c>
      <c r="L476" s="223">
        <v>23750</v>
      </c>
      <c r="M476" s="223">
        <v>23750</v>
      </c>
      <c r="N476" s="223">
        <v>23750</v>
      </c>
      <c r="O476" s="223">
        <f t="shared" ref="O476:Z476" si="250">+O474*O475*1000</f>
        <v>23750</v>
      </c>
      <c r="P476" s="223">
        <f t="shared" si="250"/>
        <v>23750</v>
      </c>
      <c r="Q476" s="223">
        <f t="shared" si="250"/>
        <v>23750</v>
      </c>
      <c r="R476" s="223">
        <f t="shared" si="250"/>
        <v>23750</v>
      </c>
      <c r="S476" s="223">
        <f t="shared" si="250"/>
        <v>23750</v>
      </c>
      <c r="T476" s="223">
        <f t="shared" si="250"/>
        <v>23750</v>
      </c>
      <c r="U476" s="223">
        <f t="shared" si="250"/>
        <v>23750</v>
      </c>
      <c r="V476" s="223">
        <f t="shared" si="250"/>
        <v>23750</v>
      </c>
      <c r="W476" s="223">
        <f t="shared" si="250"/>
        <v>23750</v>
      </c>
      <c r="X476" s="223">
        <f t="shared" si="250"/>
        <v>23750</v>
      </c>
      <c r="Y476" s="223">
        <f t="shared" si="250"/>
        <v>23750</v>
      </c>
      <c r="Z476" s="223">
        <f t="shared" si="250"/>
        <v>23750</v>
      </c>
    </row>
    <row r="477" spans="1:26" s="119" customFormat="1" x14ac:dyDescent="0.2"/>
    <row r="478" spans="1:26" s="119" customFormat="1" hidden="1" x14ac:dyDescent="0.2"/>
    <row r="479" spans="1:26" s="119" customFormat="1" hidden="1" x14ac:dyDescent="0.2"/>
    <row r="480" spans="1:26" s="119" customFormat="1" hidden="1" x14ac:dyDescent="0.2"/>
    <row r="481" spans="1:1" s="119" customFormat="1" hidden="1" x14ac:dyDescent="0.2"/>
    <row r="482" spans="1:1" s="119" customFormat="1" hidden="1" x14ac:dyDescent="0.2"/>
    <row r="483" spans="1:1" s="119" customFormat="1" hidden="1" x14ac:dyDescent="0.2">
      <c r="A483" s="149" t="s">
        <v>413</v>
      </c>
    </row>
    <row r="484" spans="1:1" s="119" customFormat="1" hidden="1" x14ac:dyDescent="0.2">
      <c r="A484" s="147" t="s">
        <v>211</v>
      </c>
    </row>
    <row r="485" spans="1:1" s="119" customFormat="1" hidden="1" x14ac:dyDescent="0.2">
      <c r="A485" s="147" t="s">
        <v>280</v>
      </c>
    </row>
    <row r="486" spans="1:1" s="119" customFormat="1" hidden="1" x14ac:dyDescent="0.2">
      <c r="A486" s="147" t="s">
        <v>281</v>
      </c>
    </row>
    <row r="487" spans="1:1" s="119" customFormat="1" hidden="1" x14ac:dyDescent="0.2">
      <c r="A487" s="147" t="s">
        <v>37</v>
      </c>
    </row>
    <row r="488" spans="1:1" s="119" customFormat="1" hidden="1" x14ac:dyDescent="0.2"/>
    <row r="489" spans="1:1" s="119" customFormat="1" hidden="1" x14ac:dyDescent="0.2">
      <c r="A489" s="149" t="s">
        <v>630</v>
      </c>
    </row>
    <row r="490" spans="1:1" s="119" customFormat="1" hidden="1" x14ac:dyDescent="0.2">
      <c r="A490" s="147" t="s">
        <v>211</v>
      </c>
    </row>
    <row r="491" spans="1:1" s="119" customFormat="1" hidden="1" x14ac:dyDescent="0.2">
      <c r="A491" s="147" t="s">
        <v>280</v>
      </c>
    </row>
    <row r="492" spans="1:1" s="119" customFormat="1" hidden="1" x14ac:dyDescent="0.2">
      <c r="A492" s="147" t="s">
        <v>281</v>
      </c>
    </row>
    <row r="493" spans="1:1" s="119" customFormat="1" hidden="1" x14ac:dyDescent="0.2">
      <c r="A493" s="147" t="s">
        <v>37</v>
      </c>
    </row>
    <row r="494" spans="1:1" s="119" customFormat="1" hidden="1" x14ac:dyDescent="0.2"/>
    <row r="495" spans="1:1" s="119" customFormat="1" hidden="1" x14ac:dyDescent="0.2"/>
    <row r="496" spans="1:1" s="119" customFormat="1" hidden="1" x14ac:dyDescent="0.2"/>
    <row r="497" spans="1:1" s="119" customFormat="1" hidden="1" x14ac:dyDescent="0.2"/>
    <row r="498" spans="1:1" s="119" customFormat="1" hidden="1" x14ac:dyDescent="0.2"/>
    <row r="499" spans="1:1" s="119" customFormat="1" hidden="1" x14ac:dyDescent="0.2"/>
    <row r="500" spans="1:1" s="119" customFormat="1" hidden="1" x14ac:dyDescent="0.2"/>
    <row r="501" spans="1:1" s="119" customFormat="1" hidden="1" x14ac:dyDescent="0.2"/>
    <row r="502" spans="1:1" s="119" customFormat="1" hidden="1" x14ac:dyDescent="0.2"/>
    <row r="503" spans="1:1" s="119" customFormat="1" hidden="1" x14ac:dyDescent="0.2"/>
    <row r="504" spans="1:1" s="119" customFormat="1" hidden="1" x14ac:dyDescent="0.2"/>
    <row r="505" spans="1:1" s="119" customFormat="1" hidden="1" x14ac:dyDescent="0.2"/>
    <row r="506" spans="1:1" s="119" customFormat="1" hidden="1" x14ac:dyDescent="0.2"/>
    <row r="507" spans="1:1" s="119" customFormat="1" hidden="1" x14ac:dyDescent="0.2"/>
    <row r="508" spans="1:1" s="119" customFormat="1" hidden="1" x14ac:dyDescent="0.2"/>
    <row r="509" spans="1:1" s="119" customFormat="1" hidden="1" x14ac:dyDescent="0.2">
      <c r="A509" s="147" t="s">
        <v>489</v>
      </c>
    </row>
    <row r="510" spans="1:1" s="119" customFormat="1" hidden="1" x14ac:dyDescent="0.2">
      <c r="A510" s="147" t="s">
        <v>211</v>
      </c>
    </row>
    <row r="511" spans="1:1" s="119" customFormat="1" hidden="1" x14ac:dyDescent="0.2">
      <c r="A511" s="147" t="s">
        <v>372</v>
      </c>
    </row>
    <row r="512" spans="1:1" s="119" customFormat="1" hidden="1" x14ac:dyDescent="0.2">
      <c r="A512" s="147" t="s">
        <v>37</v>
      </c>
    </row>
    <row r="513" spans="1:1" s="119" customFormat="1" hidden="1" x14ac:dyDescent="0.2"/>
    <row r="514" spans="1:1" s="119" customFormat="1" hidden="1" x14ac:dyDescent="0.2"/>
    <row r="515" spans="1:1" s="119" customFormat="1" hidden="1" x14ac:dyDescent="0.2">
      <c r="A515"/>
    </row>
    <row r="516" spans="1:1" hidden="1" x14ac:dyDescent="0.2">
      <c r="A516" s="14" t="s">
        <v>373</v>
      </c>
    </row>
    <row r="517" spans="1:1" hidden="1" x14ac:dyDescent="0.2"/>
    <row r="518" spans="1:1" hidden="1" x14ac:dyDescent="0.2">
      <c r="A518" s="14" t="s">
        <v>344</v>
      </c>
    </row>
    <row r="519" spans="1:1" hidden="1" x14ac:dyDescent="0.2">
      <c r="A519" s="54" t="s">
        <v>382</v>
      </c>
    </row>
    <row r="520" spans="1:1" hidden="1" x14ac:dyDescent="0.2">
      <c r="A520" s="54" t="s">
        <v>383</v>
      </c>
    </row>
    <row r="521" spans="1:1" hidden="1" x14ac:dyDescent="0.2">
      <c r="A521" s="54" t="s">
        <v>384</v>
      </c>
    </row>
    <row r="522" spans="1:1" hidden="1" x14ac:dyDescent="0.2">
      <c r="A522" s="54" t="s">
        <v>385</v>
      </c>
    </row>
    <row r="523" spans="1:1" hidden="1" x14ac:dyDescent="0.2">
      <c r="A523" s="54" t="s">
        <v>386</v>
      </c>
    </row>
    <row r="524" spans="1:1" hidden="1" x14ac:dyDescent="0.2">
      <c r="A524" s="54" t="s">
        <v>387</v>
      </c>
    </row>
    <row r="525" spans="1:1" hidden="1" x14ac:dyDescent="0.2">
      <c r="A525" s="54" t="s">
        <v>420</v>
      </c>
    </row>
    <row r="526" spans="1:1" hidden="1" x14ac:dyDescent="0.2">
      <c r="A526" s="54" t="s">
        <v>421</v>
      </c>
    </row>
    <row r="527" spans="1:1" hidden="1" x14ac:dyDescent="0.2">
      <c r="A527" s="54" t="s">
        <v>422</v>
      </c>
    </row>
    <row r="528" spans="1:1" hidden="1" x14ac:dyDescent="0.2">
      <c r="A528" s="14" t="s">
        <v>345</v>
      </c>
    </row>
    <row r="529" spans="1:26" hidden="1" x14ac:dyDescent="0.2">
      <c r="A529" t="s">
        <v>224</v>
      </c>
    </row>
    <row r="530" spans="1:26" hidden="1" x14ac:dyDescent="0.2">
      <c r="A530" t="s">
        <v>13</v>
      </c>
    </row>
    <row r="531" spans="1:26" hidden="1" x14ac:dyDescent="0.2">
      <c r="A531" t="s">
        <v>225</v>
      </c>
    </row>
    <row r="532" spans="1:26" hidden="1" x14ac:dyDescent="0.2">
      <c r="A532" t="s">
        <v>222</v>
      </c>
    </row>
    <row r="533" spans="1:26" hidden="1" x14ac:dyDescent="0.2">
      <c r="A533" t="s">
        <v>223</v>
      </c>
    </row>
    <row r="534" spans="1:26" s="119" customFormat="1" hidden="1" x14ac:dyDescent="0.2">
      <c r="A534"/>
    </row>
    <row r="535" spans="1:26" x14ac:dyDescent="0.2">
      <c r="B535" s="54" t="s">
        <v>636</v>
      </c>
    </row>
    <row r="536" spans="1:26" x14ac:dyDescent="0.2">
      <c r="A536" s="14" t="s">
        <v>633</v>
      </c>
      <c r="B536" s="219">
        <v>0.75</v>
      </c>
    </row>
    <row r="537" spans="1:26" x14ac:dyDescent="0.2">
      <c r="A537" s="54" t="s">
        <v>634</v>
      </c>
      <c r="B537" s="54" t="s">
        <v>356</v>
      </c>
      <c r="C537" s="43">
        <v>15290</v>
      </c>
      <c r="D537" s="43">
        <v>12698</v>
      </c>
      <c r="E537" s="43">
        <v>14484</v>
      </c>
      <c r="F537" s="43">
        <v>12405</v>
      </c>
      <c r="G537" s="43">
        <v>9185</v>
      </c>
      <c r="H537" s="43">
        <v>7717</v>
      </c>
      <c r="I537" s="43">
        <v>5535</v>
      </c>
      <c r="J537" s="43">
        <v>5527</v>
      </c>
      <c r="K537" s="43">
        <v>6471</v>
      </c>
      <c r="L537" s="43">
        <v>11185</v>
      </c>
      <c r="M537" s="43">
        <v>13072</v>
      </c>
      <c r="N537" s="43">
        <v>13475</v>
      </c>
      <c r="O537" s="43">
        <f t="shared" ref="O537:Z537" si="251">C537</f>
        <v>15290</v>
      </c>
      <c r="P537" s="43">
        <f t="shared" si="251"/>
        <v>12698</v>
      </c>
      <c r="Q537" s="43">
        <f t="shared" si="251"/>
        <v>14484</v>
      </c>
      <c r="R537" s="43">
        <f t="shared" si="251"/>
        <v>12405</v>
      </c>
      <c r="S537" s="43">
        <f t="shared" si="251"/>
        <v>9185</v>
      </c>
      <c r="T537" s="43">
        <f t="shared" si="251"/>
        <v>7717</v>
      </c>
      <c r="U537" s="43">
        <f t="shared" si="251"/>
        <v>5535</v>
      </c>
      <c r="V537" s="43">
        <f t="shared" si="251"/>
        <v>5527</v>
      </c>
      <c r="W537" s="43">
        <f t="shared" si="251"/>
        <v>6471</v>
      </c>
      <c r="X537" s="43">
        <f t="shared" si="251"/>
        <v>11185</v>
      </c>
      <c r="Y537" s="43">
        <f t="shared" si="251"/>
        <v>13072</v>
      </c>
      <c r="Z537" s="43">
        <f t="shared" si="251"/>
        <v>13475</v>
      </c>
    </row>
    <row r="538" spans="1:26" x14ac:dyDescent="0.2">
      <c r="A538" t="s">
        <v>30</v>
      </c>
      <c r="B538" s="218">
        <v>0.4</v>
      </c>
      <c r="C538" s="204">
        <v>2662</v>
      </c>
      <c r="D538" s="204">
        <v>5586</v>
      </c>
      <c r="E538" s="204">
        <v>5605</v>
      </c>
      <c r="F538" s="204">
        <v>4108</v>
      </c>
      <c r="G538" s="204">
        <v>2070</v>
      </c>
      <c r="H538" s="204">
        <v>1853</v>
      </c>
      <c r="I538" s="43">
        <v>2214</v>
      </c>
      <c r="J538" s="43">
        <v>2210.8000000000002</v>
      </c>
      <c r="K538" s="43">
        <v>2588.4</v>
      </c>
      <c r="L538" s="43">
        <v>4474</v>
      </c>
      <c r="M538" s="43">
        <v>5228.8</v>
      </c>
      <c r="N538" s="43">
        <v>5390</v>
      </c>
      <c r="O538" s="204">
        <v>4953</v>
      </c>
      <c r="P538" s="204">
        <v>4225</v>
      </c>
      <c r="Q538" s="204">
        <v>5678</v>
      </c>
      <c r="R538" s="204">
        <v>4383</v>
      </c>
      <c r="S538" s="204">
        <v>2569</v>
      </c>
      <c r="T538" s="204">
        <v>3138</v>
      </c>
      <c r="U538" s="204">
        <v>1568</v>
      </c>
      <c r="V538" s="204">
        <v>2629</v>
      </c>
      <c r="W538" s="204">
        <v>1448</v>
      </c>
      <c r="X538" s="204">
        <v>3162</v>
      </c>
      <c r="Y538" s="204">
        <v>4663</v>
      </c>
      <c r="Z538" s="204">
        <v>3416</v>
      </c>
    </row>
    <row r="539" spans="1:26" x14ac:dyDescent="0.2">
      <c r="A539" s="54" t="s">
        <v>635</v>
      </c>
      <c r="B539" s="218"/>
      <c r="C539" s="198">
        <v>5.1668369646882084</v>
      </c>
      <c r="D539" s="198">
        <v>16.49755319148937</v>
      </c>
      <c r="E539" s="198">
        <v>16.193809099018743</v>
      </c>
      <c r="F539" s="198">
        <v>8.4028992210321363</v>
      </c>
      <c r="G539" s="198">
        <v>9.7775217391304245</v>
      </c>
      <c r="H539" s="198">
        <v>4.1313167835941709</v>
      </c>
      <c r="I539" s="166">
        <v>6.6599379649101955</v>
      </c>
      <c r="J539" s="166">
        <v>3.4290486554230597</v>
      </c>
      <c r="K539" s="166">
        <v>1.5723229204134526</v>
      </c>
      <c r="L539" s="166">
        <v>2.7860196270765933</v>
      </c>
      <c r="M539" s="166">
        <v>3.6446375144721008</v>
      </c>
      <c r="N539" s="166">
        <v>4.0129768312365091</v>
      </c>
      <c r="O539" s="166">
        <f t="shared" ref="O539:Z539" si="252">C539*(O10/C10)*$B536</f>
        <v>2.7962586092494597</v>
      </c>
      <c r="P539" s="166">
        <f t="shared" si="252"/>
        <v>8.8819706661774038</v>
      </c>
      <c r="Q539" s="166">
        <f t="shared" si="252"/>
        <v>24.334485630801169</v>
      </c>
      <c r="R539" s="166">
        <f t="shared" si="252"/>
        <v>9.5513832675457486</v>
      </c>
      <c r="S539" s="166">
        <f t="shared" si="252"/>
        <v>9.6256506582181771</v>
      </c>
      <c r="T539" s="166">
        <f t="shared" si="252"/>
        <v>2.963820081555502</v>
      </c>
      <c r="U539" s="166">
        <f t="shared" si="252"/>
        <v>4.6744617944691811</v>
      </c>
      <c r="V539" s="166">
        <f t="shared" si="252"/>
        <v>2.8081574277075161</v>
      </c>
      <c r="W539" s="166">
        <f t="shared" si="252"/>
        <v>1.1120050015828802</v>
      </c>
      <c r="X539" s="166">
        <f t="shared" si="252"/>
        <v>1.99745164772328</v>
      </c>
      <c r="Y539" s="166">
        <f t="shared" si="252"/>
        <v>2.7320052783875934</v>
      </c>
      <c r="Z539" s="166">
        <f t="shared" si="252"/>
        <v>2.7827130337575396</v>
      </c>
    </row>
    <row r="540" spans="1:26" x14ac:dyDescent="0.2">
      <c r="A540" t="s">
        <v>13</v>
      </c>
      <c r="C540" s="166">
        <v>101</v>
      </c>
      <c r="D540" s="166">
        <v>101</v>
      </c>
      <c r="E540" s="166">
        <v>101</v>
      </c>
      <c r="F540" s="166">
        <v>56.772100000000002</v>
      </c>
      <c r="G540" s="166">
        <v>56.772100000000002</v>
      </c>
      <c r="H540" s="166">
        <v>56.772100000000002</v>
      </c>
      <c r="I540" s="166">
        <v>56.772100000000002</v>
      </c>
      <c r="J540" s="166">
        <v>56.772100000000002</v>
      </c>
      <c r="K540" s="166">
        <v>56.772100000000002</v>
      </c>
      <c r="L540" s="166">
        <v>56.772100000000002</v>
      </c>
      <c r="M540" s="166">
        <v>101</v>
      </c>
      <c r="N540" s="166">
        <v>101</v>
      </c>
      <c r="O540" s="166">
        <f t="shared" ref="O540:Z540" si="253">C540*1.01</f>
        <v>102.01</v>
      </c>
      <c r="P540" s="166">
        <f t="shared" si="253"/>
        <v>102.01</v>
      </c>
      <c r="Q540" s="166">
        <f t="shared" si="253"/>
        <v>102.01</v>
      </c>
      <c r="R540" s="166">
        <f t="shared" si="253"/>
        <v>57.339821000000001</v>
      </c>
      <c r="S540" s="166">
        <f t="shared" si="253"/>
        <v>57.339821000000001</v>
      </c>
      <c r="T540" s="166">
        <f t="shared" si="253"/>
        <v>57.339821000000001</v>
      </c>
      <c r="U540" s="166">
        <f t="shared" si="253"/>
        <v>57.339821000000001</v>
      </c>
      <c r="V540" s="166">
        <f t="shared" si="253"/>
        <v>57.339821000000001</v>
      </c>
      <c r="W540" s="166">
        <f t="shared" si="253"/>
        <v>57.339821000000001</v>
      </c>
      <c r="X540" s="166">
        <f t="shared" si="253"/>
        <v>57.339821000000001</v>
      </c>
      <c r="Y540" s="166">
        <f t="shared" si="253"/>
        <v>102.01</v>
      </c>
      <c r="Z540" s="166">
        <f t="shared" si="253"/>
        <v>102.01</v>
      </c>
    </row>
    <row r="541" spans="1:26" x14ac:dyDescent="0.2">
      <c r="A541" t="s">
        <v>37</v>
      </c>
      <c r="C541" s="42">
        <v>282616.12</v>
      </c>
      <c r="D541" s="42">
        <v>656341.3321276597</v>
      </c>
      <c r="E541" s="42">
        <v>656871.30000000005</v>
      </c>
      <c r="F541" s="42">
        <v>267738.89680000005</v>
      </c>
      <c r="G541" s="42">
        <v>137757.717</v>
      </c>
      <c r="H541" s="42">
        <v>112854.0313</v>
      </c>
      <c r="I541" s="42">
        <v>140438.53205431116</v>
      </c>
      <c r="J541" s="42">
        <v>133092.69944740931</v>
      </c>
      <c r="K541" s="42">
        <v>151018.7042871982</v>
      </c>
      <c r="L541" s="42">
        <v>266463.02721154067</v>
      </c>
      <c r="M541" s="42">
        <v>547165.88063567167</v>
      </c>
      <c r="N541" s="42">
        <v>566019.94512036478</v>
      </c>
      <c r="O541" s="42">
        <f t="shared" ref="O541" si="254">O538*(O539+O540)</f>
        <v>519105.3988916126</v>
      </c>
      <c r="P541" s="42">
        <f t="shared" ref="P541" si="255">P538*(P539+P540)</f>
        <v>468518.57606459956</v>
      </c>
      <c r="Q541" s="42">
        <f t="shared" ref="Q541" si="256">Q538*(Q539+Q540)</f>
        <v>717383.98941168911</v>
      </c>
      <c r="R541" s="42">
        <f t="shared" ref="R541" si="257">R538*(R539+R540)</f>
        <v>293184.148304653</v>
      </c>
      <c r="S541" s="42">
        <f t="shared" ref="S541" si="258">S538*(S539+S540)</f>
        <v>172034.2966899625</v>
      </c>
      <c r="T541" s="42">
        <f t="shared" ref="T541" si="259">T538*(T539+T540)</f>
        <v>189232.82571392116</v>
      </c>
      <c r="U541" s="42">
        <f t="shared" ref="U541" si="260">U538*(U539+U540)</f>
        <v>97238.395421727677</v>
      </c>
      <c r="V541" s="42">
        <f t="shared" ref="V541" si="261">V538*(V539+V540)</f>
        <v>158129.03528644305</v>
      </c>
      <c r="W541" s="42">
        <f t="shared" ref="W541" si="262">W538*(W539+W540)</f>
        <v>84638.244050292007</v>
      </c>
      <c r="X541" s="42">
        <f t="shared" ref="X541" si="263">X538*(X539+X540)</f>
        <v>187624.456112101</v>
      </c>
      <c r="Y541" s="42">
        <f t="shared" ref="Y541" si="264">Y538*(Y539+Y540)</f>
        <v>488411.97061312135</v>
      </c>
      <c r="Z541" s="42">
        <f t="shared" ref="Z541" si="265">Z538*(Z539+Z540)</f>
        <v>357971.90772331582</v>
      </c>
    </row>
    <row r="543" spans="1:26" x14ac:dyDescent="0.2">
      <c r="A543" s="14" t="s">
        <v>258</v>
      </c>
    </row>
    <row r="544" spans="1:26" x14ac:dyDescent="0.2">
      <c r="C544" s="74">
        <v>45307</v>
      </c>
      <c r="D544" s="74">
        <v>45338</v>
      </c>
      <c r="E544" s="74">
        <v>45366</v>
      </c>
      <c r="F544" s="74">
        <v>45397</v>
      </c>
      <c r="G544" s="74">
        <v>45427</v>
      </c>
      <c r="H544" s="74">
        <v>45458</v>
      </c>
      <c r="I544" s="74">
        <v>45488</v>
      </c>
      <c r="J544" s="74">
        <v>45519</v>
      </c>
      <c r="K544" s="74">
        <v>45550</v>
      </c>
      <c r="L544" s="74">
        <v>45580</v>
      </c>
      <c r="M544" s="74">
        <v>45611</v>
      </c>
      <c r="N544" s="74">
        <v>45641</v>
      </c>
      <c r="O544" s="74">
        <f t="shared" ref="O544:Z544" si="266">+O$2</f>
        <v>45673</v>
      </c>
      <c r="P544" s="74">
        <f t="shared" si="266"/>
        <v>45704</v>
      </c>
      <c r="Q544" s="74">
        <f t="shared" si="266"/>
        <v>45732</v>
      </c>
      <c r="R544" s="74">
        <f t="shared" si="266"/>
        <v>45763</v>
      </c>
      <c r="S544" s="74">
        <f t="shared" si="266"/>
        <v>45793</v>
      </c>
      <c r="T544" s="74">
        <f t="shared" si="266"/>
        <v>45824</v>
      </c>
      <c r="U544" s="74">
        <f t="shared" si="266"/>
        <v>45854</v>
      </c>
      <c r="V544" s="74">
        <f t="shared" si="266"/>
        <v>45885</v>
      </c>
      <c r="W544" s="74">
        <f t="shared" si="266"/>
        <v>45916</v>
      </c>
      <c r="X544" s="74">
        <f t="shared" si="266"/>
        <v>45946</v>
      </c>
      <c r="Y544" s="74">
        <f t="shared" si="266"/>
        <v>45977</v>
      </c>
      <c r="Z544" s="74">
        <f t="shared" si="266"/>
        <v>46007</v>
      </c>
    </row>
    <row r="545" spans="1:26" x14ac:dyDescent="0.2">
      <c r="A545" t="s">
        <v>259</v>
      </c>
    </row>
    <row r="546" spans="1:26" x14ac:dyDescent="0.2">
      <c r="A546" t="s">
        <v>343</v>
      </c>
    </row>
    <row r="547" spans="1:26" x14ac:dyDescent="0.2">
      <c r="A547" t="s">
        <v>226</v>
      </c>
    </row>
    <row r="548" spans="1:26" x14ac:dyDescent="0.2">
      <c r="A548" t="s">
        <v>13</v>
      </c>
      <c r="H548">
        <v>64.855370481819008</v>
      </c>
    </row>
    <row r="550" spans="1:26" x14ac:dyDescent="0.2">
      <c r="A550" t="s">
        <v>24</v>
      </c>
      <c r="C550" s="10"/>
    </row>
    <row r="551" spans="1:26" s="119" customFormat="1" x14ac:dyDescent="0.2"/>
    <row r="552" spans="1:26" x14ac:dyDescent="0.2">
      <c r="A552" s="14" t="s">
        <v>374</v>
      </c>
      <c r="C552" s="74">
        <v>45307</v>
      </c>
      <c r="D552" s="74">
        <v>45338</v>
      </c>
      <c r="E552" s="74">
        <v>45366</v>
      </c>
      <c r="F552" s="74">
        <v>45397</v>
      </c>
      <c r="G552" s="74">
        <v>45427</v>
      </c>
      <c r="H552" s="74">
        <v>45458</v>
      </c>
      <c r="I552" s="74">
        <v>45488</v>
      </c>
      <c r="J552" s="74">
        <v>45519</v>
      </c>
      <c r="K552" s="74">
        <v>45550</v>
      </c>
      <c r="L552" s="74">
        <v>45580</v>
      </c>
      <c r="M552" s="74">
        <v>45611</v>
      </c>
      <c r="N552" s="74">
        <v>45641</v>
      </c>
      <c r="O552" s="74">
        <f t="shared" ref="O552:Z552" si="267">+O2</f>
        <v>45673</v>
      </c>
      <c r="P552" s="74">
        <f t="shared" si="267"/>
        <v>45704</v>
      </c>
      <c r="Q552" s="74">
        <f t="shared" si="267"/>
        <v>45732</v>
      </c>
      <c r="R552" s="74">
        <f t="shared" si="267"/>
        <v>45763</v>
      </c>
      <c r="S552" s="74">
        <f t="shared" si="267"/>
        <v>45793</v>
      </c>
      <c r="T552" s="74">
        <f t="shared" si="267"/>
        <v>45824</v>
      </c>
      <c r="U552" s="74">
        <f t="shared" si="267"/>
        <v>45854</v>
      </c>
      <c r="V552" s="74">
        <f t="shared" si="267"/>
        <v>45885</v>
      </c>
      <c r="W552" s="74">
        <f t="shared" si="267"/>
        <v>45916</v>
      </c>
      <c r="X552" s="74">
        <f t="shared" si="267"/>
        <v>45946</v>
      </c>
      <c r="Y552" s="74">
        <f t="shared" si="267"/>
        <v>45977</v>
      </c>
      <c r="Z552" s="74">
        <f t="shared" si="267"/>
        <v>46007</v>
      </c>
    </row>
    <row r="553" spans="1:26" x14ac:dyDescent="0.2">
      <c r="A553" s="54" t="s">
        <v>295</v>
      </c>
      <c r="C553" s="103">
        <v>10</v>
      </c>
      <c r="D553" s="103">
        <v>10</v>
      </c>
      <c r="E553" s="103">
        <v>10</v>
      </c>
      <c r="F553" s="103">
        <v>10</v>
      </c>
      <c r="G553" s="103">
        <v>10</v>
      </c>
      <c r="H553" s="103">
        <v>10</v>
      </c>
      <c r="I553" s="103">
        <v>10</v>
      </c>
      <c r="J553" s="103">
        <v>10</v>
      </c>
      <c r="K553" s="103">
        <v>10</v>
      </c>
      <c r="L553" s="103">
        <v>10</v>
      </c>
      <c r="M553" s="103">
        <v>10</v>
      </c>
      <c r="N553" s="103">
        <v>10</v>
      </c>
      <c r="O553" s="103">
        <v>10</v>
      </c>
      <c r="P553" s="103">
        <v>10</v>
      </c>
      <c r="Q553" s="103">
        <v>10</v>
      </c>
      <c r="R553" s="103">
        <v>10</v>
      </c>
      <c r="S553" s="103">
        <v>10</v>
      </c>
      <c r="T553" s="103">
        <v>10</v>
      </c>
      <c r="U553" s="103">
        <v>10</v>
      </c>
      <c r="V553" s="103">
        <v>10</v>
      </c>
      <c r="W553" s="103">
        <v>10</v>
      </c>
      <c r="X553" s="103">
        <v>10</v>
      </c>
      <c r="Y553" s="103">
        <v>10</v>
      </c>
      <c r="Z553" s="103">
        <v>10</v>
      </c>
    </row>
    <row r="554" spans="1:26" x14ac:dyDescent="0.2">
      <c r="A554" s="54" t="s">
        <v>296</v>
      </c>
      <c r="C554" s="85">
        <v>0.97499999999999998</v>
      </c>
      <c r="D554" s="85">
        <v>0.97499999999999998</v>
      </c>
      <c r="E554" s="85">
        <v>0.97499999999999998</v>
      </c>
      <c r="F554" s="85">
        <v>0.97499999999999998</v>
      </c>
      <c r="G554" s="85">
        <v>0.97499999999999998</v>
      </c>
      <c r="H554" s="85">
        <v>0.97499999999999998</v>
      </c>
      <c r="I554" s="85">
        <v>0.97499999999999998</v>
      </c>
      <c r="J554" s="85">
        <v>0.97499999999999998</v>
      </c>
      <c r="K554" s="85">
        <v>0.97499999999999998</v>
      </c>
      <c r="L554" s="85">
        <v>0.97499999999999998</v>
      </c>
      <c r="M554" s="85">
        <v>0.97499999999999998</v>
      </c>
      <c r="N554" s="85">
        <v>0.97499999999999998</v>
      </c>
      <c r="O554" s="85">
        <v>0.97499999999999998</v>
      </c>
      <c r="P554" s="85">
        <v>0.97499999999999998</v>
      </c>
      <c r="Q554" s="85">
        <v>0.97499999999999998</v>
      </c>
      <c r="R554" s="85">
        <v>0.97499999999999998</v>
      </c>
      <c r="S554" s="85">
        <v>0.97499999999999998</v>
      </c>
      <c r="T554" s="85">
        <v>0.97499999999999998</v>
      </c>
      <c r="U554" s="85">
        <v>0.97499999999999998</v>
      </c>
      <c r="V554" s="85">
        <v>0.97499999999999998</v>
      </c>
      <c r="W554" s="85">
        <v>0.97499999999999998</v>
      </c>
      <c r="X554" s="85">
        <v>0.97499999999999998</v>
      </c>
      <c r="Y554" s="85">
        <v>0.97499999999999998</v>
      </c>
      <c r="Z554" s="85">
        <v>0.97499999999999998</v>
      </c>
    </row>
    <row r="555" spans="1:26" x14ac:dyDescent="0.2">
      <c r="A555" s="54" t="s">
        <v>280</v>
      </c>
      <c r="C555" s="104">
        <v>7254</v>
      </c>
      <c r="D555" s="104">
        <v>6786</v>
      </c>
      <c r="E555" s="104">
        <v>7244.25</v>
      </c>
      <c r="F555" s="104">
        <v>7020</v>
      </c>
      <c r="G555" s="104">
        <v>7254</v>
      </c>
      <c r="H555" s="104">
        <v>7020</v>
      </c>
      <c r="I555" s="104">
        <v>7254</v>
      </c>
      <c r="J555" s="104">
        <v>7254</v>
      </c>
      <c r="K555" s="104">
        <v>7020</v>
      </c>
      <c r="L555" s="104">
        <v>0</v>
      </c>
      <c r="M555" s="104">
        <v>7029.75</v>
      </c>
      <c r="N555" s="104">
        <v>7254</v>
      </c>
      <c r="O555" s="104">
        <f t="shared" ref="O555:Z555" si="268">+O554*O553*O33</f>
        <v>7254</v>
      </c>
      <c r="P555" s="104">
        <f t="shared" si="268"/>
        <v>6552</v>
      </c>
      <c r="Q555" s="104">
        <f t="shared" si="268"/>
        <v>7244.25</v>
      </c>
      <c r="R555" s="104">
        <f t="shared" si="268"/>
        <v>7020</v>
      </c>
      <c r="S555" s="104">
        <f t="shared" si="268"/>
        <v>7254</v>
      </c>
      <c r="T555" s="104">
        <f t="shared" si="268"/>
        <v>7020</v>
      </c>
      <c r="U555" s="104">
        <f t="shared" si="268"/>
        <v>7254</v>
      </c>
      <c r="V555" s="104">
        <f t="shared" si="268"/>
        <v>7254</v>
      </c>
      <c r="W555" s="104">
        <f t="shared" si="268"/>
        <v>7020</v>
      </c>
      <c r="X555" s="104">
        <f t="shared" si="268"/>
        <v>7254</v>
      </c>
      <c r="Y555" s="104">
        <f t="shared" si="268"/>
        <v>7029.75</v>
      </c>
      <c r="Z555" s="104">
        <f t="shared" si="268"/>
        <v>7254</v>
      </c>
    </row>
    <row r="556" spans="1:26" x14ac:dyDescent="0.2">
      <c r="A556" s="54" t="s">
        <v>4</v>
      </c>
      <c r="C556" s="167">
        <v>10</v>
      </c>
      <c r="D556" s="167">
        <v>10</v>
      </c>
      <c r="E556" s="167">
        <v>10</v>
      </c>
      <c r="F556" s="167">
        <v>10</v>
      </c>
      <c r="G556" s="167">
        <v>10</v>
      </c>
      <c r="H556" s="167">
        <v>10</v>
      </c>
      <c r="I556" s="167">
        <v>10</v>
      </c>
      <c r="J556" s="167">
        <v>10</v>
      </c>
      <c r="K556" s="167">
        <v>10</v>
      </c>
      <c r="L556" s="167">
        <v>10</v>
      </c>
      <c r="M556" s="167">
        <v>10</v>
      </c>
      <c r="N556" s="167">
        <v>10</v>
      </c>
      <c r="O556" s="167">
        <v>10</v>
      </c>
      <c r="P556" s="167">
        <v>10</v>
      </c>
      <c r="Q556" s="167">
        <v>10</v>
      </c>
      <c r="R556" s="167">
        <v>10</v>
      </c>
      <c r="S556" s="167">
        <v>10</v>
      </c>
      <c r="T556" s="167">
        <v>10</v>
      </c>
      <c r="U556" s="167">
        <v>10</v>
      </c>
      <c r="V556" s="167">
        <v>10</v>
      </c>
      <c r="W556" s="167">
        <v>10</v>
      </c>
      <c r="X556" s="167">
        <v>10</v>
      </c>
      <c r="Y556" s="167">
        <v>10</v>
      </c>
      <c r="Z556" s="167">
        <v>10</v>
      </c>
    </row>
    <row r="557" spans="1:26" x14ac:dyDescent="0.2">
      <c r="A557" s="54" t="s">
        <v>390</v>
      </c>
      <c r="B557">
        <v>64.855370481819008</v>
      </c>
      <c r="C557" s="124">
        <v>66.963170022478124</v>
      </c>
      <c r="D557" s="124">
        <v>66.963170022478124</v>
      </c>
      <c r="E557" s="124">
        <v>66.963170022478124</v>
      </c>
      <c r="F557" s="124">
        <v>66.963170022478124</v>
      </c>
      <c r="G557" s="124">
        <v>66.963170022478124</v>
      </c>
      <c r="H557" s="124">
        <v>66.963170022478124</v>
      </c>
      <c r="I557" s="124">
        <v>66.963170022478124</v>
      </c>
      <c r="J557" s="124">
        <v>66.963170022478124</v>
      </c>
      <c r="K557" s="124">
        <v>66.963170022478124</v>
      </c>
      <c r="L557" s="124">
        <v>66.963170022478124</v>
      </c>
      <c r="M557" s="124">
        <v>66.963170022478124</v>
      </c>
      <c r="N557" s="124">
        <v>66.963170022478124</v>
      </c>
      <c r="O557" s="124">
        <f>+C557*C557/$B$557</f>
        <v>69.139473048208657</v>
      </c>
      <c r="P557" s="124">
        <f t="shared" ref="P557:Z557" si="269">+D557*D557/$B$557</f>
        <v>69.139473048208657</v>
      </c>
      <c r="Q557" s="124">
        <f t="shared" si="269"/>
        <v>69.139473048208657</v>
      </c>
      <c r="R557" s="124">
        <f t="shared" si="269"/>
        <v>69.139473048208657</v>
      </c>
      <c r="S557" s="124">
        <f t="shared" si="269"/>
        <v>69.139473048208657</v>
      </c>
      <c r="T557" s="124">
        <f t="shared" si="269"/>
        <v>69.139473048208657</v>
      </c>
      <c r="U557" s="124">
        <f t="shared" si="269"/>
        <v>69.139473048208657</v>
      </c>
      <c r="V557" s="124">
        <f t="shared" si="269"/>
        <v>69.139473048208657</v>
      </c>
      <c r="W557" s="124">
        <f t="shared" si="269"/>
        <v>69.139473048208657</v>
      </c>
      <c r="X557" s="124">
        <f t="shared" si="269"/>
        <v>69.139473048208657</v>
      </c>
      <c r="Y557" s="124">
        <f t="shared" si="269"/>
        <v>69.139473048208657</v>
      </c>
      <c r="Z557" s="124">
        <f t="shared" si="269"/>
        <v>69.139473048208657</v>
      </c>
    </row>
    <row r="558" spans="1:26" x14ac:dyDescent="0.2">
      <c r="A558" s="54" t="s">
        <v>391</v>
      </c>
      <c r="C558" s="105">
        <v>1.1000000000000001</v>
      </c>
      <c r="D558" s="105">
        <v>1.1000000000000001</v>
      </c>
      <c r="E558" s="105">
        <v>0.95</v>
      </c>
      <c r="F558" s="105">
        <v>0.9</v>
      </c>
      <c r="G558" s="105">
        <v>0.9</v>
      </c>
      <c r="H558" s="105">
        <v>1</v>
      </c>
      <c r="I558" s="105">
        <v>1.1000000000000001</v>
      </c>
      <c r="J558" s="105">
        <v>1.1000000000000001</v>
      </c>
      <c r="K558" s="105">
        <v>0.9</v>
      </c>
      <c r="L558" s="105">
        <v>0.9</v>
      </c>
      <c r="M558" s="105">
        <v>0.95</v>
      </c>
      <c r="N558" s="105">
        <v>1.1000000000000001</v>
      </c>
      <c r="O558" s="105">
        <f t="shared" ref="O558" si="270">+C558</f>
        <v>1.1000000000000001</v>
      </c>
      <c r="P558" s="105">
        <f t="shared" ref="P558" si="271">+D558</f>
        <v>1.1000000000000001</v>
      </c>
      <c r="Q558" s="105">
        <f t="shared" ref="Q558" si="272">+E558</f>
        <v>0.95</v>
      </c>
      <c r="R558" s="105">
        <f t="shared" ref="R558" si="273">+F558</f>
        <v>0.9</v>
      </c>
      <c r="S558" s="105">
        <f t="shared" ref="S558" si="274">+G558</f>
        <v>0.9</v>
      </c>
      <c r="T558" s="105">
        <f t="shared" ref="T558" si="275">+H558</f>
        <v>1</v>
      </c>
      <c r="U558" s="105">
        <f t="shared" ref="U558" si="276">+I558</f>
        <v>1.1000000000000001</v>
      </c>
      <c r="V558" s="105">
        <f t="shared" ref="V558" si="277">+J558</f>
        <v>1.1000000000000001</v>
      </c>
      <c r="W558" s="105">
        <f t="shared" ref="W558" si="278">+K558</f>
        <v>0.9</v>
      </c>
      <c r="X558" s="105">
        <f t="shared" ref="X558" si="279">+L558</f>
        <v>0.9</v>
      </c>
      <c r="Y558" s="105">
        <f t="shared" ref="Y558" si="280">+M558</f>
        <v>0.95</v>
      </c>
      <c r="Z558" s="105">
        <f t="shared" ref="Z558" si="281">+N558</f>
        <v>1.1000000000000001</v>
      </c>
    </row>
    <row r="559" spans="1:26" x14ac:dyDescent="0.2">
      <c r="A559" s="54" t="s">
        <v>275</v>
      </c>
      <c r="C559" s="136">
        <v>73.659487024725948</v>
      </c>
      <c r="D559" s="136">
        <v>73.659487024725948</v>
      </c>
      <c r="E559" s="136">
        <v>63.615011521354212</v>
      </c>
      <c r="F559" s="136">
        <v>60.266853020230315</v>
      </c>
      <c r="G559" s="136">
        <v>60.266853020230315</v>
      </c>
      <c r="H559" s="136">
        <v>66.963170022478124</v>
      </c>
      <c r="I559" s="136">
        <v>73.659487024725948</v>
      </c>
      <c r="J559" s="136">
        <v>73.659487024725948</v>
      </c>
      <c r="K559" s="136">
        <v>60.266853020230315</v>
      </c>
      <c r="L559" s="136">
        <v>60.266853020230315</v>
      </c>
      <c r="M559" s="136">
        <v>63.615011521354212</v>
      </c>
      <c r="N559" s="136">
        <v>73.659487024725948</v>
      </c>
      <c r="O559" s="136">
        <f t="shared" ref="O559:Z559" si="282">+O558*O557</f>
        <v>76.053420353029523</v>
      </c>
      <c r="P559" s="136">
        <f t="shared" si="282"/>
        <v>76.053420353029523</v>
      </c>
      <c r="Q559" s="136">
        <f t="shared" si="282"/>
        <v>65.682499395798217</v>
      </c>
      <c r="R559" s="136">
        <f t="shared" si="282"/>
        <v>62.225525743387792</v>
      </c>
      <c r="S559" s="136">
        <f t="shared" si="282"/>
        <v>62.225525743387792</v>
      </c>
      <c r="T559" s="136">
        <f t="shared" si="282"/>
        <v>69.139473048208657</v>
      </c>
      <c r="U559" s="136">
        <f t="shared" si="282"/>
        <v>76.053420353029523</v>
      </c>
      <c r="V559" s="136">
        <f t="shared" si="282"/>
        <v>76.053420353029523</v>
      </c>
      <c r="W559" s="136">
        <f t="shared" si="282"/>
        <v>62.225525743387792</v>
      </c>
      <c r="X559" s="136">
        <f t="shared" si="282"/>
        <v>62.225525743387792</v>
      </c>
      <c r="Y559" s="136">
        <f t="shared" si="282"/>
        <v>65.682499395798217</v>
      </c>
      <c r="Z559" s="136">
        <f t="shared" si="282"/>
        <v>76.053420353029523</v>
      </c>
    </row>
    <row r="560" spans="1:26" x14ac:dyDescent="0.2">
      <c r="A560" s="54" t="s">
        <v>297</v>
      </c>
      <c r="C560" s="47">
        <v>4.3316158425325053</v>
      </c>
      <c r="D560" s="47">
        <v>4.3316158425325053</v>
      </c>
      <c r="E560" s="47">
        <v>4.3316158425325053</v>
      </c>
      <c r="F560" s="47">
        <v>4.3316158425325053</v>
      </c>
      <c r="G560" s="47">
        <v>4.3316158425325053</v>
      </c>
      <c r="H560" s="47">
        <v>4.3316158425325053</v>
      </c>
      <c r="I560" s="47">
        <v>4.3316158425325053</v>
      </c>
      <c r="J560" s="47">
        <v>4.3316158425325053</v>
      </c>
      <c r="K560" s="47">
        <v>4.3316158425325053</v>
      </c>
      <c r="L560" s="47">
        <v>4.3316158425325053</v>
      </c>
      <c r="M560" s="47">
        <v>4.3316158425325053</v>
      </c>
      <c r="N560" s="47">
        <v>4.3316158425325053</v>
      </c>
      <c r="O560" s="47">
        <f t="shared" ref="O560:Z560" si="283">+C560*1.0325</f>
        <v>4.4723933574148118</v>
      </c>
      <c r="P560" s="47">
        <f t="shared" si="283"/>
        <v>4.4723933574148118</v>
      </c>
      <c r="Q560" s="47">
        <f t="shared" si="283"/>
        <v>4.4723933574148118</v>
      </c>
      <c r="R560" s="47">
        <f t="shared" si="283"/>
        <v>4.4723933574148118</v>
      </c>
      <c r="S560" s="47">
        <f t="shared" si="283"/>
        <v>4.4723933574148118</v>
      </c>
      <c r="T560" s="47">
        <f t="shared" si="283"/>
        <v>4.4723933574148118</v>
      </c>
      <c r="U560" s="47">
        <f t="shared" si="283"/>
        <v>4.4723933574148118</v>
      </c>
      <c r="V560" s="47">
        <f t="shared" si="283"/>
        <v>4.4723933574148118</v>
      </c>
      <c r="W560" s="47">
        <f t="shared" si="283"/>
        <v>4.4723933574148118</v>
      </c>
      <c r="X560" s="47">
        <f t="shared" si="283"/>
        <v>4.4723933574148118</v>
      </c>
      <c r="Y560" s="47">
        <f t="shared" si="283"/>
        <v>4.4723933574148118</v>
      </c>
      <c r="Z560" s="47">
        <f t="shared" si="283"/>
        <v>4.4723933574148118</v>
      </c>
    </row>
    <row r="561" spans="1:26" x14ac:dyDescent="0.2">
      <c r="A561" s="54" t="s">
        <v>10</v>
      </c>
      <c r="C561" s="88">
        <v>534325.91887736204</v>
      </c>
      <c r="D561" s="88">
        <v>499853.27894979028</v>
      </c>
      <c r="E561" s="88">
        <v>460843.04721357027</v>
      </c>
      <c r="F561" s="88">
        <v>423073.30820201681</v>
      </c>
      <c r="G561" s="88">
        <v>437175.75180875068</v>
      </c>
      <c r="H561" s="88">
        <v>470081.45355779643</v>
      </c>
      <c r="I561" s="88">
        <v>534325.91887736204</v>
      </c>
      <c r="J561" s="88">
        <v>534325.91887736204</v>
      </c>
      <c r="K561" s="88">
        <v>423073.30820201681</v>
      </c>
      <c r="L561" s="88">
        <v>0</v>
      </c>
      <c r="M561" s="88">
        <v>447197.62724223977</v>
      </c>
      <c r="N561" s="88">
        <v>534325.91887736204</v>
      </c>
      <c r="O561" s="88">
        <f t="shared" ref="O561:Z561" si="284">+O559*O555</f>
        <v>551691.51124087616</v>
      </c>
      <c r="P561" s="88">
        <f t="shared" si="284"/>
        <v>498302.01015304943</v>
      </c>
      <c r="Q561" s="88">
        <f t="shared" si="284"/>
        <v>475820.44624801126</v>
      </c>
      <c r="R561" s="88">
        <f t="shared" si="284"/>
        <v>436823.19071858231</v>
      </c>
      <c r="S561" s="88">
        <f t="shared" si="284"/>
        <v>451383.96374253504</v>
      </c>
      <c r="T561" s="88">
        <f t="shared" si="284"/>
        <v>485359.1007984248</v>
      </c>
      <c r="U561" s="88">
        <f t="shared" si="284"/>
        <v>551691.51124087616</v>
      </c>
      <c r="V561" s="88">
        <f t="shared" si="284"/>
        <v>551691.51124087616</v>
      </c>
      <c r="W561" s="88">
        <f t="shared" si="284"/>
        <v>436823.19071858231</v>
      </c>
      <c r="X561" s="88">
        <f t="shared" si="284"/>
        <v>451383.96374253504</v>
      </c>
      <c r="Y561" s="88">
        <f t="shared" si="284"/>
        <v>461731.55012761254</v>
      </c>
      <c r="Z561" s="88">
        <f t="shared" si="284"/>
        <v>551691.51124087616</v>
      </c>
    </row>
    <row r="562" spans="1:26" x14ac:dyDescent="0.2">
      <c r="A562" s="54" t="s">
        <v>184</v>
      </c>
      <c r="C562" s="88">
        <v>43316.158425325055</v>
      </c>
      <c r="D562" s="88">
        <v>43316.158425325055</v>
      </c>
      <c r="E562" s="88">
        <v>43316.158425325055</v>
      </c>
      <c r="F562" s="88">
        <v>43316.158425325055</v>
      </c>
      <c r="G562" s="88">
        <v>43316.158425325055</v>
      </c>
      <c r="H562" s="88">
        <v>43316.158425325055</v>
      </c>
      <c r="I562" s="88">
        <v>43316.158425325055</v>
      </c>
      <c r="J562" s="88">
        <v>43316.158425325055</v>
      </c>
      <c r="K562" s="88">
        <v>43316.158425325055</v>
      </c>
      <c r="L562" s="88">
        <v>43316.158425325055</v>
      </c>
      <c r="M562" s="88">
        <v>43316.158425325055</v>
      </c>
      <c r="N562" s="88">
        <v>43316.158425325055</v>
      </c>
      <c r="O562" s="88">
        <f t="shared" ref="O562:Z562" si="285">+O560*O553*1000</f>
        <v>44723.933574148119</v>
      </c>
      <c r="P562" s="88">
        <f t="shared" si="285"/>
        <v>44723.933574148119</v>
      </c>
      <c r="Q562" s="88">
        <f t="shared" si="285"/>
        <v>44723.933574148119</v>
      </c>
      <c r="R562" s="88">
        <f t="shared" si="285"/>
        <v>44723.933574148119</v>
      </c>
      <c r="S562" s="88">
        <f t="shared" si="285"/>
        <v>44723.933574148119</v>
      </c>
      <c r="T562" s="88">
        <f t="shared" si="285"/>
        <v>44723.933574148119</v>
      </c>
      <c r="U562" s="88">
        <f t="shared" si="285"/>
        <v>44723.933574148119</v>
      </c>
      <c r="V562" s="88">
        <f t="shared" si="285"/>
        <v>44723.933574148119</v>
      </c>
      <c r="W562" s="88">
        <f t="shared" si="285"/>
        <v>44723.933574148119</v>
      </c>
      <c r="X562" s="88">
        <f t="shared" si="285"/>
        <v>44723.933574148119</v>
      </c>
      <c r="Y562" s="88">
        <f t="shared" si="285"/>
        <v>44723.933574148119</v>
      </c>
      <c r="Z562" s="88">
        <f t="shared" si="285"/>
        <v>44723.933574148119</v>
      </c>
    </row>
    <row r="563" spans="1:26" x14ac:dyDescent="0.2">
      <c r="A563" s="54" t="s">
        <v>392</v>
      </c>
      <c r="C563" s="168"/>
      <c r="D563" s="168"/>
      <c r="E563" s="168"/>
      <c r="F563" s="168"/>
      <c r="G563" s="168"/>
      <c r="H563" s="168"/>
      <c r="I563" s="168"/>
      <c r="J563" s="168"/>
      <c r="K563" s="168"/>
      <c r="L563" s="168"/>
      <c r="M563" s="168"/>
      <c r="N563" s="168"/>
      <c r="O563" s="168"/>
      <c r="P563" s="168"/>
      <c r="Q563" s="168"/>
      <c r="R563" s="168"/>
      <c r="S563" s="168"/>
      <c r="T563" s="168"/>
      <c r="U563" s="168"/>
      <c r="V563" s="168"/>
      <c r="W563" s="168"/>
      <c r="X563" s="168"/>
      <c r="Y563" s="168"/>
      <c r="Z563" s="168"/>
    </row>
    <row r="564" spans="1:26" x14ac:dyDescent="0.2">
      <c r="A564" s="54" t="s">
        <v>393</v>
      </c>
      <c r="C564" s="168"/>
      <c r="D564" s="168"/>
      <c r="E564" s="168"/>
      <c r="F564" s="168"/>
      <c r="G564" s="168"/>
      <c r="H564" s="168"/>
      <c r="I564" s="168"/>
      <c r="J564" s="168"/>
      <c r="K564" s="168"/>
      <c r="L564" s="168"/>
      <c r="M564" s="168"/>
      <c r="N564" s="168"/>
      <c r="O564" s="168"/>
      <c r="P564" s="168"/>
      <c r="Q564" s="168"/>
      <c r="R564" s="168"/>
      <c r="S564" s="168"/>
      <c r="T564" s="168"/>
      <c r="U564" s="168"/>
      <c r="V564" s="168"/>
      <c r="W564" s="168"/>
      <c r="X564" s="168"/>
      <c r="Y564" s="168"/>
      <c r="Z564" s="168"/>
    </row>
    <row r="565" spans="1:26" x14ac:dyDescent="0.2">
      <c r="A565" s="54" t="s">
        <v>405</v>
      </c>
      <c r="C565" s="156">
        <v>10</v>
      </c>
      <c r="D565" s="156">
        <v>10</v>
      </c>
      <c r="E565" s="156">
        <v>10</v>
      </c>
      <c r="F565" s="156">
        <v>10</v>
      </c>
      <c r="G565" s="156">
        <v>10</v>
      </c>
      <c r="H565" s="156">
        <v>10</v>
      </c>
      <c r="I565" s="156">
        <v>10</v>
      </c>
      <c r="J565" s="156">
        <v>10</v>
      </c>
      <c r="K565" s="156">
        <v>10</v>
      </c>
      <c r="L565" s="156">
        <v>10</v>
      </c>
      <c r="M565" s="156">
        <v>10</v>
      </c>
      <c r="N565" s="156">
        <v>10</v>
      </c>
      <c r="O565" s="156">
        <v>10</v>
      </c>
      <c r="P565" s="156">
        <v>10</v>
      </c>
      <c r="Q565" s="156">
        <v>10</v>
      </c>
      <c r="R565" s="156">
        <v>10</v>
      </c>
      <c r="S565" s="156">
        <v>10</v>
      </c>
      <c r="T565" s="156">
        <v>10</v>
      </c>
      <c r="U565" s="156">
        <v>10</v>
      </c>
      <c r="V565" s="156">
        <v>10</v>
      </c>
      <c r="W565" s="156">
        <v>10</v>
      </c>
      <c r="X565" s="156">
        <v>10</v>
      </c>
      <c r="Y565" s="156">
        <v>10</v>
      </c>
      <c r="Z565" s="156">
        <v>10</v>
      </c>
    </row>
    <row r="566" spans="1:26" x14ac:dyDescent="0.2">
      <c r="A566" s="54" t="s">
        <v>406</v>
      </c>
      <c r="C566" s="124">
        <v>7.9205269218484116</v>
      </c>
      <c r="D566" s="124">
        <v>7.9205269218484116</v>
      </c>
      <c r="E566" s="124">
        <v>7.9205269218484116</v>
      </c>
      <c r="F566" s="124">
        <v>7.9205269218484116</v>
      </c>
      <c r="G566" s="124">
        <v>7.9205269218484116</v>
      </c>
      <c r="H566" s="124">
        <v>8.1779440468084843</v>
      </c>
      <c r="I566" s="124">
        <v>8.1779440468084843</v>
      </c>
      <c r="J566" s="124">
        <v>8.1779440468084843</v>
      </c>
      <c r="K566" s="124">
        <v>8.1779440468084843</v>
      </c>
      <c r="L566" s="124">
        <v>8.1779440468084843</v>
      </c>
      <c r="M566" s="124">
        <v>8.1779440468084843</v>
      </c>
      <c r="N566" s="124">
        <v>8.1779440468084843</v>
      </c>
      <c r="O566" s="124">
        <f t="shared" ref="O566" si="286">+C566*1.0325</f>
        <v>8.1779440468084843</v>
      </c>
      <c r="P566" s="124">
        <f t="shared" ref="P566" si="287">+D566*1.0325</f>
        <v>8.1779440468084843</v>
      </c>
      <c r="Q566" s="124">
        <f t="shared" ref="Q566" si="288">+E566*1.0325</f>
        <v>8.1779440468084843</v>
      </c>
      <c r="R566" s="124">
        <f t="shared" ref="R566" si="289">+F566*1.0325</f>
        <v>8.1779440468084843</v>
      </c>
      <c r="S566" s="124">
        <f t="shared" ref="S566" si="290">+G566*1.0325</f>
        <v>8.1779440468084843</v>
      </c>
      <c r="T566" s="124">
        <f t="shared" ref="T566" si="291">+H566*1.0325</f>
        <v>8.4437272283297595</v>
      </c>
      <c r="U566" s="124">
        <f t="shared" ref="U566" si="292">+I566*1.0325</f>
        <v>8.4437272283297595</v>
      </c>
      <c r="V566" s="124">
        <f t="shared" ref="V566" si="293">+J566*1.0325</f>
        <v>8.4437272283297595</v>
      </c>
      <c r="W566" s="124">
        <f t="shared" ref="W566" si="294">+K566*1.0325</f>
        <v>8.4437272283297595</v>
      </c>
      <c r="X566" s="124">
        <f t="shared" ref="X566" si="295">+L566*1.0325</f>
        <v>8.4437272283297595</v>
      </c>
      <c r="Y566" s="124">
        <f t="shared" ref="Y566" si="296">+M566*1.0325</f>
        <v>8.4437272283297595</v>
      </c>
      <c r="Z566" s="124">
        <f t="shared" ref="Z566" si="297">+N566*1.0325</f>
        <v>8.4437272283297595</v>
      </c>
    </row>
    <row r="567" spans="1:26" x14ac:dyDescent="0.2">
      <c r="A567" s="54" t="s">
        <v>407</v>
      </c>
      <c r="C567" s="137">
        <v>79205.269218484114</v>
      </c>
      <c r="D567" s="137">
        <v>79205.269218484114</v>
      </c>
      <c r="E567" s="137">
        <v>79205.269218484114</v>
      </c>
      <c r="F567" s="137">
        <v>79205.269218484114</v>
      </c>
      <c r="G567" s="137">
        <v>79205.269218484114</v>
      </c>
      <c r="H567" s="137">
        <v>81779.440468084838</v>
      </c>
      <c r="I567" s="137">
        <v>81779.440468084838</v>
      </c>
      <c r="J567" s="137">
        <v>81779.440468084838</v>
      </c>
      <c r="K567" s="137">
        <v>81779.440468084838</v>
      </c>
      <c r="L567" s="137">
        <v>81779.440468084838</v>
      </c>
      <c r="M567" s="137">
        <v>81779.440468084838</v>
      </c>
      <c r="N567" s="137">
        <v>81779.440468084838</v>
      </c>
      <c r="O567" s="137">
        <f t="shared" ref="O567:Z567" si="298">+O566*O565*1000</f>
        <v>81779.440468084838</v>
      </c>
      <c r="P567" s="137">
        <f t="shared" si="298"/>
        <v>81779.440468084838</v>
      </c>
      <c r="Q567" s="137">
        <f t="shared" si="298"/>
        <v>81779.440468084838</v>
      </c>
      <c r="R567" s="137">
        <f t="shared" si="298"/>
        <v>81779.440468084838</v>
      </c>
      <c r="S567" s="137">
        <f t="shared" si="298"/>
        <v>81779.440468084838</v>
      </c>
      <c r="T567" s="137">
        <f t="shared" si="298"/>
        <v>84437.2722832976</v>
      </c>
      <c r="U567" s="137">
        <f t="shared" si="298"/>
        <v>84437.2722832976</v>
      </c>
      <c r="V567" s="137">
        <f t="shared" si="298"/>
        <v>84437.2722832976</v>
      </c>
      <c r="W567" s="137">
        <f t="shared" si="298"/>
        <v>84437.2722832976</v>
      </c>
      <c r="X567" s="137">
        <f t="shared" si="298"/>
        <v>84437.2722832976</v>
      </c>
      <c r="Y567" s="137">
        <f t="shared" si="298"/>
        <v>84437.2722832976</v>
      </c>
      <c r="Z567" s="137">
        <f t="shared" si="298"/>
        <v>84437.2722832976</v>
      </c>
    </row>
    <row r="568" spans="1:26" x14ac:dyDescent="0.2">
      <c r="A568" s="54" t="s">
        <v>394</v>
      </c>
      <c r="C568" s="88">
        <v>122521.42764380918</v>
      </c>
      <c r="D568" s="88">
        <v>122521.42764380918</v>
      </c>
      <c r="E568" s="88">
        <v>122521.42764380918</v>
      </c>
      <c r="F568" s="88">
        <v>122521.42764380918</v>
      </c>
      <c r="G568" s="88">
        <v>122521.42764380918</v>
      </c>
      <c r="H568" s="88">
        <v>125095.59889340989</v>
      </c>
      <c r="I568" s="88">
        <v>125095.59889340989</v>
      </c>
      <c r="J568" s="88">
        <v>125095.59889340989</v>
      </c>
      <c r="K568" s="88">
        <v>125095.59889340989</v>
      </c>
      <c r="L568" s="88">
        <v>125095.59889340989</v>
      </c>
      <c r="M568" s="88">
        <v>125095.59889340989</v>
      </c>
      <c r="N568" s="88">
        <v>125095.59889340989</v>
      </c>
      <c r="O568" s="88">
        <f t="shared" ref="O568:Z568" si="299">+O564+O562+O567</f>
        <v>126503.37404223296</v>
      </c>
      <c r="P568" s="88">
        <f t="shared" si="299"/>
        <v>126503.37404223296</v>
      </c>
      <c r="Q568" s="88">
        <f t="shared" si="299"/>
        <v>126503.37404223296</v>
      </c>
      <c r="R568" s="88">
        <f t="shared" si="299"/>
        <v>126503.37404223296</v>
      </c>
      <c r="S568" s="88">
        <f t="shared" si="299"/>
        <v>126503.37404223296</v>
      </c>
      <c r="T568" s="88">
        <f t="shared" si="299"/>
        <v>129161.20585744572</v>
      </c>
      <c r="U568" s="88">
        <f t="shared" si="299"/>
        <v>129161.20585744572</v>
      </c>
      <c r="V568" s="88">
        <f t="shared" si="299"/>
        <v>129161.20585744572</v>
      </c>
      <c r="W568" s="88">
        <f t="shared" si="299"/>
        <v>129161.20585744572</v>
      </c>
      <c r="X568" s="88">
        <f t="shared" si="299"/>
        <v>129161.20585744572</v>
      </c>
      <c r="Y568" s="88">
        <f t="shared" si="299"/>
        <v>129161.20585744572</v>
      </c>
      <c r="Z568" s="88">
        <f t="shared" si="299"/>
        <v>129161.20585744572</v>
      </c>
    </row>
    <row r="569" spans="1:26" x14ac:dyDescent="0.2">
      <c r="A569" s="54"/>
    </row>
    <row r="570" spans="1:26" x14ac:dyDescent="0.2">
      <c r="A570" s="54"/>
    </row>
    <row r="572" spans="1:26" x14ac:dyDescent="0.2">
      <c r="A572" s="14" t="s">
        <v>375</v>
      </c>
      <c r="C572" s="183">
        <v>45307</v>
      </c>
      <c r="D572" s="183">
        <v>45338</v>
      </c>
      <c r="E572" s="183">
        <v>45366</v>
      </c>
      <c r="F572" s="183">
        <v>45397</v>
      </c>
      <c r="G572" s="183">
        <v>45427</v>
      </c>
      <c r="H572" s="183">
        <v>45458</v>
      </c>
      <c r="I572" s="183">
        <v>45488</v>
      </c>
      <c r="J572" s="183">
        <v>45519</v>
      </c>
      <c r="K572" s="183">
        <v>45550</v>
      </c>
      <c r="L572" s="183">
        <v>45580</v>
      </c>
      <c r="M572" s="183">
        <v>45611</v>
      </c>
      <c r="N572" s="183">
        <v>45641</v>
      </c>
      <c r="O572" s="183">
        <f t="shared" ref="O572:Z572" si="300">+O$2</f>
        <v>45673</v>
      </c>
      <c r="P572" s="183">
        <f t="shared" si="300"/>
        <v>45704</v>
      </c>
      <c r="Q572" s="183">
        <f t="shared" si="300"/>
        <v>45732</v>
      </c>
      <c r="R572" s="183">
        <f t="shared" si="300"/>
        <v>45763</v>
      </c>
      <c r="S572" s="183">
        <f t="shared" si="300"/>
        <v>45793</v>
      </c>
      <c r="T572" s="183">
        <f t="shared" si="300"/>
        <v>45824</v>
      </c>
      <c r="U572" s="183">
        <f t="shared" si="300"/>
        <v>45854</v>
      </c>
      <c r="V572" s="183">
        <f t="shared" si="300"/>
        <v>45885</v>
      </c>
      <c r="W572" s="183">
        <f t="shared" si="300"/>
        <v>45916</v>
      </c>
      <c r="X572" s="183">
        <f t="shared" si="300"/>
        <v>45946</v>
      </c>
      <c r="Y572" s="183">
        <f t="shared" si="300"/>
        <v>45977</v>
      </c>
      <c r="Z572" s="183">
        <f t="shared" si="300"/>
        <v>46007</v>
      </c>
    </row>
    <row r="573" spans="1:26" x14ac:dyDescent="0.2">
      <c r="A573" s="54" t="s">
        <v>527</v>
      </c>
      <c r="C573" s="112"/>
      <c r="D573" s="112"/>
      <c r="E573" s="112"/>
      <c r="F573" s="112"/>
      <c r="G573" s="112"/>
      <c r="H573" s="112"/>
      <c r="I573" s="112"/>
      <c r="J573" s="112"/>
      <c r="K573" s="112"/>
      <c r="L573" s="112"/>
      <c r="M573" s="112"/>
      <c r="N573" s="112"/>
      <c r="O573" s="112"/>
      <c r="P573" s="112"/>
      <c r="Q573" s="112"/>
      <c r="R573" s="112"/>
      <c r="S573" s="112"/>
      <c r="T573" s="112"/>
      <c r="U573" s="112"/>
      <c r="V573" s="112"/>
      <c r="W573" s="112"/>
      <c r="X573" s="112"/>
      <c r="Y573" s="112"/>
      <c r="Z573" s="112"/>
    </row>
    <row r="574" spans="1:26" x14ac:dyDescent="0.2">
      <c r="A574" s="54" t="s">
        <v>528</v>
      </c>
      <c r="C574" s="112"/>
      <c r="D574" s="112"/>
      <c r="E574" s="112"/>
      <c r="F574" s="112"/>
      <c r="G574" s="112"/>
      <c r="H574" s="112"/>
      <c r="I574" s="112"/>
      <c r="J574" s="112"/>
      <c r="K574" s="112"/>
      <c r="L574" s="112"/>
      <c r="M574" s="112"/>
      <c r="N574" s="112"/>
      <c r="O574" s="112"/>
      <c r="P574" s="112"/>
      <c r="Q574" s="112"/>
      <c r="R574" s="112"/>
      <c r="S574" s="112"/>
      <c r="T574" s="112"/>
      <c r="U574" s="112"/>
      <c r="V574" s="112"/>
      <c r="W574" s="112"/>
      <c r="X574" s="112"/>
      <c r="Y574" s="112"/>
      <c r="Z574" s="112"/>
    </row>
    <row r="575" spans="1:26" x14ac:dyDescent="0.2">
      <c r="A575" s="54" t="s">
        <v>397</v>
      </c>
      <c r="C575" s="112"/>
      <c r="D575" s="112"/>
      <c r="E575" s="112"/>
      <c r="F575" s="112"/>
      <c r="G575" s="112"/>
      <c r="H575" s="112"/>
      <c r="I575" s="112"/>
      <c r="J575" s="112"/>
      <c r="K575" s="112"/>
      <c r="L575" s="112"/>
      <c r="M575" s="112"/>
      <c r="N575" s="112"/>
      <c r="O575" s="112"/>
      <c r="P575" s="112"/>
      <c r="Q575" s="112"/>
      <c r="R575" s="112"/>
      <c r="S575" s="112"/>
      <c r="T575" s="112"/>
      <c r="U575" s="112"/>
      <c r="V575" s="112"/>
      <c r="W575" s="112"/>
      <c r="X575" s="112"/>
      <c r="Y575" s="112"/>
      <c r="Z575" s="112"/>
    </row>
    <row r="576" spans="1:26" x14ac:dyDescent="0.2">
      <c r="A576" s="54" t="s">
        <v>399</v>
      </c>
      <c r="C576" s="112"/>
      <c r="D576" s="112"/>
      <c r="E576" s="112"/>
      <c r="F576" s="112"/>
      <c r="G576" s="112"/>
      <c r="H576" s="112"/>
      <c r="I576" s="112"/>
      <c r="J576" s="112"/>
      <c r="K576" s="112"/>
      <c r="L576" s="112"/>
      <c r="M576" s="112"/>
      <c r="N576" s="112"/>
      <c r="O576" s="112"/>
      <c r="P576" s="112"/>
      <c r="Q576" s="112"/>
      <c r="R576" s="112"/>
      <c r="S576" s="112"/>
      <c r="T576" s="112"/>
      <c r="U576" s="112"/>
      <c r="V576" s="112"/>
      <c r="W576" s="112"/>
      <c r="X576" s="112"/>
      <c r="Y576" s="112"/>
      <c r="Z576" s="112"/>
    </row>
    <row r="577" spans="1:26" x14ac:dyDescent="0.2">
      <c r="A577" s="54" t="s">
        <v>396</v>
      </c>
      <c r="C577" s="112"/>
      <c r="D577" s="112"/>
      <c r="E577" s="112"/>
      <c r="F577" s="112"/>
      <c r="G577" s="112"/>
      <c r="H577" s="112"/>
      <c r="I577" s="112"/>
      <c r="J577" s="112"/>
      <c r="K577" s="112"/>
      <c r="L577" s="112"/>
      <c r="M577" s="112"/>
      <c r="N577" s="112"/>
      <c r="O577" s="112"/>
      <c r="P577" s="112"/>
      <c r="Q577" s="112"/>
      <c r="R577" s="112"/>
      <c r="S577" s="112"/>
      <c r="T577" s="112"/>
      <c r="U577" s="112"/>
      <c r="V577" s="112"/>
      <c r="W577" s="112"/>
      <c r="X577" s="112"/>
      <c r="Y577" s="112"/>
      <c r="Z577" s="112"/>
    </row>
    <row r="578" spans="1:26" x14ac:dyDescent="0.2">
      <c r="A578" s="54" t="s">
        <v>398</v>
      </c>
      <c r="C578" s="112"/>
      <c r="D578" s="112"/>
      <c r="E578" s="112"/>
      <c r="F578" s="112"/>
      <c r="G578" s="112"/>
      <c r="H578" s="112"/>
      <c r="I578" s="112"/>
      <c r="J578" s="112"/>
      <c r="K578" s="112"/>
      <c r="L578" s="112"/>
      <c r="M578" s="112"/>
      <c r="N578" s="112"/>
      <c r="O578" s="112"/>
      <c r="P578" s="112"/>
      <c r="Q578" s="112"/>
      <c r="R578" s="112"/>
      <c r="S578" s="112"/>
      <c r="T578" s="112"/>
      <c r="U578" s="112"/>
      <c r="V578" s="112"/>
      <c r="W578" s="112"/>
      <c r="X578" s="112"/>
      <c r="Y578" s="112"/>
      <c r="Z578" s="112"/>
    </row>
    <row r="579" spans="1:26" x14ac:dyDescent="0.2">
      <c r="A579" s="54"/>
    </row>
    <row r="580" spans="1:26" x14ac:dyDescent="0.2">
      <c r="A580" s="54"/>
    </row>
    <row r="581" spans="1:26" x14ac:dyDescent="0.2">
      <c r="A581" s="54" t="s">
        <v>37</v>
      </c>
      <c r="C581" s="88">
        <v>0</v>
      </c>
      <c r="D581" s="88">
        <v>0</v>
      </c>
      <c r="E581" s="88">
        <v>0</v>
      </c>
      <c r="F581" s="88">
        <v>0</v>
      </c>
      <c r="G581" s="88">
        <v>0</v>
      </c>
      <c r="H581" s="88">
        <v>0</v>
      </c>
      <c r="I581" s="88">
        <v>0</v>
      </c>
      <c r="J581" s="88">
        <v>0</v>
      </c>
      <c r="K581" s="88">
        <v>0</v>
      </c>
      <c r="L581" s="88">
        <v>0</v>
      </c>
      <c r="M581" s="88">
        <v>0</v>
      </c>
      <c r="N581" s="88">
        <v>0</v>
      </c>
      <c r="O581" s="88">
        <f t="shared" ref="O581:Z581" si="301">+(O579*O580+O577*O578+O576*O575+O573*O574)*1000</f>
        <v>0</v>
      </c>
      <c r="P581" s="88">
        <f t="shared" si="301"/>
        <v>0</v>
      </c>
      <c r="Q581" s="88">
        <f t="shared" si="301"/>
        <v>0</v>
      </c>
      <c r="R581" s="88">
        <f t="shared" si="301"/>
        <v>0</v>
      </c>
      <c r="S581" s="88">
        <f t="shared" si="301"/>
        <v>0</v>
      </c>
      <c r="T581" s="88">
        <f t="shared" si="301"/>
        <v>0</v>
      </c>
      <c r="U581" s="88">
        <f t="shared" si="301"/>
        <v>0</v>
      </c>
      <c r="V581" s="88">
        <f t="shared" si="301"/>
        <v>0</v>
      </c>
      <c r="W581" s="88">
        <f t="shared" si="301"/>
        <v>0</v>
      </c>
      <c r="X581" s="88">
        <f t="shared" si="301"/>
        <v>0</v>
      </c>
      <c r="Y581" s="88">
        <f t="shared" si="301"/>
        <v>0</v>
      </c>
      <c r="Z581" s="88">
        <f t="shared" si="301"/>
        <v>0</v>
      </c>
    </row>
    <row r="582" spans="1:26" x14ac:dyDescent="0.2">
      <c r="A582" s="54"/>
    </row>
    <row r="583" spans="1:26" hidden="1" x14ac:dyDescent="0.2">
      <c r="A583" s="54"/>
    </row>
    <row r="584" spans="1:26" hidden="1" x14ac:dyDescent="0.2"/>
    <row r="585" spans="1:26" hidden="1" x14ac:dyDescent="0.2"/>
    <row r="586" spans="1:26" hidden="1" x14ac:dyDescent="0.2"/>
    <row r="587" spans="1:26" hidden="1" x14ac:dyDescent="0.2">
      <c r="A587" s="14" t="s">
        <v>272</v>
      </c>
    </row>
    <row r="588" spans="1:26" hidden="1" x14ac:dyDescent="0.2">
      <c r="A588" t="s">
        <v>273</v>
      </c>
      <c r="C588" s="74">
        <v>45307</v>
      </c>
      <c r="D588" s="74">
        <v>45338</v>
      </c>
      <c r="E588" s="74">
        <v>45366</v>
      </c>
      <c r="F588" s="74">
        <v>45397</v>
      </c>
      <c r="G588" s="74">
        <v>45427</v>
      </c>
      <c r="H588" s="74">
        <v>45458</v>
      </c>
      <c r="I588" s="74">
        <v>45488</v>
      </c>
      <c r="J588" s="74">
        <v>45519</v>
      </c>
      <c r="K588" s="74">
        <v>45550</v>
      </c>
      <c r="L588" s="74">
        <v>45580</v>
      </c>
      <c r="M588" s="74">
        <v>45611</v>
      </c>
      <c r="N588" s="74">
        <v>45641</v>
      </c>
      <c r="O588" s="74">
        <f t="shared" ref="O588:Z588" si="302">+O544</f>
        <v>45673</v>
      </c>
      <c r="P588" s="74">
        <f t="shared" si="302"/>
        <v>45704</v>
      </c>
      <c r="Q588" s="74">
        <f t="shared" si="302"/>
        <v>45732</v>
      </c>
      <c r="R588" s="74">
        <f t="shared" si="302"/>
        <v>45763</v>
      </c>
      <c r="S588" s="74">
        <f t="shared" si="302"/>
        <v>45793</v>
      </c>
      <c r="T588" s="74">
        <f t="shared" si="302"/>
        <v>45824</v>
      </c>
      <c r="U588" s="74">
        <f t="shared" si="302"/>
        <v>45854</v>
      </c>
      <c r="V588" s="74">
        <f t="shared" si="302"/>
        <v>45885</v>
      </c>
      <c r="W588" s="74">
        <f t="shared" si="302"/>
        <v>45916</v>
      </c>
      <c r="X588" s="74">
        <f t="shared" si="302"/>
        <v>45946</v>
      </c>
      <c r="Y588" s="74">
        <f t="shared" si="302"/>
        <v>45977</v>
      </c>
      <c r="Z588" s="74">
        <f t="shared" si="302"/>
        <v>46007</v>
      </c>
    </row>
    <row r="589" spans="1:26" hidden="1" x14ac:dyDescent="0.2">
      <c r="A589" t="s">
        <v>226</v>
      </c>
      <c r="C589" s="32"/>
      <c r="D589" s="32"/>
      <c r="E589" s="32"/>
      <c r="F589" s="32"/>
      <c r="G589" s="32"/>
      <c r="H589" s="32"/>
      <c r="I589" s="32"/>
      <c r="J589" s="32"/>
      <c r="K589" s="32"/>
      <c r="L589" s="32"/>
      <c r="M589" s="32"/>
      <c r="N589" s="32"/>
      <c r="O589" s="32"/>
      <c r="P589" s="32"/>
      <c r="Q589" s="32"/>
      <c r="R589" s="32"/>
      <c r="S589" s="32"/>
      <c r="T589" s="32"/>
      <c r="U589" s="32"/>
      <c r="V589" s="32"/>
      <c r="W589" s="32"/>
      <c r="X589" s="32"/>
      <c r="Y589" s="32"/>
      <c r="Z589" s="32"/>
    </row>
    <row r="590" spans="1:26" hidden="1" x14ac:dyDescent="0.2">
      <c r="A590" t="s">
        <v>13</v>
      </c>
      <c r="C590" s="32"/>
      <c r="D590" s="32"/>
      <c r="E590" s="32"/>
      <c r="F590" s="32"/>
      <c r="G590" s="32"/>
      <c r="H590" s="32"/>
      <c r="I590" s="32"/>
      <c r="J590" s="32"/>
      <c r="K590" s="32"/>
      <c r="L590" s="32"/>
      <c r="M590" s="32"/>
      <c r="N590" s="32"/>
      <c r="O590" s="32"/>
      <c r="P590" s="32"/>
      <c r="Q590" s="32"/>
      <c r="R590" s="32"/>
      <c r="S590" s="32"/>
      <c r="T590" s="32"/>
      <c r="U590" s="32"/>
      <c r="V590" s="32"/>
      <c r="W590" s="32"/>
      <c r="X590" s="32"/>
      <c r="Y590" s="32"/>
      <c r="Z590" s="32"/>
    </row>
    <row r="591" spans="1:26" hidden="1" x14ac:dyDescent="0.2">
      <c r="A591" s="54" t="s">
        <v>346</v>
      </c>
      <c r="C591" s="32"/>
      <c r="D591" s="32"/>
      <c r="E591" s="32"/>
      <c r="F591" s="32"/>
      <c r="G591" s="32"/>
      <c r="H591" s="32"/>
      <c r="I591" s="32"/>
      <c r="J591" s="32"/>
      <c r="K591" s="32"/>
      <c r="L591" s="32"/>
      <c r="M591" s="32"/>
      <c r="N591" s="32"/>
      <c r="O591" s="32"/>
      <c r="P591" s="32"/>
      <c r="Q591" s="32"/>
      <c r="R591" s="32"/>
      <c r="S591" s="32"/>
      <c r="T591" s="32"/>
      <c r="U591" s="32"/>
      <c r="V591" s="32"/>
      <c r="W591" s="32"/>
      <c r="X591" s="32"/>
      <c r="Y591" s="32"/>
      <c r="Z591" s="32"/>
    </row>
    <row r="592" spans="1:26" hidden="1" x14ac:dyDescent="0.2">
      <c r="A592" s="54" t="s">
        <v>226</v>
      </c>
      <c r="C592" s="32"/>
      <c r="D592" s="32"/>
      <c r="E592" s="32"/>
      <c r="F592" s="32"/>
      <c r="G592" s="32"/>
      <c r="H592" s="32"/>
      <c r="I592" s="32"/>
      <c r="J592" s="32"/>
      <c r="K592" s="32"/>
      <c r="L592" s="32"/>
      <c r="M592" s="32"/>
      <c r="N592" s="32"/>
      <c r="O592" s="32"/>
      <c r="P592" s="32"/>
      <c r="Q592" s="32"/>
      <c r="R592" s="32"/>
      <c r="S592" s="32"/>
      <c r="T592" s="32"/>
      <c r="U592" s="32"/>
      <c r="V592" s="32"/>
      <c r="W592" s="32"/>
      <c r="X592" s="32"/>
      <c r="Y592" s="32"/>
      <c r="Z592" s="32"/>
    </row>
    <row r="593" spans="1:26" hidden="1" x14ac:dyDescent="0.2">
      <c r="A593" s="54" t="s">
        <v>281</v>
      </c>
      <c r="C593" s="32"/>
      <c r="D593" s="32"/>
      <c r="E593" s="32"/>
      <c r="F593" s="32"/>
      <c r="G593" s="32"/>
      <c r="H593" s="32"/>
      <c r="I593" s="32"/>
      <c r="J593" s="32"/>
      <c r="K593" s="32"/>
      <c r="L593" s="32"/>
      <c r="M593" s="32"/>
      <c r="N593" s="32"/>
      <c r="O593" s="32"/>
      <c r="P593" s="32"/>
      <c r="Q593" s="32"/>
      <c r="R593" s="32"/>
      <c r="S593" s="32"/>
      <c r="T593" s="32"/>
      <c r="U593" s="32"/>
      <c r="V593" s="32"/>
      <c r="W593" s="32"/>
      <c r="X593" s="32"/>
      <c r="Y593" s="32"/>
      <c r="Z593" s="32"/>
    </row>
    <row r="594" spans="1:26" s="112" customFormat="1" hidden="1" x14ac:dyDescent="0.2">
      <c r="A594" s="135" t="s">
        <v>348</v>
      </c>
    </row>
    <row r="595" spans="1:26" s="112" customFormat="1" hidden="1" x14ac:dyDescent="0.2">
      <c r="A595" s="135" t="s">
        <v>347</v>
      </c>
    </row>
    <row r="596" spans="1:26" s="112" customFormat="1" hidden="1" x14ac:dyDescent="0.2"/>
    <row r="597" spans="1:26" hidden="1" x14ac:dyDescent="0.2">
      <c r="A597" t="s">
        <v>226</v>
      </c>
    </row>
    <row r="598" spans="1:26" hidden="1" x14ac:dyDescent="0.2">
      <c r="A598" t="s">
        <v>13</v>
      </c>
    </row>
    <row r="599" spans="1:26" hidden="1" x14ac:dyDescent="0.2">
      <c r="A599" t="s">
        <v>24</v>
      </c>
    </row>
    <row r="600" spans="1:26" hidden="1" x14ac:dyDescent="0.2"/>
    <row r="601" spans="1:26" hidden="1" x14ac:dyDescent="0.2"/>
    <row r="602" spans="1:26" hidden="1" x14ac:dyDescent="0.2"/>
    <row r="604" spans="1:26" x14ac:dyDescent="0.2">
      <c r="A604" s="14" t="s">
        <v>631</v>
      </c>
    </row>
    <row r="605" spans="1:26" x14ac:dyDescent="0.2">
      <c r="C605" s="74">
        <v>45307</v>
      </c>
      <c r="D605" s="74">
        <v>45338</v>
      </c>
      <c r="E605" s="74">
        <v>45366</v>
      </c>
      <c r="F605" s="74">
        <v>45397</v>
      </c>
      <c r="G605" s="74">
        <v>45427</v>
      </c>
      <c r="H605" s="74">
        <v>45458</v>
      </c>
      <c r="I605" s="74">
        <v>45488</v>
      </c>
      <c r="J605" s="74">
        <v>45519</v>
      </c>
      <c r="K605" s="74">
        <v>45550</v>
      </c>
      <c r="L605" s="74">
        <v>45580</v>
      </c>
      <c r="M605" s="74">
        <v>45611</v>
      </c>
      <c r="N605" s="74">
        <v>45641</v>
      </c>
      <c r="O605" s="74">
        <f t="shared" ref="O605:Z605" si="303">+O2</f>
        <v>45673</v>
      </c>
      <c r="P605" s="74">
        <f t="shared" si="303"/>
        <v>45704</v>
      </c>
      <c r="Q605" s="74">
        <f t="shared" si="303"/>
        <v>45732</v>
      </c>
      <c r="R605" s="74">
        <f t="shared" si="303"/>
        <v>45763</v>
      </c>
      <c r="S605" s="74">
        <f t="shared" si="303"/>
        <v>45793</v>
      </c>
      <c r="T605" s="74">
        <f t="shared" si="303"/>
        <v>45824</v>
      </c>
      <c r="U605" s="74">
        <f t="shared" si="303"/>
        <v>45854</v>
      </c>
      <c r="V605" s="74">
        <f t="shared" si="303"/>
        <v>45885</v>
      </c>
      <c r="W605" s="74">
        <f t="shared" si="303"/>
        <v>45916</v>
      </c>
      <c r="X605" s="74">
        <f t="shared" si="303"/>
        <v>45946</v>
      </c>
      <c r="Y605" s="74">
        <f t="shared" si="303"/>
        <v>45977</v>
      </c>
      <c r="Z605" s="74">
        <f t="shared" si="303"/>
        <v>46007</v>
      </c>
    </row>
    <row r="606" spans="1:26" x14ac:dyDescent="0.2">
      <c r="A606" t="s">
        <v>608</v>
      </c>
      <c r="C606" s="204">
        <v>9.5</v>
      </c>
      <c r="D606" s="204">
        <v>10.4</v>
      </c>
      <c r="E606" s="204">
        <v>5.0999999999999996</v>
      </c>
      <c r="F606" s="204">
        <v>1.2</v>
      </c>
      <c r="G606" s="204">
        <v>0</v>
      </c>
      <c r="H606" s="204">
        <v>3.4</v>
      </c>
      <c r="I606" s="204">
        <v>6.6</v>
      </c>
      <c r="J606" s="204">
        <v>3.6</v>
      </c>
      <c r="K606" s="204">
        <v>1.8</v>
      </c>
      <c r="L606" s="204">
        <v>3.1</v>
      </c>
      <c r="M606" s="204">
        <v>4.4000000000000004</v>
      </c>
      <c r="N606" s="204">
        <v>7.9</v>
      </c>
      <c r="O606" s="204">
        <v>9.5</v>
      </c>
      <c r="P606" s="204">
        <v>10.4</v>
      </c>
      <c r="Q606" s="204">
        <v>5.0999999999999996</v>
      </c>
      <c r="R606" s="204">
        <v>1.2</v>
      </c>
      <c r="S606" s="204">
        <v>0</v>
      </c>
      <c r="T606" s="204">
        <v>3.4</v>
      </c>
      <c r="U606" s="204">
        <v>6.6</v>
      </c>
      <c r="V606" s="204">
        <v>3.6</v>
      </c>
      <c r="W606" s="204">
        <v>1.8</v>
      </c>
      <c r="X606" s="204">
        <v>3.1</v>
      </c>
      <c r="Y606" s="204">
        <v>4.4000000000000004</v>
      </c>
      <c r="Z606" s="204">
        <v>7.9</v>
      </c>
    </row>
    <row r="607" spans="1:26" x14ac:dyDescent="0.2">
      <c r="A607" t="s">
        <v>609</v>
      </c>
      <c r="C607" s="43">
        <v>3344</v>
      </c>
      <c r="D607" s="43">
        <v>3494.4</v>
      </c>
      <c r="E607" s="43">
        <v>1713.6</v>
      </c>
      <c r="F607" s="43">
        <v>422.4</v>
      </c>
      <c r="G607" s="43">
        <v>0</v>
      </c>
      <c r="H607" s="43">
        <v>1088</v>
      </c>
      <c r="I607" s="43">
        <v>2323.1999999999998</v>
      </c>
      <c r="J607" s="43">
        <v>1267.2</v>
      </c>
      <c r="K607" s="43">
        <v>576</v>
      </c>
      <c r="L607" s="43">
        <v>1140.8</v>
      </c>
      <c r="M607" s="43">
        <v>1408</v>
      </c>
      <c r="N607" s="43">
        <v>2654.4</v>
      </c>
      <c r="O607" s="43">
        <f t="shared" ref="O607:Z607" si="304">O606*O34</f>
        <v>3344</v>
      </c>
      <c r="P607" s="43">
        <f t="shared" si="304"/>
        <v>3328</v>
      </c>
      <c r="Q607" s="43">
        <f t="shared" si="304"/>
        <v>1713.6</v>
      </c>
      <c r="R607" s="43">
        <f t="shared" si="304"/>
        <v>422.4</v>
      </c>
      <c r="S607" s="43">
        <f t="shared" si="304"/>
        <v>0</v>
      </c>
      <c r="T607" s="43">
        <f t="shared" si="304"/>
        <v>1142.3999999999999</v>
      </c>
      <c r="U607" s="43">
        <f t="shared" si="304"/>
        <v>2323.1999999999998</v>
      </c>
      <c r="V607" s="43">
        <f t="shared" si="304"/>
        <v>1209.6000000000001</v>
      </c>
      <c r="W607" s="43">
        <f t="shared" si="304"/>
        <v>604.80000000000007</v>
      </c>
      <c r="X607" s="43">
        <f t="shared" si="304"/>
        <v>1140.8</v>
      </c>
      <c r="Y607" s="43">
        <f t="shared" si="304"/>
        <v>1337.6000000000001</v>
      </c>
      <c r="Z607" s="43">
        <f t="shared" si="304"/>
        <v>2780.8</v>
      </c>
    </row>
    <row r="608" spans="1:26" x14ac:dyDescent="0.2">
      <c r="A608" t="s">
        <v>610</v>
      </c>
      <c r="C608" s="204">
        <v>8.3000000000000007</v>
      </c>
      <c r="D608" s="204">
        <v>8.5</v>
      </c>
      <c r="E608" s="204">
        <v>2.2000000000000002</v>
      </c>
      <c r="F608" s="204">
        <v>0</v>
      </c>
      <c r="G608" s="204">
        <v>0</v>
      </c>
      <c r="H608" s="204">
        <v>0</v>
      </c>
      <c r="I608" s="204">
        <v>3.8</v>
      </c>
      <c r="J608" s="204">
        <v>1</v>
      </c>
      <c r="K608" s="204">
        <v>0</v>
      </c>
      <c r="L608" s="204">
        <v>0</v>
      </c>
      <c r="M608" s="204">
        <v>2.4</v>
      </c>
      <c r="N608" s="204">
        <v>6.1</v>
      </c>
      <c r="O608" s="204">
        <v>8.3000000000000007</v>
      </c>
      <c r="P608" s="204">
        <v>8.5</v>
      </c>
      <c r="Q608" s="204">
        <v>2.2000000000000002</v>
      </c>
      <c r="R608" s="204">
        <v>0</v>
      </c>
      <c r="S608" s="204">
        <v>0</v>
      </c>
      <c r="T608" s="204">
        <v>0</v>
      </c>
      <c r="U608" s="204">
        <v>3.8</v>
      </c>
      <c r="V608" s="204">
        <v>1</v>
      </c>
      <c r="W608" s="204">
        <v>0</v>
      </c>
      <c r="X608" s="204">
        <v>0</v>
      </c>
      <c r="Y608" s="204">
        <v>2.4</v>
      </c>
      <c r="Z608" s="204">
        <v>6.1</v>
      </c>
    </row>
    <row r="609" spans="1:26" x14ac:dyDescent="0.2">
      <c r="A609" t="s">
        <v>611</v>
      </c>
      <c r="C609" s="43">
        <v>1195.2</v>
      </c>
      <c r="D609" s="43">
        <v>1088</v>
      </c>
      <c r="E609" s="43">
        <v>352</v>
      </c>
      <c r="F609" s="43">
        <v>0</v>
      </c>
      <c r="G609" s="43">
        <v>0</v>
      </c>
      <c r="H609" s="43">
        <v>0</v>
      </c>
      <c r="I609" s="43">
        <v>547.19999999999993</v>
      </c>
      <c r="J609" s="43">
        <v>144</v>
      </c>
      <c r="K609" s="43">
        <v>0</v>
      </c>
      <c r="L609" s="43">
        <v>0</v>
      </c>
      <c r="M609" s="43">
        <v>384</v>
      </c>
      <c r="N609" s="43">
        <v>976</v>
      </c>
      <c r="O609" s="43">
        <f t="shared" ref="O609:Z609" si="305">O608*O48</f>
        <v>1195.2</v>
      </c>
      <c r="P609" s="43">
        <f t="shared" si="305"/>
        <v>1088</v>
      </c>
      <c r="Q609" s="43">
        <f t="shared" si="305"/>
        <v>352</v>
      </c>
      <c r="R609" s="43">
        <f t="shared" si="305"/>
        <v>0</v>
      </c>
      <c r="S609" s="43">
        <f t="shared" si="305"/>
        <v>0</v>
      </c>
      <c r="T609" s="43">
        <f t="shared" si="305"/>
        <v>0</v>
      </c>
      <c r="U609" s="43">
        <f t="shared" si="305"/>
        <v>547.19999999999993</v>
      </c>
      <c r="V609" s="43">
        <f t="shared" si="305"/>
        <v>160</v>
      </c>
      <c r="W609" s="43">
        <f t="shared" si="305"/>
        <v>0</v>
      </c>
      <c r="X609" s="43">
        <f t="shared" si="305"/>
        <v>0</v>
      </c>
      <c r="Y609" s="43">
        <f t="shared" si="305"/>
        <v>422.4</v>
      </c>
      <c r="Z609" s="43">
        <f t="shared" si="305"/>
        <v>878.4</v>
      </c>
    </row>
    <row r="610" spans="1:26" x14ac:dyDescent="0.2">
      <c r="A610" t="s">
        <v>612</v>
      </c>
      <c r="C610" s="204">
        <v>15.2</v>
      </c>
      <c r="D610" s="204">
        <v>17.3</v>
      </c>
      <c r="E610" s="204">
        <v>14.6</v>
      </c>
      <c r="F610" s="204">
        <v>10.6</v>
      </c>
      <c r="G610" s="204">
        <v>10</v>
      </c>
      <c r="H610" s="204">
        <v>12.8</v>
      </c>
      <c r="I610" s="204">
        <v>15.3</v>
      </c>
      <c r="J610" s="204">
        <v>12.9</v>
      </c>
      <c r="K610" s="204">
        <v>11.3</v>
      </c>
      <c r="L610" s="204">
        <v>10.7</v>
      </c>
      <c r="M610" s="204">
        <v>11.1</v>
      </c>
      <c r="N610" s="204">
        <v>12.9</v>
      </c>
      <c r="O610" s="204">
        <v>15.2</v>
      </c>
      <c r="P610" s="204">
        <v>17.3</v>
      </c>
      <c r="Q610" s="204">
        <v>14.6</v>
      </c>
      <c r="R610" s="204">
        <v>10.6</v>
      </c>
      <c r="S610" s="204">
        <v>10</v>
      </c>
      <c r="T610" s="204">
        <v>12.8</v>
      </c>
      <c r="U610" s="204">
        <v>15.3</v>
      </c>
      <c r="V610" s="204">
        <v>12.9</v>
      </c>
      <c r="W610" s="204">
        <v>11.3</v>
      </c>
      <c r="X610" s="204">
        <v>10.7</v>
      </c>
      <c r="Y610" s="204">
        <v>11.1</v>
      </c>
      <c r="Z610" s="204">
        <v>12.9</v>
      </c>
    </row>
    <row r="611" spans="1:26" x14ac:dyDescent="0.2">
      <c r="A611" t="s">
        <v>613</v>
      </c>
      <c r="C611" s="43">
        <v>3769.6</v>
      </c>
      <c r="D611" s="43">
        <v>4013.6000000000004</v>
      </c>
      <c r="E611" s="43">
        <v>3606.2</v>
      </c>
      <c r="F611" s="43">
        <v>2544</v>
      </c>
      <c r="G611" s="43">
        <v>2480</v>
      </c>
      <c r="H611" s="43">
        <v>3072</v>
      </c>
      <c r="I611" s="43">
        <v>3794.4</v>
      </c>
      <c r="J611" s="43">
        <v>3199.2000000000003</v>
      </c>
      <c r="K611" s="43">
        <v>2712</v>
      </c>
      <c r="L611" s="43">
        <v>2653.6</v>
      </c>
      <c r="M611" s="43">
        <v>2675.1</v>
      </c>
      <c r="N611" s="43">
        <v>3199.2000000000003</v>
      </c>
      <c r="O611" s="43">
        <f t="shared" ref="O611:Z611" si="306">O610*O47</f>
        <v>3769.6</v>
      </c>
      <c r="P611" s="43">
        <f t="shared" si="306"/>
        <v>3875.2000000000003</v>
      </c>
      <c r="Q611" s="43">
        <f t="shared" si="306"/>
        <v>3606.2</v>
      </c>
      <c r="R611" s="43">
        <f t="shared" si="306"/>
        <v>2544</v>
      </c>
      <c r="S611" s="43">
        <f t="shared" si="306"/>
        <v>2480</v>
      </c>
      <c r="T611" s="43">
        <f t="shared" si="306"/>
        <v>3072</v>
      </c>
      <c r="U611" s="43">
        <f t="shared" si="306"/>
        <v>3794.4</v>
      </c>
      <c r="V611" s="43">
        <f t="shared" si="306"/>
        <v>3199.2000000000003</v>
      </c>
      <c r="W611" s="43">
        <f t="shared" si="306"/>
        <v>2712</v>
      </c>
      <c r="X611" s="43">
        <f t="shared" si="306"/>
        <v>2653.6</v>
      </c>
      <c r="Y611" s="43">
        <f t="shared" si="306"/>
        <v>2675.1</v>
      </c>
      <c r="Z611" s="43">
        <f t="shared" si="306"/>
        <v>3199.2000000000003</v>
      </c>
    </row>
    <row r="612" spans="1:26" x14ac:dyDescent="0.2">
      <c r="A612" t="s">
        <v>158</v>
      </c>
      <c r="C612" s="216">
        <v>8308.7999999999993</v>
      </c>
      <c r="D612" s="216">
        <v>8596</v>
      </c>
      <c r="E612" s="216">
        <v>5671.7999999999993</v>
      </c>
      <c r="F612" s="216">
        <v>2966.4</v>
      </c>
      <c r="G612" s="216">
        <v>2480</v>
      </c>
      <c r="H612" s="216">
        <v>4160</v>
      </c>
      <c r="I612" s="216">
        <v>6664.8</v>
      </c>
      <c r="J612" s="216">
        <v>4610.4000000000005</v>
      </c>
      <c r="K612" s="216">
        <v>3288</v>
      </c>
      <c r="L612" s="216">
        <v>3794.3999999999996</v>
      </c>
      <c r="M612" s="216">
        <v>4467.1000000000004</v>
      </c>
      <c r="N612" s="216">
        <v>6829.6</v>
      </c>
      <c r="O612" s="216">
        <f t="shared" ref="O612:Z612" si="307">O611+O609+O607</f>
        <v>8308.7999999999993</v>
      </c>
      <c r="P612" s="216">
        <f t="shared" si="307"/>
        <v>8291.2000000000007</v>
      </c>
      <c r="Q612" s="216">
        <f t="shared" si="307"/>
        <v>5671.7999999999993</v>
      </c>
      <c r="R612" s="216">
        <f t="shared" si="307"/>
        <v>2966.4</v>
      </c>
      <c r="S612" s="216">
        <f t="shared" si="307"/>
        <v>2480</v>
      </c>
      <c r="T612" s="216">
        <f t="shared" si="307"/>
        <v>4214.3999999999996</v>
      </c>
      <c r="U612" s="216">
        <f t="shared" si="307"/>
        <v>6664.8</v>
      </c>
      <c r="V612" s="216">
        <f t="shared" si="307"/>
        <v>4568.8</v>
      </c>
      <c r="W612" s="216">
        <f t="shared" si="307"/>
        <v>3316.8</v>
      </c>
      <c r="X612" s="216">
        <f t="shared" si="307"/>
        <v>3794.3999999999996</v>
      </c>
      <c r="Y612" s="216">
        <f t="shared" si="307"/>
        <v>4435.1000000000004</v>
      </c>
      <c r="Z612" s="216">
        <f t="shared" si="307"/>
        <v>6858.4000000000005</v>
      </c>
    </row>
    <row r="613" spans="1:26" x14ac:dyDescent="0.2">
      <c r="A613" t="s">
        <v>229</v>
      </c>
      <c r="C613" s="131">
        <v>62.29</v>
      </c>
      <c r="D613">
        <v>62.29</v>
      </c>
      <c r="E613">
        <v>62.29</v>
      </c>
      <c r="F613">
        <v>62.29</v>
      </c>
      <c r="G613">
        <v>62.29</v>
      </c>
      <c r="H613">
        <v>62.29</v>
      </c>
      <c r="I613">
        <v>62.29</v>
      </c>
      <c r="J613">
        <v>62.29</v>
      </c>
      <c r="K613">
        <v>62.29</v>
      </c>
      <c r="L613">
        <v>62.29</v>
      </c>
      <c r="M613">
        <v>62.29</v>
      </c>
      <c r="N613">
        <v>62.29</v>
      </c>
      <c r="O613">
        <f t="shared" ref="O613:Z613" si="308">N613</f>
        <v>62.29</v>
      </c>
      <c r="P613">
        <f t="shared" si="308"/>
        <v>62.29</v>
      </c>
      <c r="Q613">
        <f t="shared" si="308"/>
        <v>62.29</v>
      </c>
      <c r="R613">
        <f t="shared" si="308"/>
        <v>62.29</v>
      </c>
      <c r="S613">
        <f t="shared" si="308"/>
        <v>62.29</v>
      </c>
      <c r="T613">
        <f t="shared" si="308"/>
        <v>62.29</v>
      </c>
      <c r="U613">
        <f t="shared" si="308"/>
        <v>62.29</v>
      </c>
      <c r="V613">
        <f t="shared" si="308"/>
        <v>62.29</v>
      </c>
      <c r="W613">
        <f t="shared" si="308"/>
        <v>62.29</v>
      </c>
      <c r="X613">
        <f t="shared" si="308"/>
        <v>62.29</v>
      </c>
      <c r="Y613">
        <f t="shared" si="308"/>
        <v>62.29</v>
      </c>
      <c r="Z613">
        <f t="shared" si="308"/>
        <v>62.29</v>
      </c>
    </row>
    <row r="614" spans="1:26" x14ac:dyDescent="0.2">
      <c r="A614" t="s">
        <v>24</v>
      </c>
      <c r="C614" s="165">
        <v>517555.15199999994</v>
      </c>
      <c r="D614" s="165">
        <v>535444.84</v>
      </c>
      <c r="E614" s="165">
        <v>353296.42199999996</v>
      </c>
      <c r="F614" s="165">
        <v>184777.05600000001</v>
      </c>
      <c r="G614" s="165">
        <v>154479.20000000001</v>
      </c>
      <c r="H614" s="165">
        <v>259126.39999999999</v>
      </c>
      <c r="I614" s="165">
        <v>415150.39199999999</v>
      </c>
      <c r="J614" s="165">
        <v>287181.81600000005</v>
      </c>
      <c r="K614" s="165">
        <v>204809.52</v>
      </c>
      <c r="L614" s="165">
        <v>236353.17599999998</v>
      </c>
      <c r="M614" s="165">
        <v>278255.65900000004</v>
      </c>
      <c r="N614" s="165">
        <v>425415.78400000004</v>
      </c>
      <c r="O614" s="165">
        <f t="shared" ref="O614:Z614" si="309">O612*O613</f>
        <v>517555.15199999994</v>
      </c>
      <c r="P614" s="165">
        <f t="shared" si="309"/>
        <v>516458.84800000006</v>
      </c>
      <c r="Q614" s="165">
        <f t="shared" si="309"/>
        <v>353296.42199999996</v>
      </c>
      <c r="R614" s="165">
        <f t="shared" si="309"/>
        <v>184777.05600000001</v>
      </c>
      <c r="S614" s="165">
        <f t="shared" si="309"/>
        <v>154479.20000000001</v>
      </c>
      <c r="T614" s="165">
        <f t="shared" si="309"/>
        <v>262514.97599999997</v>
      </c>
      <c r="U614" s="165">
        <f t="shared" si="309"/>
        <v>415150.39199999999</v>
      </c>
      <c r="V614" s="165">
        <f t="shared" si="309"/>
        <v>284590.55200000003</v>
      </c>
      <c r="W614" s="165">
        <f t="shared" si="309"/>
        <v>206603.47200000001</v>
      </c>
      <c r="X614" s="165">
        <f t="shared" si="309"/>
        <v>236353.17599999998</v>
      </c>
      <c r="Y614" s="165">
        <f t="shared" si="309"/>
        <v>276262.37900000002</v>
      </c>
      <c r="Z614" s="165">
        <f t="shared" si="309"/>
        <v>427209.73600000003</v>
      </c>
    </row>
    <row r="616" spans="1:26" s="20" customFormat="1" hidden="1" x14ac:dyDescent="0.2"/>
    <row r="617" spans="1:26" hidden="1" x14ac:dyDescent="0.2">
      <c r="A617" s="14" t="s">
        <v>209</v>
      </c>
    </row>
    <row r="618" spans="1:26" hidden="1" x14ac:dyDescent="0.2">
      <c r="A618" t="s">
        <v>210</v>
      </c>
    </row>
    <row r="619" spans="1:26" hidden="1" x14ac:dyDescent="0.2">
      <c r="A619" t="s">
        <v>211</v>
      </c>
    </row>
    <row r="620" spans="1:26" hidden="1" x14ac:dyDescent="0.2">
      <c r="A620" t="s">
        <v>30</v>
      </c>
    </row>
    <row r="621" spans="1:26" hidden="1" x14ac:dyDescent="0.2">
      <c r="A621" t="s">
        <v>13</v>
      </c>
    </row>
    <row r="622" spans="1:26" hidden="1" x14ac:dyDescent="0.2">
      <c r="A622" t="s">
        <v>24</v>
      </c>
    </row>
    <row r="623" spans="1:26" hidden="1" x14ac:dyDescent="0.2">
      <c r="A623" t="s">
        <v>228</v>
      </c>
    </row>
    <row r="624" spans="1:26" hidden="1" x14ac:dyDescent="0.2">
      <c r="A624" t="s">
        <v>30</v>
      </c>
    </row>
    <row r="625" spans="1:1" hidden="1" x14ac:dyDescent="0.2">
      <c r="A625" t="s">
        <v>229</v>
      </c>
    </row>
    <row r="626" spans="1:1" hidden="1" x14ac:dyDescent="0.2">
      <c r="A626" t="s">
        <v>24</v>
      </c>
    </row>
    <row r="627" spans="1:1" hidden="1" x14ac:dyDescent="0.2">
      <c r="A627" t="s">
        <v>227</v>
      </c>
    </row>
    <row r="628" spans="1:1" hidden="1" x14ac:dyDescent="0.2">
      <c r="A628" t="s">
        <v>37</v>
      </c>
    </row>
    <row r="629" spans="1:1" hidden="1" x14ac:dyDescent="0.2"/>
    <row r="630" spans="1:1" hidden="1" x14ac:dyDescent="0.2"/>
    <row r="631" spans="1:1" hidden="1" x14ac:dyDescent="0.2"/>
    <row r="632" spans="1:1" hidden="1" x14ac:dyDescent="0.2">
      <c r="A632" s="14" t="s">
        <v>282</v>
      </c>
    </row>
    <row r="633" spans="1:1" hidden="1" x14ac:dyDescent="0.2">
      <c r="A633" t="s">
        <v>279</v>
      </c>
    </row>
    <row r="634" spans="1:1" hidden="1" x14ac:dyDescent="0.2">
      <c r="A634" t="s">
        <v>211</v>
      </c>
    </row>
    <row r="635" spans="1:1" hidden="1" x14ac:dyDescent="0.2">
      <c r="A635" t="s">
        <v>280</v>
      </c>
    </row>
    <row r="636" spans="1:1" hidden="1" x14ac:dyDescent="0.2">
      <c r="A636" t="s">
        <v>281</v>
      </c>
    </row>
    <row r="637" spans="1:1" hidden="1" x14ac:dyDescent="0.2">
      <c r="A637" t="s">
        <v>24</v>
      </c>
    </row>
    <row r="638" spans="1:1" hidden="1" x14ac:dyDescent="0.2">
      <c r="A638" s="149"/>
    </row>
    <row r="639" spans="1:1" s="119" customFormat="1" hidden="1" x14ac:dyDescent="0.2">
      <c r="A639" s="149" t="s">
        <v>597</v>
      </c>
    </row>
    <row r="640" spans="1:1" s="119" customFormat="1" hidden="1" x14ac:dyDescent="0.2">
      <c r="A640" s="147" t="s">
        <v>598</v>
      </c>
    </row>
    <row r="641" spans="1:26" s="119" customFormat="1" hidden="1" x14ac:dyDescent="0.2">
      <c r="A641" s="147" t="s">
        <v>211</v>
      </c>
    </row>
    <row r="642" spans="1:26" s="119" customFormat="1" hidden="1" x14ac:dyDescent="0.2">
      <c r="A642" s="147" t="s">
        <v>30</v>
      </c>
    </row>
    <row r="643" spans="1:26" s="119" customFormat="1" hidden="1" x14ac:dyDescent="0.2">
      <c r="A643" s="147" t="s">
        <v>13</v>
      </c>
    </row>
    <row r="644" spans="1:26" hidden="1" x14ac:dyDescent="0.2">
      <c r="A644" s="147" t="s">
        <v>24</v>
      </c>
    </row>
    <row r="645" spans="1:26" hidden="1" x14ac:dyDescent="0.2"/>
    <row r="646" spans="1:26" x14ac:dyDescent="0.2">
      <c r="A646" s="14" t="s">
        <v>249</v>
      </c>
    </row>
    <row r="647" spans="1:26" x14ac:dyDescent="0.2">
      <c r="A647" t="s">
        <v>30</v>
      </c>
      <c r="B647" s="15" t="s">
        <v>294</v>
      </c>
      <c r="C647" s="125">
        <v>1.194</v>
      </c>
      <c r="D647" s="125">
        <v>0</v>
      </c>
      <c r="E647" s="125">
        <v>0</v>
      </c>
      <c r="F647" s="125">
        <v>1.0229999999999999</v>
      </c>
      <c r="G647" s="125">
        <v>4.984</v>
      </c>
      <c r="H647" s="125">
        <v>0</v>
      </c>
      <c r="I647" s="125">
        <v>36.862000000000002</v>
      </c>
      <c r="J647" s="125">
        <v>12.957000000000001</v>
      </c>
      <c r="K647" s="125">
        <v>0</v>
      </c>
      <c r="L647" s="125">
        <v>0</v>
      </c>
      <c r="M647" s="125">
        <v>0</v>
      </c>
      <c r="N647" s="125">
        <v>9.0619999999999994</v>
      </c>
      <c r="O647" s="125">
        <v>1.3</v>
      </c>
      <c r="P647" s="125">
        <v>0.86199999999999999</v>
      </c>
      <c r="Q647" s="125">
        <v>0</v>
      </c>
      <c r="R647" s="125">
        <v>8.0000000000000002E-3</v>
      </c>
      <c r="S647" s="125">
        <v>2.0339999999999998</v>
      </c>
      <c r="T647" s="125">
        <v>0</v>
      </c>
      <c r="U647" s="125">
        <v>6.5229999999999997</v>
      </c>
      <c r="V647" s="125">
        <v>10.169</v>
      </c>
      <c r="W647" s="125">
        <v>12.398</v>
      </c>
      <c r="X647" s="125">
        <v>13.186999999999999</v>
      </c>
      <c r="Y647" s="125">
        <v>11.18</v>
      </c>
      <c r="Z647" s="125">
        <v>19.559999999999999</v>
      </c>
    </row>
    <row r="648" spans="1:26" x14ac:dyDescent="0.2">
      <c r="A648" t="s">
        <v>290</v>
      </c>
      <c r="C648" s="144">
        <v>380.74004297690749</v>
      </c>
      <c r="D648" s="144">
        <v>0</v>
      </c>
      <c r="E648" s="144">
        <v>0</v>
      </c>
      <c r="F648" s="144">
        <v>326.21194636966197</v>
      </c>
      <c r="G648" s="144">
        <v>1589.2867455585488</v>
      </c>
      <c r="H648" s="144">
        <v>0</v>
      </c>
      <c r="I648" s="144">
        <v>11754.471913077694</v>
      </c>
      <c r="J648" s="144">
        <v>4131.6991095911153</v>
      </c>
      <c r="K648" s="144">
        <v>0</v>
      </c>
      <c r="L648" s="144">
        <v>0</v>
      </c>
      <c r="M648" s="144">
        <v>0</v>
      </c>
      <c r="N648" s="144">
        <v>2889.670242426077</v>
      </c>
      <c r="O648" s="88">
        <f t="shared" ref="O648" si="310">+C648*(1+$B$649)</f>
        <v>397.8733449108683</v>
      </c>
      <c r="P648" s="88">
        <f t="shared" ref="P648" si="311">+D648*(1+$B$649)</f>
        <v>0</v>
      </c>
      <c r="Q648" s="88">
        <f t="shared" ref="Q648" si="312">+E648*(1+$B$649)</f>
        <v>0</v>
      </c>
      <c r="R648" s="88">
        <f t="shared" ref="R648" si="313">+F648*(1+$B$649)</f>
        <v>340.89148395629672</v>
      </c>
      <c r="S648" s="88">
        <f t="shared" ref="S648" si="314">+G648*(1+$B$649)</f>
        <v>1660.8046491086834</v>
      </c>
      <c r="T648" s="88">
        <f t="shared" ref="T648" si="315">+H648*(1+$B$649)</f>
        <v>0</v>
      </c>
      <c r="U648" s="88">
        <f t="shared" ref="U648" si="316">+I648*(1+$B$649)</f>
        <v>12283.423149166189</v>
      </c>
      <c r="V648" s="88">
        <f t="shared" ref="V648" si="317">+J648*(1+$B$649)</f>
        <v>4317.6255695227155</v>
      </c>
      <c r="W648" s="88">
        <f t="shared" ref="W648" si="318">+K648*(1+$B$649)</f>
        <v>0</v>
      </c>
      <c r="X648" s="88">
        <f t="shared" ref="X648" si="319">+L648*(1+$B$649)</f>
        <v>0</v>
      </c>
      <c r="Y648" s="88">
        <f t="shared" ref="Y648" si="320">+M648*(1+$B$649)</f>
        <v>0</v>
      </c>
      <c r="Z648" s="88">
        <f t="shared" ref="Z648" si="321">+N648*(1+$B$649)</f>
        <v>3019.7054033352501</v>
      </c>
    </row>
    <row r="649" spans="1:26" x14ac:dyDescent="0.2">
      <c r="A649" t="s">
        <v>248</v>
      </c>
      <c r="B649" s="101">
        <v>4.4999999999999998E-2</v>
      </c>
      <c r="C649" s="85"/>
      <c r="D649" s="85"/>
      <c r="E649" s="85"/>
      <c r="F649" s="85"/>
      <c r="G649" s="85"/>
      <c r="H649" s="85"/>
      <c r="I649" s="85"/>
      <c r="J649" s="85"/>
      <c r="K649" s="85"/>
      <c r="L649" s="85"/>
      <c r="M649" s="85"/>
      <c r="N649" s="85"/>
      <c r="O649" s="85"/>
      <c r="P649" s="85"/>
      <c r="Q649" s="85"/>
      <c r="R649" s="85"/>
      <c r="S649" s="85"/>
      <c r="T649" s="85"/>
      <c r="U649" s="85"/>
      <c r="V649" s="85"/>
      <c r="W649" s="85"/>
      <c r="X649" s="85"/>
      <c r="Y649" s="85"/>
      <c r="Z649" s="85"/>
    </row>
    <row r="650" spans="1:26" x14ac:dyDescent="0.2">
      <c r="A650" s="54" t="s">
        <v>522</v>
      </c>
      <c r="B650" s="101"/>
      <c r="C650" s="144">
        <v>2210.0000000000005</v>
      </c>
      <c r="D650" s="88">
        <v>2210.0000000000005</v>
      </c>
      <c r="E650" s="88">
        <v>2210.0000000000005</v>
      </c>
      <c r="F650" s="88">
        <v>2210.0000000000005</v>
      </c>
      <c r="G650" s="88">
        <v>2210.0000000000005</v>
      </c>
      <c r="H650" s="88">
        <v>2210.0000000000005</v>
      </c>
      <c r="I650" s="88">
        <v>2210.0000000000005</v>
      </c>
      <c r="J650" s="88">
        <v>2210.0000000000005</v>
      </c>
      <c r="K650" s="88">
        <v>2210.0000000000005</v>
      </c>
      <c r="L650" s="88">
        <v>2210.0000000000005</v>
      </c>
      <c r="M650" s="88">
        <v>2210.0000000000005</v>
      </c>
      <c r="N650" s="88">
        <v>2210.0000000000005</v>
      </c>
      <c r="O650" s="88">
        <f t="shared" ref="O650:O651" si="322">+N650</f>
        <v>2210.0000000000005</v>
      </c>
      <c r="P650" s="88">
        <f t="shared" ref="P650:P651" si="323">+O650</f>
        <v>2210.0000000000005</v>
      </c>
      <c r="Q650" s="88">
        <f t="shared" ref="Q650:Q651" si="324">+P650</f>
        <v>2210.0000000000005</v>
      </c>
      <c r="R650" s="88">
        <f t="shared" ref="R650:R651" si="325">+Q650</f>
        <v>2210.0000000000005</v>
      </c>
      <c r="S650" s="88">
        <f t="shared" ref="S650:S651" si="326">+R650</f>
        <v>2210.0000000000005</v>
      </c>
      <c r="T650" s="88">
        <f t="shared" ref="T650:T651" si="327">+S650</f>
        <v>2210.0000000000005</v>
      </c>
      <c r="U650" s="88">
        <f t="shared" ref="U650:U651" si="328">+T650</f>
        <v>2210.0000000000005</v>
      </c>
      <c r="V650" s="88">
        <f t="shared" ref="V650:V651" si="329">+U650</f>
        <v>2210.0000000000005</v>
      </c>
      <c r="W650" s="88">
        <f t="shared" ref="W650:W651" si="330">+V650</f>
        <v>2210.0000000000005</v>
      </c>
      <c r="X650" s="88">
        <f t="shared" ref="X650:X651" si="331">+W650</f>
        <v>2210.0000000000005</v>
      </c>
      <c r="Y650" s="88">
        <f t="shared" ref="Y650:Y651" si="332">+X650</f>
        <v>2210.0000000000005</v>
      </c>
      <c r="Z650" s="88">
        <f t="shared" ref="Z650:Z651" si="333">+Y650</f>
        <v>2210.0000000000005</v>
      </c>
    </row>
    <row r="651" spans="1:26" x14ac:dyDescent="0.2">
      <c r="A651" t="s">
        <v>291</v>
      </c>
      <c r="B651" s="101"/>
      <c r="C651" s="144">
        <v>14153.551620000004</v>
      </c>
      <c r="D651" s="88">
        <v>14153.551620000004</v>
      </c>
      <c r="E651" s="88">
        <v>14153.551620000004</v>
      </c>
      <c r="F651" s="88">
        <v>14153.551620000004</v>
      </c>
      <c r="G651" s="88">
        <v>14153.551620000004</v>
      </c>
      <c r="H651" s="88">
        <v>14153.551620000004</v>
      </c>
      <c r="I651" s="88">
        <v>14153.551620000004</v>
      </c>
      <c r="J651" s="88">
        <v>14153.551620000004</v>
      </c>
      <c r="K651" s="88">
        <v>14153.551620000004</v>
      </c>
      <c r="L651" s="88">
        <v>14153.551620000004</v>
      </c>
      <c r="M651" s="88">
        <v>14153.551620000004</v>
      </c>
      <c r="N651" s="88">
        <v>14153.551620000004</v>
      </c>
      <c r="O651" s="88">
        <f t="shared" si="322"/>
        <v>14153.551620000004</v>
      </c>
      <c r="P651" s="88">
        <f t="shared" si="323"/>
        <v>14153.551620000004</v>
      </c>
      <c r="Q651" s="88">
        <f t="shared" si="324"/>
        <v>14153.551620000004</v>
      </c>
      <c r="R651" s="88">
        <f t="shared" si="325"/>
        <v>14153.551620000004</v>
      </c>
      <c r="S651" s="88">
        <f t="shared" si="326"/>
        <v>14153.551620000004</v>
      </c>
      <c r="T651" s="88">
        <f t="shared" si="327"/>
        <v>14153.551620000004</v>
      </c>
      <c r="U651" s="88">
        <f t="shared" si="328"/>
        <v>14153.551620000004</v>
      </c>
      <c r="V651" s="88">
        <f t="shared" si="329"/>
        <v>14153.551620000004</v>
      </c>
      <c r="W651" s="88">
        <f t="shared" si="330"/>
        <v>14153.551620000004</v>
      </c>
      <c r="X651" s="88">
        <f t="shared" si="331"/>
        <v>14153.551620000004</v>
      </c>
      <c r="Y651" s="88">
        <f t="shared" si="332"/>
        <v>14153.551620000004</v>
      </c>
      <c r="Z651" s="88">
        <f t="shared" si="333"/>
        <v>14153.551620000004</v>
      </c>
    </row>
    <row r="652" spans="1:26" x14ac:dyDescent="0.2">
      <c r="A652" t="s">
        <v>292</v>
      </c>
      <c r="B652" s="101"/>
      <c r="C652" s="144">
        <v>8602.1928674816754</v>
      </c>
      <c r="D652" s="88">
        <v>8446.6527098490606</v>
      </c>
      <c r="E652" s="88">
        <v>8446.6527098490606</v>
      </c>
      <c r="F652" s="88">
        <v>8446.6527098490606</v>
      </c>
      <c r="G652" s="88">
        <v>8446.6527098490606</v>
      </c>
      <c r="H652" s="88">
        <v>8446.6527098490606</v>
      </c>
      <c r="I652" s="88">
        <v>8446.6527098490606</v>
      </c>
      <c r="J652" s="88">
        <v>8446.6527098490606</v>
      </c>
      <c r="K652" s="88">
        <v>8446.6527098490606</v>
      </c>
      <c r="L652" s="88">
        <v>8446.6527098490606</v>
      </c>
      <c r="M652" s="88">
        <v>8446.6527098490606</v>
      </c>
      <c r="N652" s="88">
        <v>8446.6527098490606</v>
      </c>
      <c r="O652" s="88">
        <f t="shared" ref="O652" si="334">+C652*(1+$B$653)</f>
        <v>8989.2915465183505</v>
      </c>
      <c r="P652" s="88">
        <f t="shared" ref="P652" si="335">+D652*(1+$B$653)</f>
        <v>8826.7520817922668</v>
      </c>
      <c r="Q652" s="88">
        <f t="shared" ref="Q652" si="336">+E652*(1+$B$653)</f>
        <v>8826.7520817922668</v>
      </c>
      <c r="R652" s="88">
        <f t="shared" ref="R652" si="337">+F652*(1+$B$653)</f>
        <v>8826.7520817922668</v>
      </c>
      <c r="S652" s="88">
        <f t="shared" ref="S652" si="338">+G652*(1+$B$653)</f>
        <v>8826.7520817922668</v>
      </c>
      <c r="T652" s="88">
        <f t="shared" ref="T652" si="339">+H652*(1+$B$653)</f>
        <v>8826.7520817922668</v>
      </c>
      <c r="U652" s="88">
        <f t="shared" ref="U652" si="340">+I652*(1+$B$653)</f>
        <v>8826.7520817922668</v>
      </c>
      <c r="V652" s="88">
        <f t="shared" ref="V652" si="341">+J652*(1+$B$653)</f>
        <v>8826.7520817922668</v>
      </c>
      <c r="W652" s="88">
        <f t="shared" ref="W652" si="342">+K652*(1+$B$653)</f>
        <v>8826.7520817922668</v>
      </c>
      <c r="X652" s="88">
        <f t="shared" ref="X652" si="343">+L652*(1+$B$653)</f>
        <v>8826.7520817922668</v>
      </c>
      <c r="Y652" s="88">
        <f t="shared" ref="Y652" si="344">+M652*(1+$B$653)</f>
        <v>8826.7520817922668</v>
      </c>
      <c r="Z652" s="88">
        <f t="shared" ref="Z652" si="345">+N652*(1+$B$653)</f>
        <v>8826.7520817922668</v>
      </c>
    </row>
    <row r="653" spans="1:26" x14ac:dyDescent="0.2">
      <c r="A653" t="s">
        <v>293</v>
      </c>
      <c r="B653" s="101">
        <v>4.4999999999999998E-2</v>
      </c>
      <c r="C653" s="88">
        <v>0</v>
      </c>
      <c r="D653" s="88">
        <v>0</v>
      </c>
      <c r="E653" s="88">
        <v>0</v>
      </c>
      <c r="F653" s="88">
        <v>0</v>
      </c>
      <c r="G653" s="88">
        <v>0</v>
      </c>
      <c r="H653" s="88">
        <v>0</v>
      </c>
      <c r="I653" s="88">
        <v>0</v>
      </c>
      <c r="J653" s="88">
        <v>0</v>
      </c>
      <c r="K653" s="88">
        <v>0</v>
      </c>
      <c r="L653" s="88">
        <v>0</v>
      </c>
      <c r="M653" s="88">
        <v>0</v>
      </c>
      <c r="N653" s="88">
        <v>0</v>
      </c>
      <c r="O653" s="88">
        <f t="shared" ref="O653" si="346">+C653*(1+$B$654)</f>
        <v>0</v>
      </c>
      <c r="P653" s="88">
        <f t="shared" ref="P653" si="347">+D653*(1+$B$654)</f>
        <v>0</v>
      </c>
      <c r="Q653" s="88">
        <f t="shared" ref="Q653" si="348">+E653*(1+$B$654)</f>
        <v>0</v>
      </c>
      <c r="R653" s="88">
        <f t="shared" ref="R653" si="349">+F653*(1+$B$654)</f>
        <v>0</v>
      </c>
      <c r="S653" s="88">
        <f t="shared" ref="S653" si="350">+G653*(1+$B$654)</f>
        <v>0</v>
      </c>
      <c r="T653" s="88">
        <f t="shared" ref="T653" si="351">+H653*(1+$B$654)</f>
        <v>0</v>
      </c>
      <c r="U653" s="88">
        <f t="shared" ref="U653" si="352">+I653*(1+$B$654)</f>
        <v>0</v>
      </c>
      <c r="V653" s="88">
        <f t="shared" ref="V653" si="353">+J653*(1+$B$654)</f>
        <v>0</v>
      </c>
      <c r="W653" s="88">
        <f t="shared" ref="W653" si="354">+K653*(1+$B$654)</f>
        <v>0</v>
      </c>
      <c r="X653" s="88">
        <f t="shared" ref="X653" si="355">+L653*(1+$B$654)</f>
        <v>0</v>
      </c>
      <c r="Y653" s="88">
        <f t="shared" ref="Y653" si="356">+M653*(1+$B$654)</f>
        <v>0</v>
      </c>
      <c r="Z653" s="88">
        <f t="shared" ref="Z653" si="357">+N653*(1+$B$654)</f>
        <v>0</v>
      </c>
    </row>
    <row r="654" spans="1:26" x14ac:dyDescent="0.2">
      <c r="A654" t="s">
        <v>8</v>
      </c>
      <c r="B654" s="101">
        <v>4.4999999999999998E-2</v>
      </c>
      <c r="C654" s="161">
        <v>25346.484530458583</v>
      </c>
      <c r="D654" s="161">
        <v>24810.204329849064</v>
      </c>
      <c r="E654" s="161">
        <v>24810.204329849064</v>
      </c>
      <c r="F654" s="161">
        <v>25136.416276218726</v>
      </c>
      <c r="G654" s="161">
        <v>26399.491075407612</v>
      </c>
      <c r="H654" s="161">
        <v>24810.204329849064</v>
      </c>
      <c r="I654" s="161">
        <v>36564.676242926762</v>
      </c>
      <c r="J654" s="161">
        <v>28941.903439440182</v>
      </c>
      <c r="K654" s="161">
        <v>24810.204329849064</v>
      </c>
      <c r="L654" s="161">
        <v>24810.204329849064</v>
      </c>
      <c r="M654" s="161">
        <v>24810.204329849064</v>
      </c>
      <c r="N654" s="161">
        <v>27699.874572275141</v>
      </c>
      <c r="O654" s="161">
        <f t="shared" ref="O654:Z654" si="358">+SUM(O648:O653)</f>
        <v>25750.716511429222</v>
      </c>
      <c r="P654" s="161">
        <f t="shared" si="358"/>
        <v>25190.303701792269</v>
      </c>
      <c r="Q654" s="161">
        <f t="shared" si="358"/>
        <v>25190.303701792269</v>
      </c>
      <c r="R654" s="161">
        <f t="shared" si="358"/>
        <v>25531.195185748569</v>
      </c>
      <c r="S654" s="161">
        <f t="shared" si="358"/>
        <v>26851.108350900955</v>
      </c>
      <c r="T654" s="161">
        <f t="shared" si="358"/>
        <v>25190.303701792269</v>
      </c>
      <c r="U654" s="161">
        <f t="shared" si="358"/>
        <v>37473.726850958454</v>
      </c>
      <c r="V654" s="161">
        <f t="shared" si="358"/>
        <v>29507.929271314988</v>
      </c>
      <c r="W654" s="161">
        <f t="shared" si="358"/>
        <v>25190.303701792269</v>
      </c>
      <c r="X654" s="161">
        <f t="shared" si="358"/>
        <v>25190.303701792269</v>
      </c>
      <c r="Y654" s="161">
        <f t="shared" si="358"/>
        <v>25190.303701792269</v>
      </c>
      <c r="Z654" s="161">
        <f t="shared" si="358"/>
        <v>28210.009105127519</v>
      </c>
    </row>
    <row r="658" spans="1:26" x14ac:dyDescent="0.2">
      <c r="A658" s="14" t="s">
        <v>547</v>
      </c>
      <c r="C658" s="201">
        <v>11583.33</v>
      </c>
      <c r="D658" s="201">
        <v>11583.33</v>
      </c>
      <c r="E658" s="201">
        <v>11583.33</v>
      </c>
      <c r="F658" s="201">
        <v>11583.33</v>
      </c>
      <c r="G658" s="201">
        <v>11583.33</v>
      </c>
      <c r="H658" s="201">
        <v>11583.33</v>
      </c>
      <c r="I658" s="201">
        <v>11583.33</v>
      </c>
      <c r="J658" s="201">
        <v>11583.33</v>
      </c>
      <c r="K658" s="201">
        <v>11583.33</v>
      </c>
      <c r="L658" s="201">
        <v>11583.33</v>
      </c>
      <c r="M658" s="201">
        <v>11583.33</v>
      </c>
      <c r="N658" s="201">
        <v>11583.33</v>
      </c>
      <c r="O658" s="201">
        <v>11583.33</v>
      </c>
      <c r="P658" s="201">
        <v>11583.33</v>
      </c>
      <c r="Q658" s="201">
        <v>11583.33</v>
      </c>
      <c r="R658" s="201">
        <v>11583.33</v>
      </c>
      <c r="S658" s="201">
        <v>11583.33</v>
      </c>
      <c r="T658" s="201">
        <v>11583.33</v>
      </c>
      <c r="U658" s="201">
        <v>11583.33</v>
      </c>
      <c r="V658" s="201">
        <v>11583.33</v>
      </c>
      <c r="W658" s="201">
        <v>11583.33</v>
      </c>
      <c r="X658" s="201">
        <v>11583.33</v>
      </c>
      <c r="Y658" s="201">
        <v>11583.33</v>
      </c>
      <c r="Z658" s="201">
        <v>11583.33</v>
      </c>
    </row>
    <row r="659" spans="1:26" x14ac:dyDescent="0.2">
      <c r="A659" s="54" t="s">
        <v>280</v>
      </c>
      <c r="C659" s="20">
        <v>0</v>
      </c>
      <c r="D659" s="20">
        <v>0</v>
      </c>
      <c r="E659" s="20">
        <v>0</v>
      </c>
      <c r="F659" s="20">
        <v>0</v>
      </c>
      <c r="G659" s="20">
        <v>0</v>
      </c>
      <c r="H659" s="20">
        <v>0</v>
      </c>
      <c r="I659" s="20">
        <v>0</v>
      </c>
      <c r="J659" s="20">
        <v>0</v>
      </c>
      <c r="K659" s="20">
        <v>0</v>
      </c>
      <c r="L659" s="20">
        <v>0</v>
      </c>
      <c r="M659" s="20">
        <v>0</v>
      </c>
      <c r="N659" s="20">
        <v>0</v>
      </c>
      <c r="O659" s="20">
        <v>0</v>
      </c>
      <c r="P659" s="20">
        <v>0</v>
      </c>
      <c r="Q659" s="20">
        <v>0</v>
      </c>
      <c r="R659" s="20">
        <v>0</v>
      </c>
      <c r="S659" s="20">
        <v>0</v>
      </c>
      <c r="T659" s="20">
        <v>0</v>
      </c>
      <c r="U659" s="20">
        <v>0</v>
      </c>
      <c r="V659" s="20">
        <v>0</v>
      </c>
      <c r="W659" s="20">
        <v>0</v>
      </c>
      <c r="X659" s="20">
        <v>0</v>
      </c>
      <c r="Y659" s="20">
        <v>0</v>
      </c>
      <c r="Z659" s="20">
        <v>0</v>
      </c>
    </row>
    <row r="660" spans="1:26" s="166" customFormat="1" x14ac:dyDescent="0.2">
      <c r="A660" s="220" t="s">
        <v>637</v>
      </c>
      <c r="C660" s="93">
        <v>-1122.49</v>
      </c>
      <c r="D660" s="93">
        <v>-1825.54</v>
      </c>
      <c r="E660" s="93">
        <v>-610.11</v>
      </c>
      <c r="F660" s="93">
        <v>-387.87</v>
      </c>
      <c r="G660" s="93">
        <v>-1620.2</v>
      </c>
      <c r="H660" s="93">
        <v>-4305.5</v>
      </c>
      <c r="I660" s="93">
        <v>-6842.71</v>
      </c>
      <c r="J660" s="93">
        <v>-5028.3599999999997</v>
      </c>
      <c r="K660" s="93">
        <v>0</v>
      </c>
      <c r="L660" s="93">
        <v>11747.910000000002</v>
      </c>
      <c r="M660" s="93">
        <v>-2418.1999999999998</v>
      </c>
      <c r="N660" s="93">
        <v>-2542.4899999999998</v>
      </c>
      <c r="O660" s="237">
        <v>-4958.6400000000003</v>
      </c>
      <c r="P660" s="237">
        <v>-4293.1099999999997</v>
      </c>
      <c r="Q660" s="237">
        <v>-6331.23</v>
      </c>
      <c r="R660" s="237">
        <v>-4989.2700000000004</v>
      </c>
      <c r="S660" s="237">
        <v>-3386.18</v>
      </c>
      <c r="T660" s="237">
        <v>-7420.85</v>
      </c>
      <c r="U660" s="237">
        <v>-3849.17</v>
      </c>
      <c r="V660" s="237">
        <v>-3214.97</v>
      </c>
      <c r="W660" s="237">
        <v>-6138.28</v>
      </c>
      <c r="X660" s="237">
        <v>-4841.47</v>
      </c>
      <c r="Y660" s="237">
        <v>-3277.19</v>
      </c>
      <c r="Z660" s="237">
        <v>-9658.0499999999993</v>
      </c>
    </row>
    <row r="662" spans="1:26" x14ac:dyDescent="0.2">
      <c r="A662" s="14" t="s">
        <v>606</v>
      </c>
      <c r="C662" s="160">
        <v>0</v>
      </c>
      <c r="D662" s="160">
        <v>0</v>
      </c>
      <c r="E662" s="160">
        <v>0</v>
      </c>
      <c r="F662" s="160">
        <v>0</v>
      </c>
      <c r="G662" s="160">
        <v>0</v>
      </c>
      <c r="H662" s="160">
        <v>0</v>
      </c>
      <c r="I662" s="160">
        <v>0</v>
      </c>
      <c r="J662" s="160">
        <v>0</v>
      </c>
      <c r="K662" s="160">
        <v>0</v>
      </c>
      <c r="L662" s="160">
        <v>0</v>
      </c>
      <c r="M662" s="160">
        <v>0</v>
      </c>
      <c r="N662" s="160">
        <v>0</v>
      </c>
      <c r="O662" s="160">
        <v>0</v>
      </c>
      <c r="P662" s="160">
        <v>0</v>
      </c>
      <c r="Q662" s="160">
        <v>0</v>
      </c>
      <c r="R662" s="160">
        <v>0</v>
      </c>
      <c r="S662" s="160">
        <v>0</v>
      </c>
      <c r="T662" s="160">
        <v>0</v>
      </c>
      <c r="U662" s="160">
        <v>0</v>
      </c>
      <c r="V662" s="160">
        <v>0</v>
      </c>
      <c r="W662" s="160">
        <v>0</v>
      </c>
      <c r="X662" s="160">
        <v>0</v>
      </c>
      <c r="Y662" s="160">
        <v>0</v>
      </c>
      <c r="Z662" s="160">
        <v>0</v>
      </c>
    </row>
    <row r="663" spans="1:26" x14ac:dyDescent="0.2">
      <c r="A663" s="14" t="s">
        <v>646</v>
      </c>
      <c r="C663" s="160">
        <v>3772.44</v>
      </c>
      <c r="D663" s="160">
        <v>3772.44</v>
      </c>
      <c r="E663" s="160">
        <v>3772.44</v>
      </c>
      <c r="F663" s="160">
        <v>3772.44</v>
      </c>
      <c r="G663" s="160">
        <v>3772.44</v>
      </c>
      <c r="H663" s="160">
        <v>3772.44</v>
      </c>
      <c r="I663" s="160">
        <v>3772.44</v>
      </c>
      <c r="J663" s="160">
        <v>3772.44</v>
      </c>
      <c r="K663" s="160">
        <v>3772.44</v>
      </c>
      <c r="L663" s="160">
        <v>3772.44</v>
      </c>
      <c r="M663" s="160">
        <v>3772.44</v>
      </c>
      <c r="N663" s="160">
        <v>3772.44</v>
      </c>
      <c r="O663" s="160">
        <f t="shared" ref="O663:Z663" si="359">1886.22*2</f>
        <v>3772.44</v>
      </c>
      <c r="P663" s="160">
        <f t="shared" si="359"/>
        <v>3772.44</v>
      </c>
      <c r="Q663" s="160">
        <f t="shared" si="359"/>
        <v>3772.44</v>
      </c>
      <c r="R663" s="160">
        <f t="shared" si="359"/>
        <v>3772.44</v>
      </c>
      <c r="S663" s="160">
        <f t="shared" si="359"/>
        <v>3772.44</v>
      </c>
      <c r="T663" s="160">
        <f t="shared" si="359"/>
        <v>3772.44</v>
      </c>
      <c r="U663" s="160">
        <f t="shared" si="359"/>
        <v>3772.44</v>
      </c>
      <c r="V663" s="160">
        <f t="shared" si="359"/>
        <v>3772.44</v>
      </c>
      <c r="W663" s="160">
        <f t="shared" si="359"/>
        <v>3772.44</v>
      </c>
      <c r="X663" s="160">
        <f t="shared" si="359"/>
        <v>3772.44</v>
      </c>
      <c r="Y663" s="160">
        <f t="shared" si="359"/>
        <v>3772.44</v>
      </c>
      <c r="Z663" s="160">
        <f t="shared" si="359"/>
        <v>3772.44</v>
      </c>
    </row>
    <row r="666" spans="1:26" x14ac:dyDescent="0.2">
      <c r="A666" s="14" t="s">
        <v>14</v>
      </c>
    </row>
    <row r="667" spans="1:26" x14ac:dyDescent="0.2">
      <c r="A667" t="s">
        <v>76</v>
      </c>
    </row>
    <row r="669" spans="1:26" x14ac:dyDescent="0.2">
      <c r="C669" s="33">
        <v>45307</v>
      </c>
      <c r="D669" s="33">
        <v>45338</v>
      </c>
      <c r="E669" s="33">
        <v>45366</v>
      </c>
      <c r="F669" s="33">
        <v>45397</v>
      </c>
      <c r="G669" s="33">
        <v>45427</v>
      </c>
      <c r="H669" s="33">
        <v>45458</v>
      </c>
      <c r="I669" s="33">
        <v>45488</v>
      </c>
      <c r="J669" s="33">
        <v>45519</v>
      </c>
      <c r="K669" s="33">
        <v>45550</v>
      </c>
      <c r="L669" s="33">
        <v>45580</v>
      </c>
      <c r="M669" s="33">
        <v>45611</v>
      </c>
      <c r="N669" s="33">
        <v>45641</v>
      </c>
      <c r="O669" s="33">
        <f>O2</f>
        <v>45673</v>
      </c>
      <c r="P669" s="33">
        <f t="shared" ref="P669:Z669" si="360">P2</f>
        <v>45704</v>
      </c>
      <c r="Q669" s="33">
        <f t="shared" si="360"/>
        <v>45732</v>
      </c>
      <c r="R669" s="33">
        <f t="shared" si="360"/>
        <v>45763</v>
      </c>
      <c r="S669" s="33">
        <f t="shared" si="360"/>
        <v>45793</v>
      </c>
      <c r="T669" s="33">
        <f t="shared" si="360"/>
        <v>45824</v>
      </c>
      <c r="U669" s="33">
        <f t="shared" si="360"/>
        <v>45854</v>
      </c>
      <c r="V669" s="33">
        <f t="shared" si="360"/>
        <v>45885</v>
      </c>
      <c r="W669" s="33">
        <f t="shared" si="360"/>
        <v>45916</v>
      </c>
      <c r="X669" s="33">
        <f t="shared" si="360"/>
        <v>45946</v>
      </c>
      <c r="Y669" s="33">
        <f t="shared" si="360"/>
        <v>45977</v>
      </c>
      <c r="Z669" s="33">
        <f t="shared" si="360"/>
        <v>46007</v>
      </c>
    </row>
    <row r="670" spans="1:26" x14ac:dyDescent="0.2">
      <c r="A670" t="s">
        <v>52</v>
      </c>
      <c r="C670" s="12">
        <v>46714</v>
      </c>
      <c r="D670" s="12">
        <v>45492.71428571429</v>
      </c>
      <c r="E670" s="12">
        <v>44762</v>
      </c>
      <c r="F670" s="12">
        <v>37336</v>
      </c>
      <c r="G670" s="12">
        <v>35681</v>
      </c>
      <c r="H670" s="12">
        <v>39148</v>
      </c>
      <c r="I670" s="12">
        <v>42902</v>
      </c>
      <c r="J670" s="12">
        <v>44070</v>
      </c>
      <c r="K670" s="12">
        <v>36965</v>
      </c>
      <c r="L670" s="12">
        <v>36234</v>
      </c>
      <c r="M670" s="12">
        <v>39210</v>
      </c>
      <c r="N670" s="12">
        <v>45849</v>
      </c>
      <c r="O670" s="12">
        <f t="shared" ref="O670:Z670" si="361">+O42</f>
        <v>49302</v>
      </c>
      <c r="P670" s="12">
        <f t="shared" si="361"/>
        <v>42860.275862068964</v>
      </c>
      <c r="Q670" s="12">
        <f t="shared" si="361"/>
        <v>46956</v>
      </c>
      <c r="R670" s="12">
        <f t="shared" si="361"/>
        <v>38448</v>
      </c>
      <c r="S670" s="12">
        <f t="shared" si="361"/>
        <v>36690</v>
      </c>
      <c r="T670" s="12">
        <f t="shared" si="361"/>
        <v>40596</v>
      </c>
      <c r="U670" s="12">
        <f t="shared" si="361"/>
        <v>45107</v>
      </c>
      <c r="V670" s="12">
        <f t="shared" si="361"/>
        <v>38832</v>
      </c>
      <c r="W670" s="12">
        <f t="shared" si="361"/>
        <v>36186</v>
      </c>
      <c r="X670" s="12">
        <f t="shared" si="361"/>
        <v>38206</v>
      </c>
      <c r="Y670" s="12">
        <f t="shared" si="361"/>
        <v>42395</v>
      </c>
      <c r="Z670" s="12">
        <f t="shared" si="361"/>
        <v>46510</v>
      </c>
    </row>
    <row r="671" spans="1:26" x14ac:dyDescent="0.2">
      <c r="A671" s="14" t="s">
        <v>18</v>
      </c>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x14ac:dyDescent="0.2">
      <c r="C672" s="20"/>
      <c r="D672" s="20"/>
      <c r="E672" s="20"/>
      <c r="F672" s="20"/>
      <c r="G672" s="20"/>
      <c r="H672" s="20"/>
      <c r="I672" s="20"/>
      <c r="J672" s="20"/>
      <c r="K672" s="20"/>
      <c r="L672" s="20"/>
      <c r="M672" s="20"/>
      <c r="N672" s="20"/>
      <c r="O672" s="20"/>
      <c r="P672" s="20"/>
      <c r="Q672" s="20"/>
      <c r="R672" s="20"/>
      <c r="S672" s="20"/>
      <c r="T672" s="20"/>
      <c r="U672" s="20"/>
      <c r="V672" s="20"/>
      <c r="W672" s="20"/>
      <c r="X672" s="20"/>
      <c r="Y672" s="20"/>
      <c r="Z672" s="20"/>
    </row>
    <row r="673" spans="1:15817" x14ac:dyDescent="0.2">
      <c r="A673" s="96"/>
      <c r="C673" s="33">
        <v>45307</v>
      </c>
      <c r="D673" s="33">
        <v>45338</v>
      </c>
      <c r="E673" s="33">
        <v>45366</v>
      </c>
      <c r="F673" s="33">
        <v>45397</v>
      </c>
      <c r="G673" s="33">
        <v>45427</v>
      </c>
      <c r="H673" s="33">
        <v>45458</v>
      </c>
      <c r="I673" s="33">
        <v>45488</v>
      </c>
      <c r="J673" s="33">
        <v>45519</v>
      </c>
      <c r="K673" s="33">
        <v>45550</v>
      </c>
      <c r="L673" s="33">
        <v>45580</v>
      </c>
      <c r="M673" s="33">
        <v>45611</v>
      </c>
      <c r="N673" s="33">
        <v>45641</v>
      </c>
      <c r="O673" s="33">
        <f t="shared" ref="O673:Z673" si="362">+O669</f>
        <v>45673</v>
      </c>
      <c r="P673" s="33">
        <f t="shared" si="362"/>
        <v>45704</v>
      </c>
      <c r="Q673" s="33">
        <f t="shared" si="362"/>
        <v>45732</v>
      </c>
      <c r="R673" s="33">
        <f t="shared" si="362"/>
        <v>45763</v>
      </c>
      <c r="S673" s="33">
        <f t="shared" si="362"/>
        <v>45793</v>
      </c>
      <c r="T673" s="33">
        <f t="shared" si="362"/>
        <v>45824</v>
      </c>
      <c r="U673" s="33">
        <f t="shared" si="362"/>
        <v>45854</v>
      </c>
      <c r="V673" s="33">
        <f t="shared" si="362"/>
        <v>45885</v>
      </c>
      <c r="W673" s="33">
        <f t="shared" si="362"/>
        <v>45916</v>
      </c>
      <c r="X673" s="33">
        <f t="shared" si="362"/>
        <v>45946</v>
      </c>
      <c r="Y673" s="33">
        <f t="shared" si="362"/>
        <v>45977</v>
      </c>
      <c r="Z673" s="33">
        <f t="shared" si="362"/>
        <v>46007</v>
      </c>
    </row>
    <row r="674" spans="1:15817" x14ac:dyDescent="0.2">
      <c r="A674" s="96" t="str">
        <f>+A399</f>
        <v>Encore - Alburgh</v>
      </c>
      <c r="C674" s="37">
        <v>82.368815302608866</v>
      </c>
      <c r="D674" s="37">
        <v>102.47426660327568</v>
      </c>
      <c r="E674" s="37">
        <v>142.61874440136083</v>
      </c>
      <c r="F674" s="37">
        <v>152.29775698790357</v>
      </c>
      <c r="G674" s="37">
        <v>175.3939009489327</v>
      </c>
      <c r="H674" s="37">
        <v>170.52825016689701</v>
      </c>
      <c r="I674" s="37">
        <v>172.49898341085586</v>
      </c>
      <c r="J674" s="37">
        <v>163.7149481188651</v>
      </c>
      <c r="K674" s="37">
        <v>130.71321103075522</v>
      </c>
      <c r="L674" s="37">
        <v>103.13286483135056</v>
      </c>
      <c r="M674" s="37">
        <v>63.569064727890698</v>
      </c>
      <c r="N674" s="37">
        <v>57.920504934503356</v>
      </c>
      <c r="O674" s="37">
        <f t="shared" ref="O674:Z674" si="363">+O402</f>
        <v>28.8</v>
      </c>
      <c r="P674" s="37">
        <f t="shared" si="363"/>
        <v>86.4</v>
      </c>
      <c r="Q674" s="37">
        <f t="shared" si="363"/>
        <v>117.6</v>
      </c>
      <c r="R674" s="37">
        <f t="shared" si="363"/>
        <v>132</v>
      </c>
      <c r="S674" s="37">
        <f t="shared" si="363"/>
        <v>168</v>
      </c>
      <c r="T674" s="37">
        <f t="shared" si="363"/>
        <v>156</v>
      </c>
      <c r="U674" s="37">
        <f t="shared" si="363"/>
        <v>146.4</v>
      </c>
      <c r="V674" s="37">
        <f t="shared" si="363"/>
        <v>151.19999999999999</v>
      </c>
      <c r="W674" s="37">
        <f t="shared" si="363"/>
        <v>136.80000000000001</v>
      </c>
      <c r="X674" s="37">
        <f t="shared" si="363"/>
        <v>76.8</v>
      </c>
      <c r="Y674" s="37">
        <f t="shared" si="363"/>
        <v>60</v>
      </c>
      <c r="Z674" s="37">
        <f t="shared" si="363"/>
        <v>28.8</v>
      </c>
    </row>
    <row r="675" spans="1:15817" x14ac:dyDescent="0.2">
      <c r="A675" s="96" t="str">
        <f>+A406</f>
        <v>Encore - Magee Hill</v>
      </c>
      <c r="C675" s="37">
        <v>107.61758827827025</v>
      </c>
      <c r="D675" s="37">
        <v>133.88595756179387</v>
      </c>
      <c r="E675" s="37">
        <v>186.33599315202625</v>
      </c>
      <c r="F675" s="37">
        <v>198.98197711766505</v>
      </c>
      <c r="G675" s="37">
        <v>229.15781653911878</v>
      </c>
      <c r="H675" s="37">
        <v>222.80072706947905</v>
      </c>
      <c r="I675" s="37">
        <v>225.37547684647959</v>
      </c>
      <c r="J675" s="37">
        <v>213.89891851340573</v>
      </c>
      <c r="K675" s="37">
        <v>170.78111909213203</v>
      </c>
      <c r="L675" s="37">
        <v>134.74645306174159</v>
      </c>
      <c r="M675" s="37">
        <v>83.055056063667763</v>
      </c>
      <c r="N675" s="37">
        <v>75.29662491739839</v>
      </c>
      <c r="O675" s="37">
        <f t="shared" ref="O675:Z675" si="364">+O408</f>
        <v>17.960999999999999</v>
      </c>
      <c r="P675" s="37">
        <f t="shared" si="364"/>
        <v>89.085999999999999</v>
      </c>
      <c r="Q675" s="37">
        <f t="shared" si="364"/>
        <v>107.559</v>
      </c>
      <c r="R675" s="37">
        <f t="shared" si="364"/>
        <v>152.08500000000001</v>
      </c>
      <c r="S675" s="37">
        <f t="shared" si="364"/>
        <v>190.334</v>
      </c>
      <c r="T675" s="37">
        <f t="shared" si="364"/>
        <v>194.63499999999999</v>
      </c>
      <c r="U675" s="37">
        <f t="shared" si="364"/>
        <v>211.06</v>
      </c>
      <c r="V675" s="37">
        <f t="shared" si="364"/>
        <v>193.012</v>
      </c>
      <c r="W675" s="37">
        <f t="shared" si="364"/>
        <v>181.09</v>
      </c>
      <c r="X675" s="37">
        <f t="shared" si="364"/>
        <v>104.611</v>
      </c>
      <c r="Y675" s="37">
        <f t="shared" si="364"/>
        <v>56.927</v>
      </c>
      <c r="Z675" s="37">
        <f t="shared" si="364"/>
        <v>27.007000000000001</v>
      </c>
    </row>
    <row r="676" spans="1:15817" x14ac:dyDescent="0.2">
      <c r="A676" s="96" t="str">
        <f>+A412</f>
        <v>Bullrock - Grand Isle</v>
      </c>
      <c r="C676" s="37">
        <v>389.4101044814314</v>
      </c>
      <c r="D676" s="37">
        <v>484.46118737665705</v>
      </c>
      <c r="E676" s="37">
        <v>674.24962559819653</v>
      </c>
      <c r="F676" s="37">
        <v>720.00863082472983</v>
      </c>
      <c r="G676" s="37">
        <v>829.19874702053585</v>
      </c>
      <c r="H676" s="37">
        <v>806.19585867719434</v>
      </c>
      <c r="I676" s="37">
        <v>815.51249166375942</v>
      </c>
      <c r="J676" s="37">
        <v>773.98500847963146</v>
      </c>
      <c r="K676" s="37">
        <v>617.96491152736326</v>
      </c>
      <c r="L676" s="37">
        <v>487.57485713686214</v>
      </c>
      <c r="M676" s="37">
        <v>300.53152586167658</v>
      </c>
      <c r="N676" s="37">
        <v>273.82707618539251</v>
      </c>
      <c r="O676" s="37">
        <f t="shared" ref="O676:Z676" si="365">+O414</f>
        <v>127.2</v>
      </c>
      <c r="P676" s="37">
        <f t="shared" si="365"/>
        <v>436.8</v>
      </c>
      <c r="Q676" s="37">
        <f t="shared" si="365"/>
        <v>583.20000000000005</v>
      </c>
      <c r="R676" s="37">
        <f t="shared" si="365"/>
        <v>614.4</v>
      </c>
      <c r="S676" s="37">
        <f t="shared" si="365"/>
        <v>868.8</v>
      </c>
      <c r="T676" s="37">
        <f t="shared" si="365"/>
        <v>772.8</v>
      </c>
      <c r="U676" s="37">
        <f t="shared" si="365"/>
        <v>792</v>
      </c>
      <c r="V676" s="37">
        <f t="shared" si="365"/>
        <v>748.8</v>
      </c>
      <c r="W676" s="37">
        <f t="shared" si="365"/>
        <v>684</v>
      </c>
      <c r="X676" s="37">
        <f t="shared" si="365"/>
        <v>372</v>
      </c>
      <c r="Y676" s="37">
        <f t="shared" si="365"/>
        <v>292.8</v>
      </c>
      <c r="Z676" s="37">
        <f t="shared" si="365"/>
        <v>127.2</v>
      </c>
    </row>
    <row r="677" spans="1:15817" x14ac:dyDescent="0.2">
      <c r="A677" s="96" t="str">
        <f>+A419</f>
        <v xml:space="preserve">Encore -Jericho - Gravel Pit </v>
      </c>
      <c r="C677" s="37">
        <v>133.13048062158856</v>
      </c>
      <c r="D677" s="37">
        <v>170.75709963798096</v>
      </c>
      <c r="E677" s="37">
        <v>225.99297479009709</v>
      </c>
      <c r="F677" s="37">
        <v>250.23892173454735</v>
      </c>
      <c r="G677" s="37">
        <v>258.62012804431896</v>
      </c>
      <c r="H677" s="37">
        <v>270.70539398759809</v>
      </c>
      <c r="I677" s="37">
        <v>279.70805570328355</v>
      </c>
      <c r="J677" s="37">
        <v>265.47145427705112</v>
      </c>
      <c r="K677" s="37">
        <v>228.65201007463804</v>
      </c>
      <c r="L677" s="37">
        <v>160.94627579145541</v>
      </c>
      <c r="M677" s="37">
        <v>111.01147346078565</v>
      </c>
      <c r="N677" s="37">
        <v>102.20843953743685</v>
      </c>
      <c r="O677" s="37">
        <f t="shared" ref="O677:Z677" si="366">+O421</f>
        <v>17.834</v>
      </c>
      <c r="P677" s="37">
        <f t="shared" si="366"/>
        <v>130.50399999999999</v>
      </c>
      <c r="Q677" s="37">
        <f t="shared" si="366"/>
        <v>159.358</v>
      </c>
      <c r="R677" s="37">
        <f t="shared" si="366"/>
        <v>173.84800000000001</v>
      </c>
      <c r="S677" s="37">
        <f t="shared" si="366"/>
        <v>302.47899999999998</v>
      </c>
      <c r="T677" s="37">
        <f t="shared" si="366"/>
        <v>290.77499999999998</v>
      </c>
      <c r="U677" s="37">
        <f t="shared" si="366"/>
        <v>292.03399999999999</v>
      </c>
      <c r="V677" s="37">
        <f t="shared" si="366"/>
        <v>292.03399999999999</v>
      </c>
      <c r="W677" s="37">
        <f t="shared" si="366"/>
        <v>309.77100000000002</v>
      </c>
      <c r="X677" s="37">
        <f t="shared" si="366"/>
        <v>87.396000000000001</v>
      </c>
      <c r="Y677" s="37">
        <f t="shared" si="366"/>
        <v>90.251999999999995</v>
      </c>
      <c r="Z677" s="37">
        <f t="shared" si="366"/>
        <v>42.728999999999999</v>
      </c>
      <c r="AA677" s="37"/>
      <c r="AB677" s="37"/>
      <c r="AC677" s="37"/>
      <c r="AD677" s="37"/>
      <c r="AE677" s="37"/>
      <c r="AF677" s="37"/>
      <c r="AG677" s="37"/>
      <c r="AH677" s="37"/>
      <c r="AI677" s="37"/>
      <c r="AJ677" s="37"/>
      <c r="AK677" s="37"/>
      <c r="AL677" s="37"/>
      <c r="AM677" s="37"/>
      <c r="AN677" s="37"/>
      <c r="AO677" s="37"/>
      <c r="AP677" s="37"/>
      <c r="AQ677" s="37"/>
      <c r="AR677" s="37"/>
      <c r="AS677" s="37"/>
      <c r="AT677" s="37"/>
      <c r="AU677" s="37"/>
      <c r="AV677" s="37"/>
      <c r="AW677" s="37"/>
      <c r="AX677" s="37"/>
      <c r="AY677" s="37"/>
      <c r="AZ677" s="37"/>
      <c r="BA677" s="37"/>
      <c r="BB677" s="37"/>
      <c r="BC677" s="37"/>
      <c r="BD677" s="37"/>
      <c r="BE677" s="37"/>
      <c r="BF677" s="37"/>
      <c r="BG677" s="37"/>
      <c r="BH677" s="37"/>
      <c r="BI677" s="37"/>
      <c r="BJ677" s="37"/>
      <c r="BK677" s="37"/>
      <c r="BL677" s="37"/>
      <c r="BM677" s="37"/>
      <c r="BN677" s="37"/>
      <c r="BO677" s="37"/>
      <c r="BP677" s="37"/>
      <c r="BQ677" s="37"/>
      <c r="BR677" s="37"/>
      <c r="BS677" s="37"/>
      <c r="BT677" s="37"/>
      <c r="BU677" s="37"/>
      <c r="BV677" s="37"/>
      <c r="BW677" s="37"/>
      <c r="BX677" s="37"/>
      <c r="BY677" s="37"/>
      <c r="BZ677" s="37"/>
      <c r="CA677" s="37"/>
      <c r="CB677" s="37"/>
      <c r="CC677" s="37"/>
      <c r="CD677" s="37"/>
      <c r="CE677" s="37"/>
      <c r="CF677" s="37"/>
      <c r="CG677" s="37"/>
      <c r="CH677" s="37"/>
      <c r="CI677" s="37"/>
      <c r="CJ677" s="37"/>
      <c r="CK677" s="37"/>
      <c r="CL677" s="37"/>
      <c r="CM677" s="37"/>
      <c r="CN677" s="37"/>
      <c r="CO677" s="37"/>
      <c r="CP677" s="37"/>
      <c r="CQ677" s="37"/>
      <c r="CR677" s="37"/>
      <c r="CS677" s="37"/>
      <c r="CT677" s="37"/>
      <c r="CU677" s="37"/>
      <c r="CV677" s="37"/>
      <c r="CW677" s="37"/>
      <c r="CX677" s="37"/>
      <c r="CY677" s="37"/>
      <c r="CZ677" s="37"/>
      <c r="DA677" s="37"/>
      <c r="DB677" s="37"/>
      <c r="DC677" s="37"/>
      <c r="DD677" s="37"/>
      <c r="DE677" s="37"/>
      <c r="DF677" s="37"/>
      <c r="DG677" s="37"/>
      <c r="DH677" s="37"/>
      <c r="DI677" s="37"/>
      <c r="DJ677" s="37"/>
      <c r="DK677" s="37"/>
      <c r="DL677" s="37"/>
      <c r="DM677" s="37"/>
      <c r="DN677" s="37"/>
      <c r="DO677" s="37"/>
      <c r="DP677" s="37"/>
      <c r="DQ677" s="37"/>
      <c r="DR677" s="37"/>
      <c r="DS677" s="37"/>
      <c r="DT677" s="37"/>
      <c r="DU677" s="37"/>
      <c r="DV677" s="37"/>
      <c r="DW677" s="37"/>
      <c r="DX677" s="37"/>
      <c r="DY677" s="37"/>
      <c r="DZ677" s="37"/>
      <c r="EA677" s="37"/>
      <c r="EB677" s="37"/>
      <c r="EC677" s="37"/>
      <c r="ED677" s="37"/>
      <c r="EE677" s="37"/>
      <c r="EF677" s="37"/>
      <c r="EG677" s="37"/>
      <c r="EH677" s="37"/>
      <c r="EI677" s="37"/>
      <c r="EJ677" s="37"/>
      <c r="EK677" s="37"/>
      <c r="EL677" s="37"/>
      <c r="EM677" s="37"/>
      <c r="EN677" s="37"/>
      <c r="EO677" s="37"/>
      <c r="EP677" s="37"/>
      <c r="EQ677" s="37"/>
      <c r="ER677" s="37"/>
      <c r="ES677" s="37"/>
      <c r="ET677" s="37"/>
      <c r="EU677" s="37"/>
      <c r="EV677" s="37"/>
      <c r="EW677" s="37"/>
      <c r="EX677" s="37"/>
      <c r="EY677" s="37"/>
      <c r="EZ677" s="37"/>
      <c r="FA677" s="37"/>
      <c r="FB677" s="37"/>
      <c r="FC677" s="37"/>
      <c r="FD677" s="37"/>
      <c r="FE677" s="37"/>
      <c r="FF677" s="37"/>
      <c r="FG677" s="37"/>
      <c r="FH677" s="37"/>
      <c r="FI677" s="37"/>
      <c r="FJ677" s="37"/>
      <c r="FK677" s="37"/>
      <c r="FL677" s="37"/>
      <c r="FM677" s="37"/>
      <c r="FN677" s="37"/>
      <c r="FO677" s="37"/>
      <c r="FP677" s="37"/>
      <c r="FQ677" s="37"/>
      <c r="FR677" s="37"/>
      <c r="FS677" s="37"/>
      <c r="FT677" s="37"/>
      <c r="FU677" s="37"/>
      <c r="FV677" s="37"/>
      <c r="FW677" s="37"/>
      <c r="FX677" s="37"/>
      <c r="FY677" s="37"/>
      <c r="FZ677" s="37"/>
      <c r="GA677" s="37"/>
      <c r="GB677" s="37"/>
      <c r="GC677" s="37"/>
      <c r="GD677" s="37"/>
      <c r="GE677" s="37"/>
      <c r="GF677" s="37"/>
      <c r="GG677" s="37"/>
      <c r="GH677" s="37"/>
      <c r="GI677" s="37"/>
      <c r="GJ677" s="37"/>
      <c r="GK677" s="37"/>
      <c r="GL677" s="37"/>
      <c r="GM677" s="37"/>
      <c r="GN677" s="37"/>
      <c r="GO677" s="37"/>
      <c r="GP677" s="37"/>
      <c r="GQ677" s="37"/>
      <c r="GR677" s="37"/>
      <c r="GS677" s="37"/>
      <c r="GT677" s="37"/>
      <c r="GU677" s="37"/>
      <c r="GV677" s="37"/>
      <c r="GW677" s="37"/>
      <c r="GX677" s="37"/>
      <c r="GY677" s="37"/>
      <c r="GZ677" s="37"/>
      <c r="HA677" s="37"/>
      <c r="HB677" s="37"/>
      <c r="HC677" s="37"/>
      <c r="HD677" s="37"/>
      <c r="HE677" s="37"/>
      <c r="HF677" s="37"/>
      <c r="HG677" s="37"/>
      <c r="HH677" s="37"/>
      <c r="HI677" s="37"/>
      <c r="HJ677" s="37"/>
      <c r="HK677" s="37"/>
      <c r="HL677" s="37"/>
      <c r="HM677" s="37"/>
      <c r="HN677" s="37"/>
      <c r="HO677" s="37"/>
      <c r="HP677" s="37"/>
      <c r="HQ677" s="37"/>
      <c r="HR677" s="37"/>
      <c r="HS677" s="37"/>
      <c r="HT677" s="37"/>
      <c r="HU677" s="37"/>
      <c r="HV677" s="37"/>
      <c r="HW677" s="37"/>
      <c r="HX677" s="37"/>
      <c r="HY677" s="37"/>
      <c r="HZ677" s="37"/>
      <c r="IA677" s="37"/>
      <c r="IB677" s="37"/>
      <c r="IC677" s="37"/>
      <c r="ID677" s="37"/>
      <c r="IE677" s="37"/>
      <c r="IF677" s="37"/>
      <c r="IG677" s="37"/>
      <c r="IH677" s="37"/>
      <c r="II677" s="37"/>
      <c r="IJ677" s="37"/>
      <c r="IK677" s="37"/>
      <c r="IL677" s="37"/>
      <c r="IM677" s="37"/>
      <c r="IN677" s="37"/>
      <c r="IO677" s="37"/>
      <c r="IP677" s="37"/>
      <c r="IQ677" s="37"/>
      <c r="IR677" s="37"/>
      <c r="IS677" s="37"/>
      <c r="IT677" s="37"/>
      <c r="IU677" s="37"/>
      <c r="IV677" s="37"/>
      <c r="IW677" s="37"/>
      <c r="IX677" s="37"/>
      <c r="IY677" s="37"/>
      <c r="IZ677" s="37"/>
      <c r="JA677" s="37"/>
      <c r="JB677" s="37"/>
      <c r="JC677" s="37"/>
      <c r="JD677" s="37"/>
      <c r="JE677" s="37"/>
      <c r="JF677" s="37"/>
      <c r="JG677" s="37"/>
      <c r="JH677" s="37"/>
      <c r="JI677" s="37"/>
      <c r="JJ677" s="37"/>
      <c r="JK677" s="37"/>
      <c r="JL677" s="37"/>
      <c r="JM677" s="37"/>
      <c r="JN677" s="37"/>
      <c r="JO677" s="37"/>
      <c r="JP677" s="37"/>
      <c r="JQ677" s="37"/>
      <c r="JR677" s="37"/>
      <c r="JS677" s="37"/>
      <c r="JT677" s="37"/>
      <c r="JU677" s="37"/>
      <c r="JV677" s="37"/>
      <c r="JW677" s="37"/>
      <c r="JX677" s="37"/>
      <c r="JY677" s="37"/>
      <c r="JZ677" s="37"/>
      <c r="KA677" s="37"/>
      <c r="KB677" s="37"/>
      <c r="KC677" s="37"/>
      <c r="KD677" s="37"/>
      <c r="KE677" s="37"/>
      <c r="KF677" s="37"/>
      <c r="KG677" s="37"/>
      <c r="KH677" s="37"/>
      <c r="KI677" s="37"/>
      <c r="KJ677" s="37"/>
      <c r="KK677" s="37"/>
      <c r="KL677" s="37"/>
      <c r="KM677" s="37"/>
      <c r="KN677" s="37"/>
      <c r="KO677" s="37"/>
      <c r="KP677" s="37"/>
      <c r="KQ677" s="37"/>
      <c r="KR677" s="37"/>
      <c r="KS677" s="37"/>
      <c r="KT677" s="37"/>
      <c r="KU677" s="37"/>
      <c r="KV677" s="37"/>
      <c r="KW677" s="37"/>
      <c r="KX677" s="37"/>
      <c r="KY677" s="37"/>
      <c r="KZ677" s="37"/>
      <c r="LA677" s="37"/>
      <c r="LB677" s="37"/>
      <c r="LC677" s="37"/>
      <c r="LD677" s="37"/>
      <c r="LE677" s="37"/>
      <c r="LF677" s="37"/>
      <c r="LG677" s="37"/>
      <c r="LH677" s="37"/>
      <c r="LI677" s="37"/>
      <c r="LJ677" s="37"/>
      <c r="LK677" s="37"/>
      <c r="LL677" s="37"/>
      <c r="LM677" s="37"/>
      <c r="LN677" s="37"/>
      <c r="LO677" s="37"/>
      <c r="LP677" s="37"/>
      <c r="LQ677" s="37"/>
      <c r="LR677" s="37"/>
      <c r="LS677" s="37"/>
      <c r="LT677" s="37"/>
      <c r="LU677" s="37"/>
      <c r="LV677" s="37"/>
      <c r="LW677" s="37"/>
      <c r="LX677" s="37"/>
      <c r="LY677" s="37"/>
      <c r="LZ677" s="37"/>
      <c r="MA677" s="37"/>
      <c r="MB677" s="37"/>
      <c r="MC677" s="37"/>
      <c r="MD677" s="37"/>
      <c r="ME677" s="37"/>
      <c r="MF677" s="37"/>
      <c r="MG677" s="37"/>
      <c r="MH677" s="37"/>
      <c r="MI677" s="37"/>
      <c r="MJ677" s="37"/>
      <c r="MK677" s="37"/>
      <c r="ML677" s="37"/>
      <c r="MM677" s="37"/>
      <c r="MN677" s="37"/>
      <c r="MO677" s="37"/>
      <c r="MP677" s="37"/>
      <c r="MQ677" s="37"/>
      <c r="MR677" s="37"/>
      <c r="MS677" s="37"/>
      <c r="MT677" s="37"/>
      <c r="MU677" s="37"/>
      <c r="MV677" s="37"/>
      <c r="MW677" s="37"/>
      <c r="MX677" s="37"/>
      <c r="MY677" s="37"/>
      <c r="MZ677" s="37"/>
      <c r="NA677" s="37"/>
      <c r="NB677" s="37"/>
      <c r="NC677" s="37"/>
      <c r="ND677" s="37"/>
      <c r="NE677" s="37"/>
      <c r="NF677" s="37"/>
      <c r="NG677" s="37"/>
      <c r="NH677" s="37"/>
      <c r="NI677" s="37"/>
      <c r="NJ677" s="37"/>
      <c r="NK677" s="37"/>
      <c r="NL677" s="37"/>
      <c r="NM677" s="37"/>
      <c r="NN677" s="37"/>
      <c r="NO677" s="37"/>
      <c r="NP677" s="37"/>
      <c r="NQ677" s="37"/>
      <c r="NR677" s="37"/>
      <c r="NS677" s="37"/>
      <c r="NT677" s="37"/>
      <c r="NU677" s="37"/>
      <c r="NV677" s="37"/>
      <c r="NW677" s="37"/>
      <c r="NX677" s="37"/>
      <c r="NY677" s="37"/>
      <c r="NZ677" s="37"/>
      <c r="OA677" s="37"/>
      <c r="OB677" s="37"/>
      <c r="OC677" s="37"/>
      <c r="OD677" s="37"/>
      <c r="OE677" s="37"/>
      <c r="OF677" s="37"/>
      <c r="OG677" s="37"/>
      <c r="OH677" s="37"/>
      <c r="OI677" s="37"/>
      <c r="OJ677" s="37"/>
      <c r="OK677" s="37"/>
      <c r="OL677" s="37"/>
      <c r="OM677" s="37"/>
      <c r="ON677" s="37"/>
      <c r="OO677" s="37"/>
      <c r="OP677" s="37"/>
      <c r="OQ677" s="37"/>
      <c r="OR677" s="37"/>
      <c r="OS677" s="37"/>
      <c r="OT677" s="37"/>
      <c r="OU677" s="37"/>
      <c r="OV677" s="37"/>
      <c r="OW677" s="37"/>
      <c r="OX677" s="37"/>
      <c r="OY677" s="37"/>
      <c r="OZ677" s="37"/>
      <c r="PA677" s="37"/>
      <c r="PB677" s="37"/>
      <c r="PC677" s="37"/>
      <c r="PD677" s="37"/>
      <c r="PE677" s="37"/>
      <c r="PF677" s="37"/>
      <c r="PG677" s="37"/>
      <c r="PH677" s="37"/>
      <c r="PI677" s="37"/>
      <c r="PJ677" s="37"/>
      <c r="PK677" s="37"/>
      <c r="PL677" s="37"/>
      <c r="PM677" s="37"/>
      <c r="PN677" s="37"/>
      <c r="PO677" s="37"/>
      <c r="PP677" s="37"/>
      <c r="PQ677" s="37"/>
      <c r="PR677" s="37"/>
      <c r="PS677" s="37"/>
      <c r="PT677" s="37"/>
      <c r="PU677" s="37"/>
      <c r="PV677" s="37"/>
      <c r="PW677" s="37"/>
      <c r="PX677" s="37"/>
      <c r="PY677" s="37"/>
      <c r="PZ677" s="37"/>
      <c r="QA677" s="37"/>
      <c r="QB677" s="37"/>
      <c r="QC677" s="37"/>
      <c r="QD677" s="37"/>
      <c r="QE677" s="37"/>
      <c r="QF677" s="37"/>
      <c r="QG677" s="37"/>
      <c r="QH677" s="37"/>
      <c r="QI677" s="37"/>
      <c r="QJ677" s="37"/>
      <c r="QK677" s="37"/>
      <c r="QL677" s="37"/>
      <c r="QM677" s="37"/>
      <c r="QN677" s="37"/>
      <c r="QO677" s="37"/>
      <c r="QP677" s="37"/>
      <c r="QQ677" s="37"/>
      <c r="QR677" s="37"/>
      <c r="QS677" s="37"/>
      <c r="QT677" s="37"/>
      <c r="QU677" s="37"/>
      <c r="QV677" s="37"/>
      <c r="QW677" s="37"/>
      <c r="QX677" s="37"/>
      <c r="QY677" s="37"/>
      <c r="QZ677" s="37"/>
      <c r="RA677" s="37"/>
      <c r="RB677" s="37"/>
      <c r="RC677" s="37"/>
      <c r="RD677" s="37"/>
      <c r="RE677" s="37"/>
      <c r="RF677" s="37"/>
      <c r="RG677" s="37"/>
      <c r="RH677" s="37"/>
      <c r="RI677" s="37"/>
      <c r="RJ677" s="37"/>
      <c r="RK677" s="37"/>
      <c r="RL677" s="37"/>
      <c r="RM677" s="37"/>
      <c r="RN677" s="37"/>
      <c r="RO677" s="37"/>
      <c r="RP677" s="37"/>
      <c r="RQ677" s="37"/>
      <c r="RR677" s="37"/>
      <c r="RS677" s="37"/>
      <c r="RT677" s="37"/>
      <c r="RU677" s="37"/>
      <c r="RV677" s="37"/>
      <c r="RW677" s="37"/>
      <c r="RX677" s="37"/>
      <c r="RY677" s="37"/>
      <c r="RZ677" s="37"/>
      <c r="SA677" s="37"/>
      <c r="SB677" s="37"/>
      <c r="SC677" s="37"/>
      <c r="SD677" s="37"/>
      <c r="SE677" s="37"/>
      <c r="SF677" s="37"/>
      <c r="SG677" s="37"/>
      <c r="SH677" s="37"/>
      <c r="SI677" s="37"/>
      <c r="SJ677" s="37"/>
      <c r="SK677" s="37"/>
      <c r="SL677" s="37"/>
      <c r="SM677" s="37"/>
      <c r="SN677" s="37"/>
      <c r="SO677" s="37"/>
      <c r="SP677" s="37"/>
      <c r="SQ677" s="37"/>
      <c r="SR677" s="37"/>
      <c r="SS677" s="37"/>
      <c r="ST677" s="37"/>
      <c r="SU677" s="37"/>
      <c r="SV677" s="37"/>
      <c r="SW677" s="37"/>
      <c r="SX677" s="37"/>
      <c r="SY677" s="37"/>
      <c r="SZ677" s="37"/>
      <c r="TA677" s="37"/>
      <c r="TB677" s="37"/>
      <c r="TC677" s="37"/>
      <c r="TD677" s="37"/>
      <c r="TE677" s="37"/>
      <c r="TF677" s="37"/>
      <c r="TG677" s="37"/>
      <c r="TH677" s="37"/>
      <c r="TI677" s="37"/>
      <c r="TJ677" s="37"/>
      <c r="TK677" s="37"/>
      <c r="TL677" s="37"/>
      <c r="TM677" s="37"/>
      <c r="TN677" s="37"/>
      <c r="TO677" s="37"/>
      <c r="TP677" s="37"/>
      <c r="TQ677" s="37"/>
      <c r="TR677" s="37"/>
      <c r="TS677" s="37"/>
      <c r="TT677" s="37"/>
      <c r="TU677" s="37"/>
      <c r="TV677" s="37"/>
      <c r="TW677" s="37"/>
      <c r="TX677" s="37"/>
      <c r="TY677" s="37"/>
      <c r="TZ677" s="37"/>
      <c r="UA677" s="37"/>
      <c r="UB677" s="37"/>
      <c r="UC677" s="37"/>
      <c r="UD677" s="37"/>
      <c r="UE677" s="37"/>
      <c r="UF677" s="37"/>
      <c r="UG677" s="37"/>
      <c r="UH677" s="37"/>
      <c r="UI677" s="37"/>
      <c r="UJ677" s="37"/>
      <c r="UK677" s="37"/>
      <c r="UL677" s="37"/>
      <c r="UM677" s="37"/>
      <c r="UN677" s="37"/>
      <c r="UO677" s="37"/>
      <c r="UP677" s="37"/>
      <c r="UQ677" s="37"/>
      <c r="UR677" s="37"/>
      <c r="US677" s="37"/>
      <c r="UT677" s="37"/>
      <c r="UU677" s="37"/>
      <c r="UV677" s="37"/>
      <c r="UW677" s="37"/>
      <c r="UX677" s="37"/>
      <c r="UY677" s="37"/>
      <c r="UZ677" s="37"/>
      <c r="VA677" s="37"/>
      <c r="VB677" s="37"/>
      <c r="VC677" s="37"/>
      <c r="VD677" s="37"/>
      <c r="VE677" s="37"/>
      <c r="VF677" s="37"/>
      <c r="VG677" s="37"/>
      <c r="VH677" s="37"/>
      <c r="VI677" s="37"/>
      <c r="VJ677" s="37"/>
      <c r="VK677" s="37"/>
      <c r="VL677" s="37"/>
      <c r="VM677" s="37"/>
      <c r="VN677" s="37"/>
      <c r="VO677" s="37"/>
      <c r="VP677" s="37"/>
      <c r="VQ677" s="37"/>
      <c r="VR677" s="37"/>
      <c r="VS677" s="37"/>
      <c r="VT677" s="37"/>
      <c r="VU677" s="37"/>
      <c r="VV677" s="37"/>
      <c r="VW677" s="37"/>
      <c r="VX677" s="37"/>
      <c r="VY677" s="37"/>
      <c r="VZ677" s="37"/>
      <c r="WA677" s="37"/>
      <c r="WB677" s="37"/>
      <c r="WC677" s="37"/>
      <c r="WD677" s="37"/>
      <c r="WE677" s="37"/>
      <c r="WF677" s="37"/>
      <c r="WG677" s="37"/>
      <c r="WH677" s="37"/>
      <c r="WI677" s="37"/>
      <c r="WJ677" s="37"/>
      <c r="WK677" s="37"/>
      <c r="WL677" s="37"/>
      <c r="WM677" s="37"/>
      <c r="WN677" s="37"/>
      <c r="WO677" s="37"/>
      <c r="WP677" s="37"/>
      <c r="WQ677" s="37"/>
      <c r="WR677" s="37"/>
      <c r="WS677" s="37"/>
      <c r="WT677" s="37"/>
      <c r="WU677" s="37"/>
      <c r="WV677" s="37"/>
      <c r="WW677" s="37"/>
      <c r="WX677" s="37"/>
      <c r="WY677" s="37"/>
      <c r="WZ677" s="37"/>
      <c r="XA677" s="37"/>
      <c r="XB677" s="37"/>
      <c r="XC677" s="37"/>
      <c r="XD677" s="37"/>
      <c r="XE677" s="37"/>
      <c r="XF677" s="37"/>
      <c r="XG677" s="37"/>
      <c r="XH677" s="37"/>
      <c r="XI677" s="37"/>
      <c r="XJ677" s="37"/>
      <c r="XK677" s="37"/>
      <c r="XL677" s="37"/>
      <c r="XM677" s="37"/>
      <c r="XN677" s="37"/>
      <c r="XO677" s="37"/>
      <c r="XP677" s="37"/>
      <c r="XQ677" s="37"/>
      <c r="XR677" s="37"/>
      <c r="XS677" s="37"/>
      <c r="XT677" s="37"/>
      <c r="XU677" s="37"/>
      <c r="XV677" s="37"/>
      <c r="XW677" s="37"/>
      <c r="XX677" s="37"/>
      <c r="XY677" s="37"/>
      <c r="XZ677" s="37"/>
      <c r="YA677" s="37"/>
      <c r="YB677" s="37"/>
      <c r="YC677" s="37"/>
      <c r="YD677" s="37"/>
      <c r="YE677" s="37"/>
      <c r="YF677" s="37"/>
      <c r="YG677" s="37"/>
      <c r="YH677" s="37"/>
      <c r="YI677" s="37"/>
      <c r="YJ677" s="37"/>
      <c r="YK677" s="37"/>
      <c r="YL677" s="37"/>
      <c r="YM677" s="37"/>
      <c r="YN677" s="37"/>
      <c r="YO677" s="37"/>
      <c r="YP677" s="37"/>
      <c r="YQ677" s="37"/>
      <c r="YR677" s="37"/>
      <c r="YS677" s="37"/>
      <c r="YT677" s="37"/>
      <c r="YU677" s="37"/>
      <c r="YV677" s="37"/>
      <c r="YW677" s="37"/>
      <c r="YX677" s="37"/>
      <c r="YY677" s="37"/>
      <c r="YZ677" s="37"/>
      <c r="ZA677" s="37"/>
      <c r="ZB677" s="37"/>
      <c r="ZC677" s="37"/>
      <c r="ZD677" s="37"/>
      <c r="ZE677" s="37"/>
      <c r="ZF677" s="37"/>
      <c r="ZG677" s="37"/>
      <c r="ZH677" s="37"/>
      <c r="ZI677" s="37"/>
      <c r="ZJ677" s="37"/>
      <c r="ZK677" s="37"/>
      <c r="ZL677" s="37"/>
      <c r="ZM677" s="37"/>
      <c r="ZN677" s="37"/>
      <c r="ZO677" s="37"/>
      <c r="ZP677" s="37"/>
      <c r="ZQ677" s="37"/>
      <c r="ZR677" s="37"/>
      <c r="ZS677" s="37"/>
      <c r="ZT677" s="37"/>
      <c r="ZU677" s="37"/>
      <c r="ZV677" s="37"/>
      <c r="ZW677" s="37"/>
      <c r="ZX677" s="37"/>
      <c r="ZY677" s="37"/>
      <c r="ZZ677" s="37"/>
      <c r="AAA677" s="37"/>
      <c r="AAB677" s="37"/>
      <c r="AAC677" s="37"/>
      <c r="AAD677" s="37"/>
      <c r="AAE677" s="37"/>
      <c r="AAF677" s="37"/>
      <c r="AAG677" s="37"/>
      <c r="AAH677" s="37"/>
      <c r="AAI677" s="37"/>
      <c r="AAJ677" s="37"/>
      <c r="AAK677" s="37"/>
      <c r="AAL677" s="37"/>
      <c r="AAM677" s="37"/>
      <c r="AAN677" s="37"/>
      <c r="AAO677" s="37"/>
      <c r="AAP677" s="37"/>
      <c r="AAQ677" s="37"/>
      <c r="AAR677" s="37"/>
      <c r="AAS677" s="37"/>
      <c r="AAT677" s="37"/>
      <c r="AAU677" s="37"/>
      <c r="AAV677" s="37"/>
      <c r="AAW677" s="37"/>
      <c r="AAX677" s="37"/>
      <c r="AAY677" s="37"/>
      <c r="AAZ677" s="37"/>
      <c r="ABA677" s="37"/>
      <c r="ABB677" s="37"/>
      <c r="ABC677" s="37"/>
      <c r="ABD677" s="37"/>
      <c r="ABE677" s="37"/>
      <c r="ABF677" s="37"/>
      <c r="ABG677" s="37"/>
      <c r="ABH677" s="37"/>
      <c r="ABI677" s="37"/>
      <c r="ABJ677" s="37"/>
      <c r="ABK677" s="37"/>
      <c r="ABL677" s="37"/>
      <c r="ABM677" s="37"/>
      <c r="ABN677" s="37"/>
      <c r="ABO677" s="37"/>
      <c r="ABP677" s="37"/>
      <c r="ABQ677" s="37"/>
      <c r="ABR677" s="37"/>
      <c r="ABS677" s="37"/>
      <c r="ABT677" s="37"/>
      <c r="ABU677" s="37"/>
      <c r="ABV677" s="37"/>
      <c r="ABW677" s="37"/>
      <c r="ABX677" s="37"/>
      <c r="ABY677" s="37"/>
      <c r="ABZ677" s="37"/>
      <c r="ACA677" s="37"/>
      <c r="ACB677" s="37"/>
      <c r="ACC677" s="37"/>
      <c r="ACD677" s="37"/>
      <c r="ACE677" s="37"/>
      <c r="ACF677" s="37"/>
      <c r="ACG677" s="37"/>
      <c r="ACH677" s="37"/>
      <c r="ACI677" s="37"/>
      <c r="ACJ677" s="37"/>
      <c r="ACK677" s="37"/>
      <c r="ACL677" s="37"/>
      <c r="ACM677" s="37"/>
      <c r="ACN677" s="37"/>
      <c r="ACO677" s="37"/>
      <c r="ACP677" s="37"/>
      <c r="ACQ677" s="37"/>
      <c r="ACR677" s="37"/>
      <c r="ACS677" s="37"/>
      <c r="ACT677" s="37"/>
      <c r="ACU677" s="37"/>
      <c r="ACV677" s="37"/>
      <c r="ACW677" s="37"/>
      <c r="ACX677" s="37"/>
      <c r="ACY677" s="37"/>
      <c r="ACZ677" s="37"/>
      <c r="ADA677" s="37"/>
      <c r="ADB677" s="37"/>
      <c r="ADC677" s="37"/>
      <c r="ADD677" s="37"/>
      <c r="ADE677" s="37"/>
      <c r="ADF677" s="37"/>
      <c r="ADG677" s="37"/>
      <c r="ADH677" s="37"/>
      <c r="ADI677" s="37"/>
      <c r="ADJ677" s="37"/>
      <c r="ADK677" s="37"/>
      <c r="ADL677" s="37"/>
      <c r="ADM677" s="37"/>
      <c r="ADN677" s="37"/>
      <c r="ADO677" s="37"/>
      <c r="ADP677" s="37"/>
      <c r="ADQ677" s="37"/>
      <c r="ADR677" s="37"/>
      <c r="ADS677" s="37"/>
      <c r="ADT677" s="37"/>
      <c r="ADU677" s="37"/>
      <c r="ADV677" s="37"/>
      <c r="ADW677" s="37"/>
      <c r="ADX677" s="37"/>
      <c r="ADY677" s="37"/>
      <c r="ADZ677" s="37"/>
      <c r="AEA677" s="37"/>
      <c r="AEB677" s="37"/>
      <c r="AEC677" s="37"/>
      <c r="AED677" s="37"/>
      <c r="AEE677" s="37"/>
      <c r="AEF677" s="37"/>
      <c r="AEG677" s="37"/>
      <c r="AEH677" s="37"/>
      <c r="AEI677" s="37"/>
      <c r="AEJ677" s="37"/>
      <c r="AEK677" s="37"/>
      <c r="AEL677" s="37"/>
      <c r="AEM677" s="37"/>
      <c r="AEN677" s="37"/>
      <c r="AEO677" s="37"/>
      <c r="AEP677" s="37"/>
      <c r="AEQ677" s="37"/>
      <c r="AER677" s="37"/>
      <c r="AES677" s="37"/>
      <c r="AET677" s="37"/>
      <c r="AEU677" s="37"/>
      <c r="AEV677" s="37"/>
      <c r="AEW677" s="37"/>
      <c r="AEX677" s="37"/>
      <c r="AEY677" s="37"/>
      <c r="AEZ677" s="37"/>
      <c r="AFA677" s="37"/>
      <c r="AFB677" s="37"/>
      <c r="AFC677" s="37"/>
      <c r="AFD677" s="37"/>
      <c r="AFE677" s="37"/>
      <c r="AFF677" s="37"/>
      <c r="AFG677" s="37"/>
      <c r="AFH677" s="37"/>
      <c r="AFI677" s="37"/>
      <c r="AFJ677" s="37"/>
      <c r="AFK677" s="37"/>
      <c r="AFL677" s="37"/>
      <c r="AFM677" s="37"/>
      <c r="AFN677" s="37"/>
      <c r="AFO677" s="37"/>
      <c r="AFP677" s="37"/>
      <c r="AFQ677" s="37"/>
      <c r="AFR677" s="37"/>
      <c r="AFS677" s="37"/>
      <c r="AFT677" s="37"/>
      <c r="AFU677" s="37"/>
      <c r="AFV677" s="37"/>
      <c r="AFW677" s="37"/>
      <c r="AFX677" s="37"/>
      <c r="AFY677" s="37"/>
      <c r="AFZ677" s="37"/>
      <c r="AGA677" s="37"/>
      <c r="AGB677" s="37"/>
      <c r="AGC677" s="37"/>
      <c r="AGD677" s="37"/>
      <c r="AGE677" s="37"/>
      <c r="AGF677" s="37"/>
      <c r="AGG677" s="37"/>
      <c r="AGH677" s="37"/>
      <c r="AGI677" s="37"/>
      <c r="AGJ677" s="37"/>
      <c r="AGK677" s="37"/>
      <c r="AGL677" s="37"/>
      <c r="AGM677" s="37"/>
      <c r="AGN677" s="37"/>
      <c r="AGO677" s="37"/>
      <c r="AGP677" s="37"/>
      <c r="AGQ677" s="37"/>
      <c r="AGR677" s="37"/>
      <c r="AGS677" s="37"/>
      <c r="AGT677" s="37"/>
      <c r="AGU677" s="37"/>
      <c r="AGV677" s="37"/>
      <c r="AGW677" s="37"/>
      <c r="AGX677" s="37"/>
      <c r="AGY677" s="37"/>
      <c r="AGZ677" s="37"/>
      <c r="AHA677" s="37"/>
      <c r="AHB677" s="37"/>
      <c r="AHC677" s="37"/>
      <c r="AHD677" s="37"/>
      <c r="AHE677" s="37"/>
      <c r="AHF677" s="37"/>
      <c r="AHG677" s="37"/>
      <c r="AHH677" s="37"/>
      <c r="AHI677" s="37"/>
      <c r="AHJ677" s="37"/>
      <c r="AHK677" s="37"/>
      <c r="AHL677" s="37"/>
      <c r="AHM677" s="37"/>
      <c r="AHN677" s="37"/>
      <c r="AHO677" s="37"/>
      <c r="AHP677" s="37"/>
      <c r="AHQ677" s="37"/>
      <c r="AHR677" s="37"/>
      <c r="AHS677" s="37"/>
      <c r="AHT677" s="37"/>
      <c r="AHU677" s="37"/>
      <c r="AHV677" s="37"/>
      <c r="AHW677" s="37"/>
      <c r="AHX677" s="37"/>
      <c r="AHY677" s="37"/>
      <c r="AHZ677" s="37"/>
      <c r="AIA677" s="37"/>
      <c r="AIB677" s="37"/>
      <c r="AIC677" s="37"/>
      <c r="AID677" s="37"/>
      <c r="AIE677" s="37"/>
      <c r="AIF677" s="37"/>
      <c r="AIG677" s="37"/>
      <c r="AIH677" s="37"/>
      <c r="AII677" s="37"/>
      <c r="AIJ677" s="37"/>
      <c r="AIK677" s="37"/>
      <c r="AIL677" s="37"/>
      <c r="AIM677" s="37"/>
      <c r="AIN677" s="37"/>
      <c r="AIO677" s="37"/>
      <c r="AIP677" s="37"/>
      <c r="AIQ677" s="37"/>
      <c r="AIR677" s="37"/>
      <c r="AIS677" s="37"/>
      <c r="AIT677" s="37"/>
      <c r="AIU677" s="37"/>
      <c r="AIV677" s="37"/>
      <c r="AIW677" s="37"/>
      <c r="AIX677" s="37"/>
      <c r="AIY677" s="37"/>
      <c r="AIZ677" s="37"/>
      <c r="AJA677" s="37"/>
      <c r="AJB677" s="37"/>
      <c r="AJC677" s="37"/>
      <c r="AJD677" s="37"/>
      <c r="AJE677" s="37"/>
      <c r="AJF677" s="37"/>
      <c r="AJG677" s="37"/>
      <c r="AJH677" s="37"/>
      <c r="AJI677" s="37"/>
      <c r="AJJ677" s="37"/>
      <c r="AJK677" s="37"/>
      <c r="AJL677" s="37"/>
      <c r="AJM677" s="37"/>
      <c r="AJN677" s="37"/>
      <c r="AJO677" s="37"/>
      <c r="AJP677" s="37"/>
      <c r="AJQ677" s="37"/>
      <c r="AJR677" s="37"/>
      <c r="AJS677" s="37"/>
      <c r="AJT677" s="37"/>
      <c r="AJU677" s="37"/>
      <c r="AJV677" s="37"/>
      <c r="AJW677" s="37"/>
      <c r="AJX677" s="37"/>
      <c r="AJY677" s="37"/>
      <c r="AJZ677" s="37"/>
      <c r="AKA677" s="37"/>
      <c r="AKB677" s="37"/>
      <c r="AKC677" s="37"/>
      <c r="AKD677" s="37"/>
      <c r="AKE677" s="37"/>
      <c r="AKF677" s="37"/>
      <c r="AKG677" s="37"/>
      <c r="AKH677" s="37"/>
      <c r="AKI677" s="37"/>
      <c r="AKJ677" s="37"/>
      <c r="AKK677" s="37"/>
      <c r="AKL677" s="37"/>
      <c r="AKM677" s="37"/>
      <c r="AKN677" s="37"/>
      <c r="AKO677" s="37"/>
      <c r="AKP677" s="37"/>
      <c r="AKQ677" s="37"/>
      <c r="AKR677" s="37"/>
      <c r="AKS677" s="37"/>
      <c r="AKT677" s="37"/>
      <c r="AKU677" s="37"/>
      <c r="AKV677" s="37"/>
      <c r="AKW677" s="37"/>
      <c r="AKX677" s="37"/>
      <c r="AKY677" s="37"/>
      <c r="AKZ677" s="37"/>
      <c r="ALA677" s="37"/>
      <c r="ALB677" s="37"/>
      <c r="ALC677" s="37"/>
      <c r="ALD677" s="37"/>
      <c r="ALE677" s="37"/>
      <c r="ALF677" s="37"/>
      <c r="ALG677" s="37"/>
      <c r="ALH677" s="37"/>
      <c r="ALI677" s="37"/>
      <c r="ALJ677" s="37"/>
      <c r="ALK677" s="37"/>
      <c r="ALL677" s="37"/>
      <c r="ALM677" s="37"/>
      <c r="ALN677" s="37"/>
      <c r="ALO677" s="37"/>
      <c r="ALP677" s="37"/>
      <c r="ALQ677" s="37"/>
      <c r="ALR677" s="37"/>
      <c r="ALS677" s="37"/>
      <c r="ALT677" s="37"/>
      <c r="ALU677" s="37"/>
      <c r="ALV677" s="37"/>
      <c r="ALW677" s="37"/>
      <c r="ALX677" s="37"/>
      <c r="ALY677" s="37"/>
      <c r="ALZ677" s="37"/>
      <c r="AMA677" s="37"/>
      <c r="AMB677" s="37"/>
      <c r="AMC677" s="37"/>
      <c r="AMD677" s="37"/>
      <c r="AME677" s="37"/>
      <c r="AMF677" s="37"/>
      <c r="AMG677" s="37"/>
      <c r="AMH677" s="37"/>
      <c r="AMI677" s="37"/>
      <c r="AMJ677" s="37"/>
      <c r="AMK677" s="37"/>
      <c r="AML677" s="37"/>
      <c r="AMM677" s="37"/>
      <c r="AMN677" s="37"/>
      <c r="AMO677" s="37"/>
      <c r="AMP677" s="37"/>
      <c r="AMQ677" s="37"/>
      <c r="AMR677" s="37"/>
      <c r="AMS677" s="37"/>
      <c r="AMT677" s="37"/>
      <c r="AMU677" s="37"/>
      <c r="AMV677" s="37"/>
      <c r="AMW677" s="37"/>
      <c r="AMX677" s="37"/>
      <c r="AMY677" s="37"/>
      <c r="AMZ677" s="37"/>
      <c r="ANA677" s="37"/>
      <c r="ANB677" s="37"/>
      <c r="ANC677" s="37"/>
      <c r="AND677" s="37"/>
      <c r="ANE677" s="37"/>
      <c r="ANF677" s="37"/>
      <c r="ANG677" s="37"/>
      <c r="ANH677" s="37"/>
      <c r="ANI677" s="37"/>
      <c r="ANJ677" s="37"/>
      <c r="ANK677" s="37"/>
      <c r="ANL677" s="37"/>
      <c r="ANM677" s="37"/>
      <c r="ANN677" s="37"/>
      <c r="ANO677" s="37"/>
      <c r="ANP677" s="37"/>
      <c r="ANQ677" s="37"/>
      <c r="ANR677" s="37"/>
      <c r="ANS677" s="37"/>
      <c r="ANT677" s="37"/>
      <c r="ANU677" s="37"/>
      <c r="ANV677" s="37"/>
      <c r="ANW677" s="37"/>
      <c r="ANX677" s="37"/>
      <c r="ANY677" s="37"/>
      <c r="ANZ677" s="37"/>
      <c r="AOA677" s="37"/>
      <c r="AOB677" s="37"/>
      <c r="AOC677" s="37"/>
      <c r="AOD677" s="37"/>
      <c r="AOE677" s="37"/>
      <c r="AOF677" s="37"/>
      <c r="AOG677" s="37"/>
      <c r="AOH677" s="37"/>
      <c r="AOI677" s="37"/>
      <c r="AOJ677" s="37"/>
      <c r="AOK677" s="37"/>
      <c r="AOL677" s="37"/>
      <c r="AOM677" s="37"/>
      <c r="AON677" s="37"/>
      <c r="AOO677" s="37"/>
      <c r="AOP677" s="37"/>
      <c r="AOQ677" s="37"/>
      <c r="AOR677" s="37"/>
      <c r="AOS677" s="37"/>
      <c r="AOT677" s="37"/>
      <c r="AOU677" s="37"/>
      <c r="AOV677" s="37"/>
      <c r="AOW677" s="37"/>
      <c r="AOX677" s="37"/>
      <c r="AOY677" s="37"/>
      <c r="AOZ677" s="37"/>
      <c r="APA677" s="37"/>
      <c r="APB677" s="37"/>
      <c r="APC677" s="37"/>
      <c r="APD677" s="37"/>
      <c r="APE677" s="37"/>
      <c r="APF677" s="37"/>
      <c r="APG677" s="37"/>
      <c r="APH677" s="37"/>
      <c r="API677" s="37"/>
      <c r="APJ677" s="37"/>
      <c r="APK677" s="37"/>
      <c r="APL677" s="37"/>
      <c r="APM677" s="37"/>
      <c r="APN677" s="37"/>
      <c r="APO677" s="37"/>
      <c r="APP677" s="37"/>
      <c r="APQ677" s="37"/>
      <c r="APR677" s="37"/>
      <c r="APS677" s="37"/>
      <c r="APT677" s="37"/>
      <c r="APU677" s="37"/>
      <c r="APV677" s="37"/>
      <c r="APW677" s="37"/>
      <c r="APX677" s="37"/>
      <c r="APY677" s="37"/>
      <c r="APZ677" s="37"/>
      <c r="AQA677" s="37"/>
      <c r="AQB677" s="37"/>
      <c r="AQC677" s="37"/>
      <c r="AQD677" s="37"/>
      <c r="AQE677" s="37"/>
      <c r="AQF677" s="37"/>
      <c r="AQG677" s="37"/>
      <c r="AQH677" s="37"/>
      <c r="AQI677" s="37"/>
      <c r="AQJ677" s="37"/>
      <c r="AQK677" s="37"/>
      <c r="AQL677" s="37"/>
      <c r="AQM677" s="37"/>
      <c r="AQN677" s="37"/>
      <c r="AQO677" s="37"/>
      <c r="AQP677" s="37"/>
      <c r="AQQ677" s="37"/>
      <c r="AQR677" s="37"/>
      <c r="AQS677" s="37"/>
      <c r="AQT677" s="37"/>
      <c r="AQU677" s="37"/>
      <c r="AQV677" s="37"/>
      <c r="AQW677" s="37"/>
      <c r="AQX677" s="37"/>
      <c r="AQY677" s="37"/>
      <c r="AQZ677" s="37"/>
      <c r="ARA677" s="37"/>
      <c r="ARB677" s="37"/>
      <c r="ARC677" s="37"/>
      <c r="ARD677" s="37"/>
      <c r="ARE677" s="37"/>
      <c r="ARF677" s="37"/>
      <c r="ARG677" s="37"/>
      <c r="ARH677" s="37"/>
      <c r="ARI677" s="37"/>
      <c r="ARJ677" s="37"/>
      <c r="ARK677" s="37"/>
      <c r="ARL677" s="37"/>
      <c r="ARM677" s="37"/>
      <c r="ARN677" s="37"/>
      <c r="ARO677" s="37"/>
      <c r="ARP677" s="37"/>
      <c r="ARQ677" s="37"/>
      <c r="ARR677" s="37"/>
      <c r="ARS677" s="37"/>
      <c r="ART677" s="37"/>
      <c r="ARU677" s="37"/>
      <c r="ARV677" s="37"/>
      <c r="ARW677" s="37"/>
      <c r="ARX677" s="37"/>
      <c r="ARY677" s="37"/>
      <c r="ARZ677" s="37"/>
      <c r="ASA677" s="37"/>
      <c r="ASB677" s="37"/>
      <c r="ASC677" s="37"/>
      <c r="ASD677" s="37"/>
      <c r="ASE677" s="37"/>
      <c r="ASF677" s="37"/>
      <c r="ASG677" s="37"/>
      <c r="ASH677" s="37"/>
      <c r="ASI677" s="37"/>
      <c r="ASJ677" s="37"/>
      <c r="ASK677" s="37"/>
      <c r="ASL677" s="37"/>
      <c r="ASM677" s="37"/>
      <c r="ASN677" s="37"/>
      <c r="ASO677" s="37"/>
      <c r="ASP677" s="37"/>
      <c r="ASQ677" s="37"/>
      <c r="ASR677" s="37"/>
      <c r="ASS677" s="37"/>
      <c r="AST677" s="37"/>
      <c r="ASU677" s="37"/>
      <c r="ASV677" s="37"/>
      <c r="ASW677" s="37"/>
      <c r="ASX677" s="37"/>
      <c r="ASY677" s="37"/>
      <c r="ASZ677" s="37"/>
      <c r="ATA677" s="37"/>
      <c r="ATB677" s="37"/>
      <c r="ATC677" s="37"/>
      <c r="ATD677" s="37"/>
      <c r="ATE677" s="37"/>
      <c r="ATF677" s="37"/>
      <c r="ATG677" s="37"/>
      <c r="ATH677" s="37"/>
      <c r="ATI677" s="37"/>
      <c r="ATJ677" s="37"/>
      <c r="ATK677" s="37"/>
      <c r="ATL677" s="37"/>
      <c r="ATM677" s="37"/>
      <c r="ATN677" s="37"/>
      <c r="ATO677" s="37"/>
      <c r="ATP677" s="37"/>
      <c r="ATQ677" s="37"/>
      <c r="ATR677" s="37"/>
      <c r="ATS677" s="37"/>
      <c r="ATT677" s="37"/>
      <c r="ATU677" s="37"/>
      <c r="ATV677" s="37"/>
      <c r="ATW677" s="37"/>
      <c r="ATX677" s="37"/>
      <c r="ATY677" s="37"/>
      <c r="ATZ677" s="37"/>
      <c r="AUA677" s="37"/>
      <c r="AUB677" s="37"/>
      <c r="AUC677" s="37"/>
      <c r="AUD677" s="37"/>
      <c r="AUE677" s="37"/>
      <c r="AUF677" s="37"/>
      <c r="AUG677" s="37"/>
      <c r="AUH677" s="37"/>
      <c r="AUI677" s="37"/>
      <c r="AUJ677" s="37"/>
      <c r="AUK677" s="37"/>
      <c r="AUL677" s="37"/>
      <c r="AUM677" s="37"/>
      <c r="AUN677" s="37"/>
      <c r="AUO677" s="37"/>
      <c r="AUP677" s="37"/>
      <c r="AUQ677" s="37"/>
      <c r="AUR677" s="37"/>
      <c r="AUS677" s="37"/>
      <c r="AUT677" s="37"/>
      <c r="AUU677" s="37"/>
      <c r="AUV677" s="37"/>
      <c r="AUW677" s="37"/>
      <c r="AUX677" s="37"/>
      <c r="AUY677" s="37"/>
      <c r="AUZ677" s="37"/>
      <c r="AVA677" s="37"/>
      <c r="AVB677" s="37"/>
      <c r="AVC677" s="37"/>
      <c r="AVD677" s="37"/>
      <c r="AVE677" s="37"/>
      <c r="AVF677" s="37"/>
      <c r="AVG677" s="37"/>
      <c r="AVH677" s="37"/>
      <c r="AVI677" s="37"/>
      <c r="AVJ677" s="37"/>
      <c r="AVK677" s="37"/>
      <c r="AVL677" s="37"/>
      <c r="AVM677" s="37"/>
      <c r="AVN677" s="37"/>
      <c r="AVO677" s="37"/>
      <c r="AVP677" s="37"/>
      <c r="AVQ677" s="37"/>
      <c r="AVR677" s="37"/>
      <c r="AVS677" s="37"/>
      <c r="AVT677" s="37"/>
      <c r="AVU677" s="37"/>
      <c r="AVV677" s="37"/>
      <c r="AVW677" s="37"/>
      <c r="AVX677" s="37"/>
      <c r="AVY677" s="37"/>
      <c r="AVZ677" s="37"/>
      <c r="AWA677" s="37"/>
      <c r="AWB677" s="37"/>
      <c r="AWC677" s="37"/>
      <c r="AWD677" s="37"/>
      <c r="AWE677" s="37"/>
      <c r="AWF677" s="37"/>
      <c r="AWG677" s="37"/>
      <c r="AWH677" s="37"/>
      <c r="AWI677" s="37"/>
      <c r="AWJ677" s="37"/>
      <c r="AWK677" s="37"/>
      <c r="AWL677" s="37"/>
      <c r="AWM677" s="37"/>
      <c r="AWN677" s="37"/>
      <c r="AWO677" s="37"/>
      <c r="AWP677" s="37"/>
      <c r="AWQ677" s="37"/>
      <c r="AWR677" s="37"/>
      <c r="AWS677" s="37"/>
      <c r="AWT677" s="37"/>
      <c r="AWU677" s="37"/>
      <c r="AWV677" s="37"/>
      <c r="AWW677" s="37"/>
      <c r="AWX677" s="37"/>
      <c r="AWY677" s="37"/>
      <c r="AWZ677" s="37"/>
      <c r="AXA677" s="37"/>
      <c r="AXB677" s="37"/>
      <c r="AXC677" s="37"/>
      <c r="AXD677" s="37"/>
      <c r="AXE677" s="37"/>
      <c r="AXF677" s="37"/>
      <c r="AXG677" s="37"/>
      <c r="AXH677" s="37"/>
      <c r="AXI677" s="37"/>
      <c r="AXJ677" s="37"/>
      <c r="AXK677" s="37"/>
      <c r="AXL677" s="37"/>
      <c r="AXM677" s="37"/>
      <c r="AXN677" s="37"/>
      <c r="AXO677" s="37"/>
      <c r="AXP677" s="37"/>
      <c r="AXQ677" s="37"/>
      <c r="AXR677" s="37"/>
      <c r="AXS677" s="37"/>
      <c r="AXT677" s="37"/>
      <c r="AXU677" s="37"/>
      <c r="AXV677" s="37"/>
      <c r="AXW677" s="37"/>
      <c r="AXX677" s="37"/>
      <c r="AXY677" s="37"/>
      <c r="AXZ677" s="37"/>
      <c r="AYA677" s="37"/>
      <c r="AYB677" s="37"/>
      <c r="AYC677" s="37"/>
      <c r="AYD677" s="37"/>
      <c r="AYE677" s="37"/>
      <c r="AYF677" s="37"/>
      <c r="AYG677" s="37"/>
      <c r="AYH677" s="37"/>
      <c r="AYI677" s="37"/>
      <c r="AYJ677" s="37"/>
      <c r="AYK677" s="37"/>
      <c r="AYL677" s="37"/>
      <c r="AYM677" s="37"/>
      <c r="AYN677" s="37"/>
      <c r="AYO677" s="37"/>
      <c r="AYP677" s="37"/>
      <c r="AYQ677" s="37"/>
      <c r="AYR677" s="37"/>
      <c r="AYS677" s="37"/>
      <c r="AYT677" s="37"/>
      <c r="AYU677" s="37"/>
      <c r="AYV677" s="37"/>
      <c r="AYW677" s="37"/>
      <c r="AYX677" s="37"/>
      <c r="AYY677" s="37"/>
      <c r="AYZ677" s="37"/>
      <c r="AZA677" s="37"/>
      <c r="AZB677" s="37"/>
      <c r="AZC677" s="37"/>
      <c r="AZD677" s="37"/>
      <c r="AZE677" s="37"/>
      <c r="AZF677" s="37"/>
      <c r="AZG677" s="37"/>
      <c r="AZH677" s="37"/>
      <c r="AZI677" s="37"/>
      <c r="AZJ677" s="37"/>
      <c r="AZK677" s="37"/>
      <c r="AZL677" s="37"/>
      <c r="AZM677" s="37"/>
      <c r="AZN677" s="37"/>
      <c r="AZO677" s="37"/>
      <c r="AZP677" s="37"/>
      <c r="AZQ677" s="37"/>
      <c r="AZR677" s="37"/>
      <c r="AZS677" s="37"/>
      <c r="AZT677" s="37"/>
      <c r="AZU677" s="37"/>
      <c r="AZV677" s="37"/>
      <c r="AZW677" s="37"/>
      <c r="AZX677" s="37"/>
      <c r="AZY677" s="37"/>
      <c r="AZZ677" s="37"/>
      <c r="BAA677" s="37"/>
      <c r="BAB677" s="37"/>
      <c r="BAC677" s="37"/>
      <c r="BAD677" s="37"/>
      <c r="BAE677" s="37"/>
      <c r="BAF677" s="37"/>
      <c r="BAG677" s="37"/>
      <c r="BAH677" s="37"/>
      <c r="BAI677" s="37"/>
      <c r="BAJ677" s="37"/>
      <c r="BAK677" s="37"/>
      <c r="BAL677" s="37"/>
      <c r="BAM677" s="37"/>
      <c r="BAN677" s="37"/>
      <c r="BAO677" s="37"/>
      <c r="BAP677" s="37"/>
      <c r="BAQ677" s="37"/>
      <c r="BAR677" s="37"/>
      <c r="BAS677" s="37"/>
      <c r="BAT677" s="37"/>
      <c r="BAU677" s="37"/>
      <c r="BAV677" s="37"/>
      <c r="BAW677" s="37"/>
      <c r="BAX677" s="37"/>
      <c r="BAY677" s="37"/>
      <c r="BAZ677" s="37"/>
      <c r="BBA677" s="37"/>
      <c r="BBB677" s="37"/>
      <c r="BBC677" s="37"/>
      <c r="BBD677" s="37"/>
      <c r="BBE677" s="37"/>
      <c r="BBF677" s="37"/>
      <c r="BBG677" s="37"/>
      <c r="BBH677" s="37"/>
      <c r="BBI677" s="37"/>
      <c r="BBJ677" s="37"/>
      <c r="BBK677" s="37"/>
      <c r="BBL677" s="37"/>
      <c r="BBM677" s="37"/>
      <c r="BBN677" s="37"/>
      <c r="BBO677" s="37"/>
      <c r="BBP677" s="37"/>
      <c r="BBQ677" s="37"/>
      <c r="BBR677" s="37"/>
      <c r="BBS677" s="37"/>
      <c r="BBT677" s="37"/>
      <c r="BBU677" s="37"/>
      <c r="BBV677" s="37"/>
      <c r="BBW677" s="37"/>
      <c r="BBX677" s="37"/>
      <c r="BBY677" s="37"/>
      <c r="BBZ677" s="37"/>
      <c r="BCA677" s="37"/>
      <c r="BCB677" s="37"/>
      <c r="BCC677" s="37"/>
      <c r="BCD677" s="37"/>
      <c r="BCE677" s="37"/>
      <c r="BCF677" s="37"/>
      <c r="BCG677" s="37"/>
      <c r="BCH677" s="37"/>
      <c r="BCI677" s="37"/>
      <c r="BCJ677" s="37"/>
      <c r="BCK677" s="37"/>
      <c r="BCL677" s="37"/>
      <c r="BCM677" s="37"/>
      <c r="BCN677" s="37"/>
      <c r="BCO677" s="37"/>
      <c r="BCP677" s="37"/>
      <c r="BCQ677" s="37"/>
      <c r="BCR677" s="37"/>
      <c r="BCS677" s="37"/>
      <c r="BCT677" s="37"/>
      <c r="BCU677" s="37"/>
      <c r="BCV677" s="37"/>
      <c r="BCW677" s="37"/>
      <c r="BCX677" s="37"/>
      <c r="BCY677" s="37"/>
      <c r="BCZ677" s="37"/>
      <c r="BDA677" s="37"/>
      <c r="BDB677" s="37"/>
      <c r="BDC677" s="37"/>
      <c r="BDD677" s="37"/>
      <c r="BDE677" s="37"/>
      <c r="BDF677" s="37"/>
      <c r="BDG677" s="37"/>
      <c r="BDH677" s="37"/>
      <c r="BDI677" s="37"/>
      <c r="BDJ677" s="37"/>
      <c r="BDK677" s="37"/>
      <c r="BDL677" s="37"/>
      <c r="BDM677" s="37"/>
      <c r="BDN677" s="37"/>
      <c r="BDO677" s="37"/>
      <c r="BDP677" s="37"/>
      <c r="BDQ677" s="37"/>
      <c r="BDR677" s="37"/>
      <c r="BDS677" s="37"/>
      <c r="BDT677" s="37"/>
      <c r="BDU677" s="37"/>
      <c r="BDV677" s="37"/>
      <c r="BDW677" s="37"/>
      <c r="BDX677" s="37"/>
      <c r="BDY677" s="37"/>
      <c r="BDZ677" s="37"/>
      <c r="BEA677" s="37"/>
      <c r="BEB677" s="37"/>
      <c r="BEC677" s="37"/>
      <c r="BED677" s="37"/>
      <c r="BEE677" s="37"/>
      <c r="BEF677" s="37"/>
      <c r="BEG677" s="37"/>
      <c r="BEH677" s="37"/>
      <c r="BEI677" s="37"/>
      <c r="BEJ677" s="37"/>
      <c r="BEK677" s="37"/>
      <c r="BEL677" s="37"/>
      <c r="BEM677" s="37"/>
      <c r="BEN677" s="37"/>
      <c r="BEO677" s="37"/>
      <c r="BEP677" s="37"/>
      <c r="BEQ677" s="37"/>
      <c r="BER677" s="37"/>
      <c r="BES677" s="37"/>
      <c r="BET677" s="37"/>
      <c r="BEU677" s="37"/>
      <c r="BEV677" s="37"/>
      <c r="BEW677" s="37"/>
      <c r="BEX677" s="37"/>
      <c r="BEY677" s="37"/>
      <c r="BEZ677" s="37"/>
      <c r="BFA677" s="37"/>
      <c r="BFB677" s="37"/>
      <c r="BFC677" s="37"/>
      <c r="BFD677" s="37"/>
      <c r="BFE677" s="37"/>
      <c r="BFF677" s="37"/>
      <c r="BFG677" s="37"/>
      <c r="BFH677" s="37"/>
      <c r="BFI677" s="37"/>
      <c r="BFJ677" s="37"/>
      <c r="BFK677" s="37"/>
      <c r="BFL677" s="37"/>
      <c r="BFM677" s="37"/>
      <c r="BFN677" s="37"/>
      <c r="BFO677" s="37"/>
      <c r="BFP677" s="37"/>
      <c r="BFQ677" s="37"/>
      <c r="BFR677" s="37"/>
      <c r="BFS677" s="37"/>
      <c r="BFT677" s="37"/>
      <c r="BFU677" s="37"/>
      <c r="BFV677" s="37"/>
      <c r="BFW677" s="37"/>
      <c r="BFX677" s="37"/>
      <c r="BFY677" s="37"/>
      <c r="BFZ677" s="37"/>
      <c r="BGA677" s="37"/>
      <c r="BGB677" s="37"/>
      <c r="BGC677" s="37"/>
      <c r="BGD677" s="37"/>
      <c r="BGE677" s="37"/>
      <c r="BGF677" s="37"/>
      <c r="BGG677" s="37"/>
      <c r="BGH677" s="37"/>
      <c r="BGI677" s="37"/>
      <c r="BGJ677" s="37"/>
      <c r="BGK677" s="37"/>
      <c r="BGL677" s="37"/>
      <c r="BGM677" s="37"/>
      <c r="BGN677" s="37"/>
      <c r="BGO677" s="37"/>
      <c r="BGP677" s="37"/>
      <c r="BGQ677" s="37"/>
      <c r="BGR677" s="37"/>
      <c r="BGS677" s="37"/>
      <c r="BGT677" s="37"/>
      <c r="BGU677" s="37"/>
      <c r="BGV677" s="37"/>
      <c r="BGW677" s="37"/>
      <c r="BGX677" s="37"/>
      <c r="BGY677" s="37"/>
      <c r="BGZ677" s="37"/>
      <c r="BHA677" s="37"/>
      <c r="BHB677" s="37"/>
      <c r="BHC677" s="37"/>
      <c r="BHD677" s="37"/>
      <c r="BHE677" s="37"/>
      <c r="BHF677" s="37"/>
      <c r="BHG677" s="37"/>
      <c r="BHH677" s="37"/>
      <c r="BHI677" s="37"/>
      <c r="BHJ677" s="37"/>
      <c r="BHK677" s="37"/>
      <c r="BHL677" s="37"/>
      <c r="BHM677" s="37"/>
      <c r="BHN677" s="37"/>
      <c r="BHO677" s="37"/>
      <c r="BHP677" s="37"/>
      <c r="BHQ677" s="37"/>
      <c r="BHR677" s="37"/>
      <c r="BHS677" s="37"/>
      <c r="BHT677" s="37"/>
      <c r="BHU677" s="37"/>
      <c r="BHV677" s="37"/>
      <c r="BHW677" s="37"/>
      <c r="BHX677" s="37"/>
      <c r="BHY677" s="37"/>
      <c r="BHZ677" s="37"/>
      <c r="BIA677" s="37"/>
      <c r="BIB677" s="37"/>
      <c r="BIC677" s="37"/>
      <c r="BID677" s="37"/>
      <c r="BIE677" s="37"/>
      <c r="BIF677" s="37"/>
      <c r="BIG677" s="37"/>
      <c r="BIH677" s="37"/>
      <c r="BII677" s="37"/>
      <c r="BIJ677" s="37"/>
      <c r="BIK677" s="37"/>
      <c r="BIL677" s="37"/>
      <c r="BIM677" s="37"/>
      <c r="BIN677" s="37"/>
      <c r="BIO677" s="37"/>
      <c r="BIP677" s="37"/>
      <c r="BIQ677" s="37"/>
      <c r="BIR677" s="37"/>
      <c r="BIS677" s="37"/>
      <c r="BIT677" s="37"/>
      <c r="BIU677" s="37"/>
      <c r="BIV677" s="37"/>
      <c r="BIW677" s="37"/>
      <c r="BIX677" s="37"/>
      <c r="BIY677" s="37"/>
      <c r="BIZ677" s="37"/>
      <c r="BJA677" s="37"/>
      <c r="BJB677" s="37"/>
      <c r="BJC677" s="37"/>
      <c r="BJD677" s="37"/>
      <c r="BJE677" s="37"/>
      <c r="BJF677" s="37"/>
      <c r="BJG677" s="37"/>
      <c r="BJH677" s="37"/>
      <c r="BJI677" s="37"/>
      <c r="BJJ677" s="37"/>
      <c r="BJK677" s="37"/>
      <c r="BJL677" s="37"/>
      <c r="BJM677" s="37"/>
      <c r="BJN677" s="37"/>
      <c r="BJO677" s="37"/>
      <c r="BJP677" s="37"/>
      <c r="BJQ677" s="37"/>
      <c r="BJR677" s="37"/>
      <c r="BJS677" s="37"/>
      <c r="BJT677" s="37"/>
      <c r="BJU677" s="37"/>
      <c r="BJV677" s="37"/>
      <c r="BJW677" s="37"/>
      <c r="BJX677" s="37"/>
      <c r="BJY677" s="37"/>
      <c r="BJZ677" s="37"/>
      <c r="BKA677" s="37"/>
      <c r="BKB677" s="37"/>
      <c r="BKC677" s="37"/>
      <c r="BKD677" s="37"/>
      <c r="BKE677" s="37"/>
      <c r="BKF677" s="37"/>
      <c r="BKG677" s="37"/>
      <c r="BKH677" s="37"/>
      <c r="BKI677" s="37"/>
      <c r="BKJ677" s="37"/>
      <c r="BKK677" s="37"/>
      <c r="BKL677" s="37"/>
      <c r="BKM677" s="37"/>
      <c r="BKN677" s="37"/>
      <c r="BKO677" s="37"/>
      <c r="BKP677" s="37"/>
      <c r="BKQ677" s="37"/>
      <c r="BKR677" s="37"/>
      <c r="BKS677" s="37"/>
      <c r="BKT677" s="37"/>
      <c r="BKU677" s="37"/>
      <c r="BKV677" s="37"/>
      <c r="BKW677" s="37"/>
      <c r="BKX677" s="37"/>
      <c r="BKY677" s="37"/>
      <c r="BKZ677" s="37"/>
      <c r="BLA677" s="37"/>
      <c r="BLB677" s="37"/>
      <c r="BLC677" s="37"/>
      <c r="BLD677" s="37"/>
      <c r="BLE677" s="37"/>
      <c r="BLF677" s="37"/>
      <c r="BLG677" s="37"/>
      <c r="BLH677" s="37"/>
      <c r="BLI677" s="37"/>
      <c r="BLJ677" s="37"/>
      <c r="BLK677" s="37"/>
      <c r="BLL677" s="37"/>
      <c r="BLM677" s="37"/>
      <c r="BLN677" s="37"/>
      <c r="BLO677" s="37"/>
      <c r="BLP677" s="37"/>
      <c r="BLQ677" s="37"/>
      <c r="BLR677" s="37"/>
      <c r="BLS677" s="37"/>
      <c r="BLT677" s="37"/>
      <c r="BLU677" s="37"/>
      <c r="BLV677" s="37"/>
      <c r="BLW677" s="37"/>
      <c r="BLX677" s="37"/>
      <c r="BLY677" s="37"/>
      <c r="BLZ677" s="37"/>
      <c r="BMA677" s="37"/>
      <c r="BMB677" s="37"/>
      <c r="BMC677" s="37"/>
      <c r="BMD677" s="37"/>
      <c r="BME677" s="37"/>
      <c r="BMF677" s="37"/>
      <c r="BMG677" s="37"/>
      <c r="BMH677" s="37"/>
      <c r="BMI677" s="37"/>
      <c r="BMJ677" s="37"/>
      <c r="BMK677" s="37"/>
      <c r="BML677" s="37"/>
      <c r="BMM677" s="37"/>
      <c r="BMN677" s="37"/>
      <c r="BMO677" s="37"/>
      <c r="BMP677" s="37"/>
      <c r="BMQ677" s="37"/>
      <c r="BMR677" s="37"/>
      <c r="BMS677" s="37"/>
      <c r="BMT677" s="37"/>
      <c r="BMU677" s="37"/>
      <c r="BMV677" s="37"/>
      <c r="BMW677" s="37"/>
      <c r="BMX677" s="37"/>
      <c r="BMY677" s="37"/>
      <c r="BMZ677" s="37"/>
      <c r="BNA677" s="37"/>
      <c r="BNB677" s="37"/>
      <c r="BNC677" s="37"/>
      <c r="BND677" s="37"/>
      <c r="BNE677" s="37"/>
      <c r="BNF677" s="37"/>
      <c r="BNG677" s="37"/>
      <c r="BNH677" s="37"/>
      <c r="BNI677" s="37"/>
      <c r="BNJ677" s="37"/>
      <c r="BNK677" s="37"/>
      <c r="BNL677" s="37"/>
      <c r="BNM677" s="37"/>
      <c r="BNN677" s="37"/>
      <c r="BNO677" s="37"/>
      <c r="BNP677" s="37"/>
      <c r="BNQ677" s="37"/>
      <c r="BNR677" s="37"/>
      <c r="BNS677" s="37"/>
      <c r="BNT677" s="37"/>
      <c r="BNU677" s="37"/>
      <c r="BNV677" s="37"/>
      <c r="BNW677" s="37"/>
      <c r="BNX677" s="37"/>
      <c r="BNY677" s="37"/>
      <c r="BNZ677" s="37"/>
      <c r="BOA677" s="37"/>
      <c r="BOB677" s="37"/>
      <c r="BOC677" s="37"/>
      <c r="BOD677" s="37"/>
      <c r="BOE677" s="37"/>
      <c r="BOF677" s="37"/>
      <c r="BOG677" s="37"/>
      <c r="BOH677" s="37"/>
      <c r="BOI677" s="37"/>
      <c r="BOJ677" s="37"/>
      <c r="BOK677" s="37"/>
      <c r="BOL677" s="37"/>
      <c r="BOM677" s="37"/>
      <c r="BON677" s="37"/>
      <c r="BOO677" s="37"/>
      <c r="BOP677" s="37"/>
      <c r="BOQ677" s="37"/>
      <c r="BOR677" s="37"/>
      <c r="BOS677" s="37"/>
      <c r="BOT677" s="37"/>
      <c r="BOU677" s="37"/>
      <c r="BOV677" s="37"/>
      <c r="BOW677" s="37"/>
      <c r="BOX677" s="37"/>
      <c r="BOY677" s="37"/>
      <c r="BOZ677" s="37"/>
      <c r="BPA677" s="37"/>
      <c r="BPB677" s="37"/>
      <c r="BPC677" s="37"/>
      <c r="BPD677" s="37"/>
      <c r="BPE677" s="37"/>
      <c r="BPF677" s="37"/>
      <c r="BPG677" s="37"/>
      <c r="BPH677" s="37"/>
      <c r="BPI677" s="37"/>
      <c r="BPJ677" s="37"/>
      <c r="BPK677" s="37"/>
      <c r="BPL677" s="37"/>
      <c r="BPM677" s="37"/>
      <c r="BPN677" s="37"/>
      <c r="BPO677" s="37"/>
      <c r="BPP677" s="37"/>
      <c r="BPQ677" s="37"/>
      <c r="BPR677" s="37"/>
      <c r="BPS677" s="37"/>
      <c r="BPT677" s="37"/>
      <c r="BPU677" s="37"/>
      <c r="BPV677" s="37"/>
      <c r="BPW677" s="37"/>
      <c r="BPX677" s="37"/>
      <c r="BPY677" s="37"/>
      <c r="BPZ677" s="37"/>
      <c r="BQA677" s="37"/>
      <c r="BQB677" s="37"/>
      <c r="BQC677" s="37"/>
      <c r="BQD677" s="37"/>
      <c r="BQE677" s="37"/>
      <c r="BQF677" s="37"/>
      <c r="BQG677" s="37"/>
      <c r="BQH677" s="37"/>
      <c r="BQI677" s="37"/>
      <c r="BQJ677" s="37"/>
      <c r="BQK677" s="37"/>
      <c r="BQL677" s="37"/>
      <c r="BQM677" s="37"/>
      <c r="BQN677" s="37"/>
      <c r="BQO677" s="37"/>
      <c r="BQP677" s="37"/>
      <c r="BQQ677" s="37"/>
      <c r="BQR677" s="37"/>
      <c r="BQS677" s="37"/>
      <c r="BQT677" s="37"/>
      <c r="BQU677" s="37"/>
      <c r="BQV677" s="37"/>
      <c r="BQW677" s="37"/>
      <c r="BQX677" s="37"/>
      <c r="BQY677" s="37"/>
      <c r="BQZ677" s="37"/>
      <c r="BRA677" s="37"/>
      <c r="BRB677" s="37"/>
      <c r="BRC677" s="37"/>
      <c r="BRD677" s="37"/>
      <c r="BRE677" s="37"/>
      <c r="BRF677" s="37"/>
      <c r="BRG677" s="37"/>
      <c r="BRH677" s="37"/>
      <c r="BRI677" s="37"/>
      <c r="BRJ677" s="37"/>
      <c r="BRK677" s="37"/>
      <c r="BRL677" s="37"/>
      <c r="BRM677" s="37"/>
      <c r="BRN677" s="37"/>
      <c r="BRO677" s="37"/>
      <c r="BRP677" s="37"/>
      <c r="BRQ677" s="37"/>
      <c r="BRR677" s="37"/>
      <c r="BRS677" s="37"/>
      <c r="BRT677" s="37"/>
      <c r="BRU677" s="37"/>
      <c r="BRV677" s="37"/>
      <c r="BRW677" s="37"/>
      <c r="BRX677" s="37"/>
      <c r="BRY677" s="37"/>
      <c r="BRZ677" s="37"/>
      <c r="BSA677" s="37"/>
      <c r="BSB677" s="37"/>
      <c r="BSC677" s="37"/>
      <c r="BSD677" s="37"/>
      <c r="BSE677" s="37"/>
      <c r="BSF677" s="37"/>
      <c r="BSG677" s="37"/>
      <c r="BSH677" s="37"/>
      <c r="BSI677" s="37"/>
      <c r="BSJ677" s="37"/>
      <c r="BSK677" s="37"/>
      <c r="BSL677" s="37"/>
      <c r="BSM677" s="37"/>
      <c r="BSN677" s="37"/>
      <c r="BSO677" s="37"/>
      <c r="BSP677" s="37"/>
      <c r="BSQ677" s="37"/>
      <c r="BSR677" s="37"/>
      <c r="BSS677" s="37"/>
      <c r="BST677" s="37"/>
      <c r="BSU677" s="37"/>
      <c r="BSV677" s="37"/>
      <c r="BSW677" s="37"/>
      <c r="BSX677" s="37"/>
      <c r="BSY677" s="37"/>
      <c r="BSZ677" s="37"/>
      <c r="BTA677" s="37"/>
      <c r="BTB677" s="37"/>
      <c r="BTC677" s="37"/>
      <c r="BTD677" s="37"/>
      <c r="BTE677" s="37"/>
      <c r="BTF677" s="37"/>
      <c r="BTG677" s="37"/>
      <c r="BTH677" s="37"/>
      <c r="BTI677" s="37"/>
      <c r="BTJ677" s="37"/>
      <c r="BTK677" s="37"/>
      <c r="BTL677" s="37"/>
      <c r="BTM677" s="37"/>
      <c r="BTN677" s="37"/>
      <c r="BTO677" s="37"/>
      <c r="BTP677" s="37"/>
      <c r="BTQ677" s="37"/>
      <c r="BTR677" s="37"/>
      <c r="BTS677" s="37"/>
      <c r="BTT677" s="37"/>
      <c r="BTU677" s="37"/>
      <c r="BTV677" s="37"/>
      <c r="BTW677" s="37"/>
      <c r="BTX677" s="37"/>
      <c r="BTY677" s="37"/>
      <c r="BTZ677" s="37"/>
      <c r="BUA677" s="37"/>
      <c r="BUB677" s="37"/>
      <c r="BUC677" s="37"/>
      <c r="BUD677" s="37"/>
      <c r="BUE677" s="37"/>
      <c r="BUF677" s="37"/>
      <c r="BUG677" s="37"/>
      <c r="BUH677" s="37"/>
      <c r="BUI677" s="37"/>
      <c r="BUJ677" s="37"/>
      <c r="BUK677" s="37"/>
      <c r="BUL677" s="37"/>
      <c r="BUM677" s="37"/>
      <c r="BUN677" s="37"/>
      <c r="BUO677" s="37"/>
      <c r="BUP677" s="37"/>
      <c r="BUQ677" s="37"/>
      <c r="BUR677" s="37"/>
      <c r="BUS677" s="37"/>
      <c r="BUT677" s="37"/>
      <c r="BUU677" s="37"/>
      <c r="BUV677" s="37"/>
      <c r="BUW677" s="37"/>
      <c r="BUX677" s="37"/>
      <c r="BUY677" s="37"/>
      <c r="BUZ677" s="37"/>
      <c r="BVA677" s="37"/>
      <c r="BVB677" s="37"/>
      <c r="BVC677" s="37"/>
      <c r="BVD677" s="37"/>
      <c r="BVE677" s="37"/>
      <c r="BVF677" s="37"/>
      <c r="BVG677" s="37"/>
      <c r="BVH677" s="37"/>
      <c r="BVI677" s="37"/>
      <c r="BVJ677" s="37"/>
      <c r="BVK677" s="37"/>
      <c r="BVL677" s="37"/>
      <c r="BVM677" s="37"/>
      <c r="BVN677" s="37"/>
      <c r="BVO677" s="37"/>
      <c r="BVP677" s="37"/>
      <c r="BVQ677" s="37"/>
      <c r="BVR677" s="37"/>
      <c r="BVS677" s="37"/>
      <c r="BVT677" s="37"/>
      <c r="BVU677" s="37"/>
      <c r="BVV677" s="37"/>
      <c r="BVW677" s="37"/>
      <c r="BVX677" s="37"/>
      <c r="BVY677" s="37"/>
      <c r="BVZ677" s="37"/>
      <c r="BWA677" s="37"/>
      <c r="BWB677" s="37"/>
      <c r="BWC677" s="37"/>
      <c r="BWD677" s="37"/>
      <c r="BWE677" s="37"/>
      <c r="BWF677" s="37"/>
      <c r="BWG677" s="37"/>
      <c r="BWH677" s="37"/>
      <c r="BWI677" s="37"/>
      <c r="BWJ677" s="37"/>
      <c r="BWK677" s="37"/>
      <c r="BWL677" s="37"/>
      <c r="BWM677" s="37"/>
      <c r="BWN677" s="37"/>
      <c r="BWO677" s="37"/>
      <c r="BWP677" s="37"/>
      <c r="BWQ677" s="37"/>
      <c r="BWR677" s="37"/>
      <c r="BWS677" s="37"/>
      <c r="BWT677" s="37"/>
      <c r="BWU677" s="37"/>
      <c r="BWV677" s="37"/>
      <c r="BWW677" s="37"/>
      <c r="BWX677" s="37"/>
      <c r="BWY677" s="37"/>
      <c r="BWZ677" s="37"/>
      <c r="BXA677" s="37"/>
      <c r="BXB677" s="37"/>
      <c r="BXC677" s="37"/>
      <c r="BXD677" s="37"/>
      <c r="BXE677" s="37"/>
      <c r="BXF677" s="37"/>
      <c r="BXG677" s="37"/>
      <c r="BXH677" s="37"/>
      <c r="BXI677" s="37"/>
      <c r="BXJ677" s="37"/>
      <c r="BXK677" s="37"/>
      <c r="BXL677" s="37"/>
      <c r="BXM677" s="37"/>
      <c r="BXN677" s="37"/>
      <c r="BXO677" s="37"/>
      <c r="BXP677" s="37"/>
      <c r="BXQ677" s="37"/>
      <c r="BXR677" s="37"/>
      <c r="BXS677" s="37"/>
      <c r="BXT677" s="37"/>
      <c r="BXU677" s="37"/>
      <c r="BXV677" s="37"/>
      <c r="BXW677" s="37"/>
      <c r="BXX677" s="37"/>
      <c r="BXY677" s="37"/>
      <c r="BXZ677" s="37"/>
      <c r="BYA677" s="37"/>
      <c r="BYB677" s="37"/>
      <c r="BYC677" s="37"/>
      <c r="BYD677" s="37"/>
      <c r="BYE677" s="37"/>
      <c r="BYF677" s="37"/>
      <c r="BYG677" s="37"/>
      <c r="BYH677" s="37"/>
      <c r="BYI677" s="37"/>
      <c r="BYJ677" s="37"/>
      <c r="BYK677" s="37"/>
      <c r="BYL677" s="37"/>
      <c r="BYM677" s="37"/>
      <c r="BYN677" s="37"/>
      <c r="BYO677" s="37"/>
      <c r="BYP677" s="37"/>
      <c r="BYQ677" s="37"/>
      <c r="BYR677" s="37"/>
      <c r="BYS677" s="37"/>
      <c r="BYT677" s="37"/>
      <c r="BYU677" s="37"/>
      <c r="BYV677" s="37"/>
      <c r="BYW677" s="37"/>
      <c r="BYX677" s="37"/>
      <c r="BYY677" s="37"/>
      <c r="BYZ677" s="37"/>
      <c r="BZA677" s="37"/>
      <c r="BZB677" s="37"/>
      <c r="BZC677" s="37"/>
      <c r="BZD677" s="37"/>
      <c r="BZE677" s="37"/>
      <c r="BZF677" s="37"/>
      <c r="BZG677" s="37"/>
      <c r="BZH677" s="37"/>
      <c r="BZI677" s="37"/>
      <c r="BZJ677" s="37"/>
      <c r="BZK677" s="37"/>
      <c r="BZL677" s="37"/>
      <c r="BZM677" s="37"/>
      <c r="BZN677" s="37"/>
      <c r="BZO677" s="37"/>
      <c r="BZP677" s="37"/>
      <c r="BZQ677" s="37"/>
      <c r="BZR677" s="37"/>
      <c r="BZS677" s="37"/>
      <c r="BZT677" s="37"/>
      <c r="BZU677" s="37"/>
      <c r="BZV677" s="37"/>
      <c r="BZW677" s="37"/>
      <c r="BZX677" s="37"/>
      <c r="BZY677" s="37"/>
      <c r="BZZ677" s="37"/>
      <c r="CAA677" s="37"/>
      <c r="CAB677" s="37"/>
      <c r="CAC677" s="37"/>
      <c r="CAD677" s="37"/>
      <c r="CAE677" s="37"/>
      <c r="CAF677" s="37"/>
      <c r="CAG677" s="37"/>
      <c r="CAH677" s="37"/>
      <c r="CAI677" s="37"/>
      <c r="CAJ677" s="37"/>
      <c r="CAK677" s="37"/>
      <c r="CAL677" s="37"/>
      <c r="CAM677" s="37"/>
      <c r="CAN677" s="37"/>
      <c r="CAO677" s="37"/>
      <c r="CAP677" s="37"/>
      <c r="CAQ677" s="37"/>
      <c r="CAR677" s="37"/>
      <c r="CAS677" s="37"/>
      <c r="CAT677" s="37"/>
      <c r="CAU677" s="37"/>
      <c r="CAV677" s="37"/>
      <c r="CAW677" s="37"/>
      <c r="CAX677" s="37"/>
      <c r="CAY677" s="37"/>
      <c r="CAZ677" s="37"/>
      <c r="CBA677" s="37"/>
      <c r="CBB677" s="37"/>
      <c r="CBC677" s="37"/>
      <c r="CBD677" s="37"/>
      <c r="CBE677" s="37"/>
      <c r="CBF677" s="37"/>
      <c r="CBG677" s="37"/>
      <c r="CBH677" s="37"/>
      <c r="CBI677" s="37"/>
      <c r="CBJ677" s="37"/>
      <c r="CBK677" s="37"/>
      <c r="CBL677" s="37"/>
      <c r="CBM677" s="37"/>
      <c r="CBN677" s="37"/>
      <c r="CBO677" s="37"/>
      <c r="CBP677" s="37"/>
      <c r="CBQ677" s="37"/>
      <c r="CBR677" s="37"/>
      <c r="CBS677" s="37"/>
      <c r="CBT677" s="37"/>
      <c r="CBU677" s="37"/>
      <c r="CBV677" s="37"/>
      <c r="CBW677" s="37"/>
      <c r="CBX677" s="37"/>
      <c r="CBY677" s="37"/>
      <c r="CBZ677" s="37"/>
      <c r="CCA677" s="37"/>
      <c r="CCB677" s="37"/>
      <c r="CCC677" s="37"/>
      <c r="CCD677" s="37"/>
      <c r="CCE677" s="37"/>
      <c r="CCF677" s="37"/>
      <c r="CCG677" s="37"/>
      <c r="CCH677" s="37"/>
      <c r="CCI677" s="37"/>
      <c r="CCJ677" s="37"/>
      <c r="CCK677" s="37"/>
      <c r="CCL677" s="37"/>
      <c r="CCM677" s="37"/>
      <c r="CCN677" s="37"/>
      <c r="CCO677" s="37"/>
      <c r="CCP677" s="37"/>
      <c r="CCQ677" s="37"/>
      <c r="CCR677" s="37"/>
      <c r="CCS677" s="37"/>
      <c r="CCT677" s="37"/>
      <c r="CCU677" s="37"/>
      <c r="CCV677" s="37"/>
      <c r="CCW677" s="37"/>
      <c r="CCX677" s="37"/>
      <c r="CCY677" s="37"/>
      <c r="CCZ677" s="37"/>
      <c r="CDA677" s="37"/>
      <c r="CDB677" s="37"/>
      <c r="CDC677" s="37"/>
      <c r="CDD677" s="37"/>
      <c r="CDE677" s="37"/>
      <c r="CDF677" s="37"/>
      <c r="CDG677" s="37"/>
      <c r="CDH677" s="37"/>
      <c r="CDI677" s="37"/>
      <c r="CDJ677" s="37"/>
      <c r="CDK677" s="37"/>
      <c r="CDL677" s="37"/>
      <c r="CDM677" s="37"/>
      <c r="CDN677" s="37"/>
      <c r="CDO677" s="37"/>
      <c r="CDP677" s="37"/>
      <c r="CDQ677" s="37"/>
      <c r="CDR677" s="37"/>
      <c r="CDS677" s="37"/>
      <c r="CDT677" s="37"/>
      <c r="CDU677" s="37"/>
      <c r="CDV677" s="37"/>
      <c r="CDW677" s="37"/>
      <c r="CDX677" s="37"/>
      <c r="CDY677" s="37"/>
      <c r="CDZ677" s="37"/>
      <c r="CEA677" s="37"/>
      <c r="CEB677" s="37"/>
      <c r="CEC677" s="37"/>
      <c r="CED677" s="37"/>
      <c r="CEE677" s="37"/>
      <c r="CEF677" s="37"/>
      <c r="CEG677" s="37"/>
      <c r="CEH677" s="37"/>
      <c r="CEI677" s="37"/>
      <c r="CEJ677" s="37"/>
      <c r="CEK677" s="37"/>
      <c r="CEL677" s="37"/>
      <c r="CEM677" s="37"/>
      <c r="CEN677" s="37"/>
      <c r="CEO677" s="37"/>
      <c r="CEP677" s="37"/>
      <c r="CEQ677" s="37"/>
      <c r="CER677" s="37"/>
      <c r="CES677" s="37"/>
      <c r="CET677" s="37"/>
      <c r="CEU677" s="37"/>
      <c r="CEV677" s="37"/>
      <c r="CEW677" s="37"/>
      <c r="CEX677" s="37"/>
      <c r="CEY677" s="37"/>
      <c r="CEZ677" s="37"/>
      <c r="CFA677" s="37"/>
      <c r="CFB677" s="37"/>
      <c r="CFC677" s="37"/>
      <c r="CFD677" s="37"/>
      <c r="CFE677" s="37"/>
      <c r="CFF677" s="37"/>
      <c r="CFG677" s="37"/>
      <c r="CFH677" s="37"/>
      <c r="CFI677" s="37"/>
      <c r="CFJ677" s="37"/>
      <c r="CFK677" s="37"/>
      <c r="CFL677" s="37"/>
      <c r="CFM677" s="37"/>
      <c r="CFN677" s="37"/>
      <c r="CFO677" s="37"/>
      <c r="CFP677" s="37"/>
      <c r="CFQ677" s="37"/>
      <c r="CFR677" s="37"/>
      <c r="CFS677" s="37"/>
      <c r="CFT677" s="37"/>
      <c r="CFU677" s="37"/>
      <c r="CFV677" s="37"/>
      <c r="CFW677" s="37"/>
      <c r="CFX677" s="37"/>
      <c r="CFY677" s="37"/>
      <c r="CFZ677" s="37"/>
      <c r="CGA677" s="37"/>
      <c r="CGB677" s="37"/>
      <c r="CGC677" s="37"/>
      <c r="CGD677" s="37"/>
      <c r="CGE677" s="37"/>
      <c r="CGF677" s="37"/>
      <c r="CGG677" s="37"/>
      <c r="CGH677" s="37"/>
      <c r="CGI677" s="37"/>
      <c r="CGJ677" s="37"/>
      <c r="CGK677" s="37"/>
      <c r="CGL677" s="37"/>
      <c r="CGM677" s="37"/>
      <c r="CGN677" s="37"/>
      <c r="CGO677" s="37"/>
      <c r="CGP677" s="37"/>
      <c r="CGQ677" s="37"/>
      <c r="CGR677" s="37"/>
      <c r="CGS677" s="37"/>
      <c r="CGT677" s="37"/>
      <c r="CGU677" s="37"/>
      <c r="CGV677" s="37"/>
      <c r="CGW677" s="37"/>
      <c r="CGX677" s="37"/>
      <c r="CGY677" s="37"/>
      <c r="CGZ677" s="37"/>
      <c r="CHA677" s="37"/>
      <c r="CHB677" s="37"/>
      <c r="CHC677" s="37"/>
      <c r="CHD677" s="37"/>
      <c r="CHE677" s="37"/>
      <c r="CHF677" s="37"/>
      <c r="CHG677" s="37"/>
      <c r="CHH677" s="37"/>
      <c r="CHI677" s="37"/>
      <c r="CHJ677" s="37"/>
      <c r="CHK677" s="37"/>
      <c r="CHL677" s="37"/>
      <c r="CHM677" s="37"/>
      <c r="CHN677" s="37"/>
      <c r="CHO677" s="37"/>
      <c r="CHP677" s="37"/>
      <c r="CHQ677" s="37"/>
      <c r="CHR677" s="37"/>
      <c r="CHS677" s="37"/>
      <c r="CHT677" s="37"/>
      <c r="CHU677" s="37"/>
      <c r="CHV677" s="37"/>
      <c r="CHW677" s="37"/>
      <c r="CHX677" s="37"/>
      <c r="CHY677" s="37"/>
      <c r="CHZ677" s="37"/>
      <c r="CIA677" s="37"/>
      <c r="CIB677" s="37"/>
      <c r="CIC677" s="37"/>
      <c r="CID677" s="37"/>
      <c r="CIE677" s="37"/>
      <c r="CIF677" s="37"/>
      <c r="CIG677" s="37"/>
      <c r="CIH677" s="37"/>
      <c r="CII677" s="37"/>
      <c r="CIJ677" s="37"/>
      <c r="CIK677" s="37"/>
      <c r="CIL677" s="37"/>
      <c r="CIM677" s="37"/>
      <c r="CIN677" s="37"/>
      <c r="CIO677" s="37"/>
      <c r="CIP677" s="37"/>
      <c r="CIQ677" s="37"/>
      <c r="CIR677" s="37"/>
      <c r="CIS677" s="37"/>
      <c r="CIT677" s="37"/>
      <c r="CIU677" s="37"/>
      <c r="CIV677" s="37"/>
      <c r="CIW677" s="37"/>
      <c r="CIX677" s="37"/>
      <c r="CIY677" s="37"/>
      <c r="CIZ677" s="37"/>
      <c r="CJA677" s="37"/>
      <c r="CJB677" s="37"/>
      <c r="CJC677" s="37"/>
      <c r="CJD677" s="37"/>
      <c r="CJE677" s="37"/>
      <c r="CJF677" s="37"/>
      <c r="CJG677" s="37"/>
      <c r="CJH677" s="37"/>
      <c r="CJI677" s="37"/>
      <c r="CJJ677" s="37"/>
      <c r="CJK677" s="37"/>
      <c r="CJL677" s="37"/>
      <c r="CJM677" s="37"/>
      <c r="CJN677" s="37"/>
      <c r="CJO677" s="37"/>
      <c r="CJP677" s="37"/>
      <c r="CJQ677" s="37"/>
      <c r="CJR677" s="37"/>
      <c r="CJS677" s="37"/>
      <c r="CJT677" s="37"/>
      <c r="CJU677" s="37"/>
      <c r="CJV677" s="37"/>
      <c r="CJW677" s="37"/>
      <c r="CJX677" s="37"/>
      <c r="CJY677" s="37"/>
      <c r="CJZ677" s="37"/>
      <c r="CKA677" s="37"/>
      <c r="CKB677" s="37"/>
      <c r="CKC677" s="37"/>
      <c r="CKD677" s="37"/>
      <c r="CKE677" s="37"/>
      <c r="CKF677" s="37"/>
      <c r="CKG677" s="37"/>
      <c r="CKH677" s="37"/>
      <c r="CKI677" s="37"/>
      <c r="CKJ677" s="37"/>
      <c r="CKK677" s="37"/>
      <c r="CKL677" s="37"/>
      <c r="CKM677" s="37"/>
      <c r="CKN677" s="37"/>
      <c r="CKO677" s="37"/>
      <c r="CKP677" s="37"/>
      <c r="CKQ677" s="37"/>
      <c r="CKR677" s="37"/>
      <c r="CKS677" s="37"/>
      <c r="CKT677" s="37"/>
      <c r="CKU677" s="37"/>
      <c r="CKV677" s="37"/>
      <c r="CKW677" s="37"/>
      <c r="CKX677" s="37"/>
      <c r="CKY677" s="37"/>
      <c r="CKZ677" s="37"/>
      <c r="CLA677" s="37"/>
      <c r="CLB677" s="37"/>
      <c r="CLC677" s="37"/>
      <c r="CLD677" s="37"/>
      <c r="CLE677" s="37"/>
      <c r="CLF677" s="37"/>
      <c r="CLG677" s="37"/>
      <c r="CLH677" s="37"/>
      <c r="CLI677" s="37"/>
      <c r="CLJ677" s="37"/>
      <c r="CLK677" s="37"/>
      <c r="CLL677" s="37"/>
      <c r="CLM677" s="37"/>
      <c r="CLN677" s="37"/>
      <c r="CLO677" s="37"/>
      <c r="CLP677" s="37"/>
      <c r="CLQ677" s="37"/>
      <c r="CLR677" s="37"/>
      <c r="CLS677" s="37"/>
      <c r="CLT677" s="37"/>
      <c r="CLU677" s="37"/>
      <c r="CLV677" s="37"/>
      <c r="CLW677" s="37"/>
      <c r="CLX677" s="37"/>
      <c r="CLY677" s="37"/>
      <c r="CLZ677" s="37"/>
      <c r="CMA677" s="37"/>
      <c r="CMB677" s="37"/>
      <c r="CMC677" s="37"/>
      <c r="CMD677" s="37"/>
      <c r="CME677" s="37"/>
      <c r="CMF677" s="37"/>
      <c r="CMG677" s="37"/>
      <c r="CMH677" s="37"/>
      <c r="CMI677" s="37"/>
      <c r="CMJ677" s="37"/>
      <c r="CMK677" s="37"/>
      <c r="CML677" s="37"/>
      <c r="CMM677" s="37"/>
      <c r="CMN677" s="37"/>
      <c r="CMO677" s="37"/>
      <c r="CMP677" s="37"/>
      <c r="CMQ677" s="37"/>
      <c r="CMR677" s="37"/>
      <c r="CMS677" s="37"/>
      <c r="CMT677" s="37"/>
      <c r="CMU677" s="37"/>
      <c r="CMV677" s="37"/>
      <c r="CMW677" s="37"/>
      <c r="CMX677" s="37"/>
      <c r="CMY677" s="37"/>
      <c r="CMZ677" s="37"/>
      <c r="CNA677" s="37"/>
      <c r="CNB677" s="37"/>
      <c r="CNC677" s="37"/>
      <c r="CND677" s="37"/>
      <c r="CNE677" s="37"/>
      <c r="CNF677" s="37"/>
      <c r="CNG677" s="37"/>
      <c r="CNH677" s="37"/>
      <c r="CNI677" s="37"/>
      <c r="CNJ677" s="37"/>
      <c r="CNK677" s="37"/>
      <c r="CNL677" s="37"/>
      <c r="CNM677" s="37"/>
      <c r="CNN677" s="37"/>
      <c r="CNO677" s="37"/>
      <c r="CNP677" s="37"/>
      <c r="CNQ677" s="37"/>
      <c r="CNR677" s="37"/>
      <c r="CNS677" s="37"/>
      <c r="CNT677" s="37"/>
      <c r="CNU677" s="37"/>
      <c r="CNV677" s="37"/>
      <c r="CNW677" s="37"/>
      <c r="CNX677" s="37"/>
      <c r="CNY677" s="37"/>
      <c r="CNZ677" s="37"/>
      <c r="COA677" s="37"/>
      <c r="COB677" s="37"/>
      <c r="COC677" s="37"/>
      <c r="COD677" s="37"/>
      <c r="COE677" s="37"/>
      <c r="COF677" s="37"/>
      <c r="COG677" s="37"/>
      <c r="COH677" s="37"/>
      <c r="COI677" s="37"/>
      <c r="COJ677" s="37"/>
      <c r="COK677" s="37"/>
      <c r="COL677" s="37"/>
      <c r="COM677" s="37"/>
      <c r="CON677" s="37"/>
      <c r="COO677" s="37"/>
      <c r="COP677" s="37"/>
      <c r="COQ677" s="37"/>
      <c r="COR677" s="37"/>
      <c r="COS677" s="37"/>
      <c r="COT677" s="37"/>
      <c r="COU677" s="37"/>
      <c r="COV677" s="37"/>
      <c r="COW677" s="37"/>
      <c r="COX677" s="37"/>
      <c r="COY677" s="37"/>
      <c r="COZ677" s="37"/>
      <c r="CPA677" s="37"/>
      <c r="CPB677" s="37"/>
      <c r="CPC677" s="37"/>
      <c r="CPD677" s="37"/>
      <c r="CPE677" s="37"/>
      <c r="CPF677" s="37"/>
      <c r="CPG677" s="37"/>
      <c r="CPH677" s="37"/>
      <c r="CPI677" s="37"/>
      <c r="CPJ677" s="37"/>
      <c r="CPK677" s="37"/>
      <c r="CPL677" s="37"/>
      <c r="CPM677" s="37"/>
      <c r="CPN677" s="37"/>
      <c r="CPO677" s="37"/>
      <c r="CPP677" s="37"/>
      <c r="CPQ677" s="37"/>
      <c r="CPR677" s="37"/>
      <c r="CPS677" s="37"/>
      <c r="CPT677" s="37"/>
      <c r="CPU677" s="37"/>
      <c r="CPV677" s="37"/>
      <c r="CPW677" s="37"/>
      <c r="CPX677" s="37"/>
      <c r="CPY677" s="37"/>
      <c r="CPZ677" s="37"/>
      <c r="CQA677" s="37"/>
      <c r="CQB677" s="37"/>
      <c r="CQC677" s="37"/>
      <c r="CQD677" s="37"/>
      <c r="CQE677" s="37"/>
      <c r="CQF677" s="37"/>
      <c r="CQG677" s="37"/>
      <c r="CQH677" s="37"/>
      <c r="CQI677" s="37"/>
      <c r="CQJ677" s="37"/>
      <c r="CQK677" s="37"/>
      <c r="CQL677" s="37"/>
      <c r="CQM677" s="37"/>
      <c r="CQN677" s="37"/>
      <c r="CQO677" s="37"/>
      <c r="CQP677" s="37"/>
      <c r="CQQ677" s="37"/>
      <c r="CQR677" s="37"/>
      <c r="CQS677" s="37"/>
      <c r="CQT677" s="37"/>
      <c r="CQU677" s="37"/>
      <c r="CQV677" s="37"/>
      <c r="CQW677" s="37"/>
      <c r="CQX677" s="37"/>
      <c r="CQY677" s="37"/>
      <c r="CQZ677" s="37"/>
      <c r="CRA677" s="37"/>
      <c r="CRB677" s="37"/>
      <c r="CRC677" s="37"/>
      <c r="CRD677" s="37"/>
      <c r="CRE677" s="37"/>
      <c r="CRF677" s="37"/>
      <c r="CRG677" s="37"/>
      <c r="CRH677" s="37"/>
      <c r="CRI677" s="37"/>
      <c r="CRJ677" s="37"/>
      <c r="CRK677" s="37"/>
      <c r="CRL677" s="37"/>
      <c r="CRM677" s="37"/>
      <c r="CRN677" s="37"/>
      <c r="CRO677" s="37"/>
      <c r="CRP677" s="37"/>
      <c r="CRQ677" s="37"/>
      <c r="CRR677" s="37"/>
      <c r="CRS677" s="37"/>
      <c r="CRT677" s="37"/>
      <c r="CRU677" s="37"/>
      <c r="CRV677" s="37"/>
      <c r="CRW677" s="37"/>
      <c r="CRX677" s="37"/>
      <c r="CRY677" s="37"/>
      <c r="CRZ677" s="37"/>
      <c r="CSA677" s="37"/>
      <c r="CSB677" s="37"/>
      <c r="CSC677" s="37"/>
      <c r="CSD677" s="37"/>
      <c r="CSE677" s="37"/>
      <c r="CSF677" s="37"/>
      <c r="CSG677" s="37"/>
      <c r="CSH677" s="37"/>
      <c r="CSI677" s="37"/>
      <c r="CSJ677" s="37"/>
      <c r="CSK677" s="37"/>
      <c r="CSL677" s="37"/>
      <c r="CSM677" s="37"/>
      <c r="CSN677" s="37"/>
      <c r="CSO677" s="37"/>
      <c r="CSP677" s="37"/>
      <c r="CSQ677" s="37"/>
      <c r="CSR677" s="37"/>
      <c r="CSS677" s="37"/>
      <c r="CST677" s="37"/>
      <c r="CSU677" s="37"/>
      <c r="CSV677" s="37"/>
      <c r="CSW677" s="37"/>
      <c r="CSX677" s="37"/>
      <c r="CSY677" s="37"/>
      <c r="CSZ677" s="37"/>
      <c r="CTA677" s="37"/>
      <c r="CTB677" s="37"/>
      <c r="CTC677" s="37"/>
      <c r="CTD677" s="37"/>
      <c r="CTE677" s="37"/>
      <c r="CTF677" s="37"/>
      <c r="CTG677" s="37"/>
      <c r="CTH677" s="37"/>
      <c r="CTI677" s="37"/>
      <c r="CTJ677" s="37"/>
      <c r="CTK677" s="37"/>
      <c r="CTL677" s="37"/>
      <c r="CTM677" s="37"/>
      <c r="CTN677" s="37"/>
      <c r="CTO677" s="37"/>
      <c r="CTP677" s="37"/>
      <c r="CTQ677" s="37"/>
      <c r="CTR677" s="37"/>
      <c r="CTS677" s="37"/>
      <c r="CTT677" s="37"/>
      <c r="CTU677" s="37"/>
      <c r="CTV677" s="37"/>
      <c r="CTW677" s="37"/>
      <c r="CTX677" s="37"/>
      <c r="CTY677" s="37"/>
      <c r="CTZ677" s="37"/>
      <c r="CUA677" s="37"/>
      <c r="CUB677" s="37"/>
      <c r="CUC677" s="37"/>
      <c r="CUD677" s="37"/>
      <c r="CUE677" s="37"/>
      <c r="CUF677" s="37"/>
      <c r="CUG677" s="37"/>
      <c r="CUH677" s="37"/>
      <c r="CUI677" s="37"/>
      <c r="CUJ677" s="37"/>
      <c r="CUK677" s="37"/>
      <c r="CUL677" s="37"/>
      <c r="CUM677" s="37"/>
      <c r="CUN677" s="37"/>
      <c r="CUO677" s="37"/>
      <c r="CUP677" s="37"/>
      <c r="CUQ677" s="37"/>
      <c r="CUR677" s="37"/>
      <c r="CUS677" s="37"/>
      <c r="CUT677" s="37"/>
      <c r="CUU677" s="37"/>
      <c r="CUV677" s="37"/>
      <c r="CUW677" s="37"/>
      <c r="CUX677" s="37"/>
      <c r="CUY677" s="37"/>
      <c r="CUZ677" s="37"/>
      <c r="CVA677" s="37"/>
      <c r="CVB677" s="37"/>
      <c r="CVC677" s="37"/>
      <c r="CVD677" s="37"/>
      <c r="CVE677" s="37"/>
      <c r="CVF677" s="37"/>
      <c r="CVG677" s="37"/>
      <c r="CVH677" s="37"/>
      <c r="CVI677" s="37"/>
      <c r="CVJ677" s="37"/>
      <c r="CVK677" s="37"/>
      <c r="CVL677" s="37"/>
      <c r="CVM677" s="37"/>
      <c r="CVN677" s="37"/>
      <c r="CVO677" s="37"/>
      <c r="CVP677" s="37"/>
      <c r="CVQ677" s="37"/>
      <c r="CVR677" s="37"/>
      <c r="CVS677" s="37"/>
      <c r="CVT677" s="37"/>
      <c r="CVU677" s="37"/>
      <c r="CVV677" s="37"/>
      <c r="CVW677" s="37"/>
      <c r="CVX677" s="37"/>
      <c r="CVY677" s="37"/>
      <c r="CVZ677" s="37"/>
      <c r="CWA677" s="37"/>
      <c r="CWB677" s="37"/>
      <c r="CWC677" s="37"/>
      <c r="CWD677" s="37"/>
      <c r="CWE677" s="37"/>
      <c r="CWF677" s="37"/>
      <c r="CWG677" s="37"/>
      <c r="CWH677" s="37"/>
      <c r="CWI677" s="37"/>
      <c r="CWJ677" s="37"/>
      <c r="CWK677" s="37"/>
      <c r="CWL677" s="37"/>
      <c r="CWM677" s="37"/>
      <c r="CWN677" s="37"/>
      <c r="CWO677" s="37"/>
      <c r="CWP677" s="37"/>
      <c r="CWQ677" s="37"/>
      <c r="CWR677" s="37"/>
      <c r="CWS677" s="37"/>
      <c r="CWT677" s="37"/>
      <c r="CWU677" s="37"/>
      <c r="CWV677" s="37"/>
      <c r="CWW677" s="37"/>
      <c r="CWX677" s="37"/>
      <c r="CWY677" s="37"/>
      <c r="CWZ677" s="37"/>
      <c r="CXA677" s="37"/>
      <c r="CXB677" s="37"/>
      <c r="CXC677" s="37"/>
      <c r="CXD677" s="37"/>
      <c r="CXE677" s="37"/>
      <c r="CXF677" s="37"/>
      <c r="CXG677" s="37"/>
      <c r="CXH677" s="37"/>
      <c r="CXI677" s="37"/>
      <c r="CXJ677" s="37"/>
      <c r="CXK677" s="37"/>
      <c r="CXL677" s="37"/>
      <c r="CXM677" s="37"/>
      <c r="CXN677" s="37"/>
      <c r="CXO677" s="37"/>
      <c r="CXP677" s="37"/>
      <c r="CXQ677" s="37"/>
      <c r="CXR677" s="37"/>
      <c r="CXS677" s="37"/>
      <c r="CXT677" s="37"/>
      <c r="CXU677" s="37"/>
      <c r="CXV677" s="37"/>
      <c r="CXW677" s="37"/>
      <c r="CXX677" s="37"/>
      <c r="CXY677" s="37"/>
      <c r="CXZ677" s="37"/>
      <c r="CYA677" s="37"/>
      <c r="CYB677" s="37"/>
      <c r="CYC677" s="37"/>
      <c r="CYD677" s="37"/>
      <c r="CYE677" s="37"/>
      <c r="CYF677" s="37"/>
      <c r="CYG677" s="37"/>
      <c r="CYH677" s="37"/>
      <c r="CYI677" s="37"/>
      <c r="CYJ677" s="37"/>
      <c r="CYK677" s="37"/>
      <c r="CYL677" s="37"/>
      <c r="CYM677" s="37"/>
      <c r="CYN677" s="37"/>
      <c r="CYO677" s="37"/>
      <c r="CYP677" s="37"/>
      <c r="CYQ677" s="37"/>
      <c r="CYR677" s="37"/>
      <c r="CYS677" s="37"/>
      <c r="CYT677" s="37"/>
      <c r="CYU677" s="37"/>
      <c r="CYV677" s="37"/>
      <c r="CYW677" s="37"/>
      <c r="CYX677" s="37"/>
      <c r="CYY677" s="37"/>
      <c r="CYZ677" s="37"/>
      <c r="CZA677" s="37"/>
      <c r="CZB677" s="37"/>
      <c r="CZC677" s="37"/>
      <c r="CZD677" s="37"/>
      <c r="CZE677" s="37"/>
      <c r="CZF677" s="37"/>
      <c r="CZG677" s="37"/>
      <c r="CZH677" s="37"/>
      <c r="CZI677" s="37"/>
      <c r="CZJ677" s="37"/>
      <c r="CZK677" s="37"/>
      <c r="CZL677" s="37"/>
      <c r="CZM677" s="37"/>
      <c r="CZN677" s="37"/>
      <c r="CZO677" s="37"/>
      <c r="CZP677" s="37"/>
      <c r="CZQ677" s="37"/>
      <c r="CZR677" s="37"/>
      <c r="CZS677" s="37"/>
      <c r="CZT677" s="37"/>
      <c r="CZU677" s="37"/>
      <c r="CZV677" s="37"/>
      <c r="CZW677" s="37"/>
      <c r="CZX677" s="37"/>
      <c r="CZY677" s="37"/>
      <c r="CZZ677" s="37"/>
      <c r="DAA677" s="37"/>
      <c r="DAB677" s="37"/>
      <c r="DAC677" s="37"/>
      <c r="DAD677" s="37"/>
      <c r="DAE677" s="37"/>
      <c r="DAF677" s="37"/>
      <c r="DAG677" s="37"/>
      <c r="DAH677" s="37"/>
      <c r="DAI677" s="37"/>
      <c r="DAJ677" s="37"/>
      <c r="DAK677" s="37"/>
      <c r="DAL677" s="37"/>
      <c r="DAM677" s="37"/>
      <c r="DAN677" s="37"/>
      <c r="DAO677" s="37"/>
      <c r="DAP677" s="37"/>
      <c r="DAQ677" s="37"/>
      <c r="DAR677" s="37"/>
      <c r="DAS677" s="37"/>
      <c r="DAT677" s="37"/>
      <c r="DAU677" s="37"/>
      <c r="DAV677" s="37"/>
      <c r="DAW677" s="37"/>
      <c r="DAX677" s="37"/>
      <c r="DAY677" s="37"/>
      <c r="DAZ677" s="37"/>
      <c r="DBA677" s="37"/>
      <c r="DBB677" s="37"/>
      <c r="DBC677" s="37"/>
      <c r="DBD677" s="37"/>
      <c r="DBE677" s="37"/>
      <c r="DBF677" s="37"/>
      <c r="DBG677" s="37"/>
      <c r="DBH677" s="37"/>
      <c r="DBI677" s="37"/>
      <c r="DBJ677" s="37"/>
      <c r="DBK677" s="37"/>
      <c r="DBL677" s="37"/>
      <c r="DBM677" s="37"/>
      <c r="DBN677" s="37"/>
      <c r="DBO677" s="37"/>
      <c r="DBP677" s="37"/>
      <c r="DBQ677" s="37"/>
      <c r="DBR677" s="37"/>
      <c r="DBS677" s="37"/>
      <c r="DBT677" s="37"/>
      <c r="DBU677" s="37"/>
      <c r="DBV677" s="37"/>
      <c r="DBW677" s="37"/>
      <c r="DBX677" s="37"/>
      <c r="DBY677" s="37"/>
      <c r="DBZ677" s="37"/>
      <c r="DCA677" s="37"/>
      <c r="DCB677" s="37"/>
      <c r="DCC677" s="37"/>
      <c r="DCD677" s="37"/>
      <c r="DCE677" s="37"/>
      <c r="DCF677" s="37"/>
      <c r="DCG677" s="37"/>
      <c r="DCH677" s="37"/>
      <c r="DCI677" s="37"/>
      <c r="DCJ677" s="37"/>
      <c r="DCK677" s="37"/>
      <c r="DCL677" s="37"/>
      <c r="DCM677" s="37"/>
      <c r="DCN677" s="37"/>
      <c r="DCO677" s="37"/>
      <c r="DCP677" s="37"/>
      <c r="DCQ677" s="37"/>
      <c r="DCR677" s="37"/>
      <c r="DCS677" s="37"/>
      <c r="DCT677" s="37"/>
      <c r="DCU677" s="37"/>
      <c r="DCV677" s="37"/>
      <c r="DCW677" s="37"/>
      <c r="DCX677" s="37"/>
      <c r="DCY677" s="37"/>
      <c r="DCZ677" s="37"/>
      <c r="DDA677" s="37"/>
      <c r="DDB677" s="37"/>
      <c r="DDC677" s="37"/>
      <c r="DDD677" s="37"/>
      <c r="DDE677" s="37"/>
      <c r="DDF677" s="37"/>
      <c r="DDG677" s="37"/>
      <c r="DDH677" s="37"/>
      <c r="DDI677" s="37"/>
      <c r="DDJ677" s="37"/>
      <c r="DDK677" s="37"/>
      <c r="DDL677" s="37"/>
      <c r="DDM677" s="37"/>
      <c r="DDN677" s="37"/>
      <c r="DDO677" s="37"/>
      <c r="DDP677" s="37"/>
      <c r="DDQ677" s="37"/>
      <c r="DDR677" s="37"/>
      <c r="DDS677" s="37"/>
      <c r="DDT677" s="37"/>
      <c r="DDU677" s="37"/>
      <c r="DDV677" s="37"/>
      <c r="DDW677" s="37"/>
      <c r="DDX677" s="37"/>
      <c r="DDY677" s="37"/>
      <c r="DDZ677" s="37"/>
      <c r="DEA677" s="37"/>
      <c r="DEB677" s="37"/>
      <c r="DEC677" s="37"/>
      <c r="DED677" s="37"/>
      <c r="DEE677" s="37"/>
      <c r="DEF677" s="37"/>
      <c r="DEG677" s="37"/>
      <c r="DEH677" s="37"/>
      <c r="DEI677" s="37"/>
      <c r="DEJ677" s="37"/>
      <c r="DEK677" s="37"/>
      <c r="DEL677" s="37"/>
      <c r="DEM677" s="37"/>
      <c r="DEN677" s="37"/>
      <c r="DEO677" s="37"/>
      <c r="DEP677" s="37"/>
      <c r="DEQ677" s="37"/>
      <c r="DER677" s="37"/>
      <c r="DES677" s="37"/>
      <c r="DET677" s="37"/>
      <c r="DEU677" s="37"/>
      <c r="DEV677" s="37"/>
      <c r="DEW677" s="37"/>
      <c r="DEX677" s="37"/>
      <c r="DEY677" s="37"/>
      <c r="DEZ677" s="37"/>
      <c r="DFA677" s="37"/>
      <c r="DFB677" s="37"/>
      <c r="DFC677" s="37"/>
      <c r="DFD677" s="37"/>
      <c r="DFE677" s="37"/>
      <c r="DFF677" s="37"/>
      <c r="DFG677" s="37"/>
      <c r="DFH677" s="37"/>
      <c r="DFI677" s="37"/>
      <c r="DFJ677" s="37"/>
      <c r="DFK677" s="37"/>
      <c r="DFL677" s="37"/>
      <c r="DFM677" s="37"/>
      <c r="DFN677" s="37"/>
      <c r="DFO677" s="37"/>
      <c r="DFP677" s="37"/>
      <c r="DFQ677" s="37"/>
      <c r="DFR677" s="37"/>
      <c r="DFS677" s="37"/>
      <c r="DFT677" s="37"/>
      <c r="DFU677" s="37"/>
      <c r="DFV677" s="37"/>
      <c r="DFW677" s="37"/>
      <c r="DFX677" s="37"/>
      <c r="DFY677" s="37"/>
      <c r="DFZ677" s="37"/>
      <c r="DGA677" s="37"/>
      <c r="DGB677" s="37"/>
      <c r="DGC677" s="37"/>
      <c r="DGD677" s="37"/>
      <c r="DGE677" s="37"/>
      <c r="DGF677" s="37"/>
      <c r="DGG677" s="37"/>
      <c r="DGH677" s="37"/>
      <c r="DGI677" s="37"/>
      <c r="DGJ677" s="37"/>
      <c r="DGK677" s="37"/>
      <c r="DGL677" s="37"/>
      <c r="DGM677" s="37"/>
      <c r="DGN677" s="37"/>
      <c r="DGO677" s="37"/>
      <c r="DGP677" s="37"/>
      <c r="DGQ677" s="37"/>
      <c r="DGR677" s="37"/>
      <c r="DGS677" s="37"/>
      <c r="DGT677" s="37"/>
      <c r="DGU677" s="37"/>
      <c r="DGV677" s="37"/>
      <c r="DGW677" s="37"/>
      <c r="DGX677" s="37"/>
      <c r="DGY677" s="37"/>
      <c r="DGZ677" s="37"/>
      <c r="DHA677" s="37"/>
      <c r="DHB677" s="37"/>
      <c r="DHC677" s="37"/>
      <c r="DHD677" s="37"/>
      <c r="DHE677" s="37"/>
      <c r="DHF677" s="37"/>
      <c r="DHG677" s="37"/>
      <c r="DHH677" s="37"/>
      <c r="DHI677" s="37"/>
      <c r="DHJ677" s="37"/>
      <c r="DHK677" s="37"/>
      <c r="DHL677" s="37"/>
      <c r="DHM677" s="37"/>
      <c r="DHN677" s="37"/>
      <c r="DHO677" s="37"/>
      <c r="DHP677" s="37"/>
      <c r="DHQ677" s="37"/>
      <c r="DHR677" s="37"/>
      <c r="DHS677" s="37"/>
      <c r="DHT677" s="37"/>
      <c r="DHU677" s="37"/>
      <c r="DHV677" s="37"/>
      <c r="DHW677" s="37"/>
      <c r="DHX677" s="37"/>
      <c r="DHY677" s="37"/>
      <c r="DHZ677" s="37"/>
      <c r="DIA677" s="37"/>
      <c r="DIB677" s="37"/>
      <c r="DIC677" s="37"/>
      <c r="DID677" s="37"/>
      <c r="DIE677" s="37"/>
      <c r="DIF677" s="37"/>
      <c r="DIG677" s="37"/>
      <c r="DIH677" s="37"/>
      <c r="DII677" s="37"/>
      <c r="DIJ677" s="37"/>
      <c r="DIK677" s="37"/>
      <c r="DIL677" s="37"/>
      <c r="DIM677" s="37"/>
      <c r="DIN677" s="37"/>
      <c r="DIO677" s="37"/>
      <c r="DIP677" s="37"/>
      <c r="DIQ677" s="37"/>
      <c r="DIR677" s="37"/>
      <c r="DIS677" s="37"/>
      <c r="DIT677" s="37"/>
      <c r="DIU677" s="37"/>
      <c r="DIV677" s="37"/>
      <c r="DIW677" s="37"/>
      <c r="DIX677" s="37"/>
      <c r="DIY677" s="37"/>
      <c r="DIZ677" s="37"/>
      <c r="DJA677" s="37"/>
      <c r="DJB677" s="37"/>
      <c r="DJC677" s="37"/>
      <c r="DJD677" s="37"/>
      <c r="DJE677" s="37"/>
      <c r="DJF677" s="37"/>
      <c r="DJG677" s="37"/>
      <c r="DJH677" s="37"/>
      <c r="DJI677" s="37"/>
      <c r="DJJ677" s="37"/>
      <c r="DJK677" s="37"/>
      <c r="DJL677" s="37"/>
      <c r="DJM677" s="37"/>
      <c r="DJN677" s="37"/>
      <c r="DJO677" s="37"/>
      <c r="DJP677" s="37"/>
      <c r="DJQ677" s="37"/>
      <c r="DJR677" s="37"/>
      <c r="DJS677" s="37"/>
      <c r="DJT677" s="37"/>
      <c r="DJU677" s="37"/>
      <c r="DJV677" s="37"/>
      <c r="DJW677" s="37"/>
      <c r="DJX677" s="37"/>
      <c r="DJY677" s="37"/>
      <c r="DJZ677" s="37"/>
      <c r="DKA677" s="37"/>
      <c r="DKB677" s="37"/>
      <c r="DKC677" s="37"/>
      <c r="DKD677" s="37"/>
      <c r="DKE677" s="37"/>
      <c r="DKF677" s="37"/>
      <c r="DKG677" s="37"/>
      <c r="DKH677" s="37"/>
      <c r="DKI677" s="37"/>
      <c r="DKJ677" s="37"/>
      <c r="DKK677" s="37"/>
      <c r="DKL677" s="37"/>
      <c r="DKM677" s="37"/>
      <c r="DKN677" s="37"/>
      <c r="DKO677" s="37"/>
      <c r="DKP677" s="37"/>
      <c r="DKQ677" s="37"/>
      <c r="DKR677" s="37"/>
      <c r="DKS677" s="37"/>
      <c r="DKT677" s="37"/>
      <c r="DKU677" s="37"/>
      <c r="DKV677" s="37"/>
      <c r="DKW677" s="37"/>
      <c r="DKX677" s="37"/>
      <c r="DKY677" s="37"/>
      <c r="DKZ677" s="37"/>
      <c r="DLA677" s="37"/>
      <c r="DLB677" s="37"/>
      <c r="DLC677" s="37"/>
      <c r="DLD677" s="37"/>
      <c r="DLE677" s="37"/>
      <c r="DLF677" s="37"/>
      <c r="DLG677" s="37"/>
      <c r="DLH677" s="37"/>
      <c r="DLI677" s="37"/>
      <c r="DLJ677" s="37"/>
      <c r="DLK677" s="37"/>
      <c r="DLL677" s="37"/>
      <c r="DLM677" s="37"/>
      <c r="DLN677" s="37"/>
      <c r="DLO677" s="37"/>
      <c r="DLP677" s="37"/>
      <c r="DLQ677" s="37"/>
      <c r="DLR677" s="37"/>
      <c r="DLS677" s="37"/>
      <c r="DLT677" s="37"/>
      <c r="DLU677" s="37"/>
      <c r="DLV677" s="37"/>
      <c r="DLW677" s="37"/>
      <c r="DLX677" s="37"/>
      <c r="DLY677" s="37"/>
      <c r="DLZ677" s="37"/>
      <c r="DMA677" s="37"/>
      <c r="DMB677" s="37"/>
      <c r="DMC677" s="37"/>
      <c r="DMD677" s="37"/>
      <c r="DME677" s="37"/>
      <c r="DMF677" s="37"/>
      <c r="DMG677" s="37"/>
      <c r="DMH677" s="37"/>
      <c r="DMI677" s="37"/>
      <c r="DMJ677" s="37"/>
      <c r="DMK677" s="37"/>
      <c r="DML677" s="37"/>
      <c r="DMM677" s="37"/>
      <c r="DMN677" s="37"/>
      <c r="DMO677" s="37"/>
      <c r="DMP677" s="37"/>
      <c r="DMQ677" s="37"/>
      <c r="DMR677" s="37"/>
      <c r="DMS677" s="37"/>
      <c r="DMT677" s="37"/>
      <c r="DMU677" s="37"/>
      <c r="DMV677" s="37"/>
      <c r="DMW677" s="37"/>
      <c r="DMX677" s="37"/>
      <c r="DMY677" s="37"/>
      <c r="DMZ677" s="37"/>
      <c r="DNA677" s="37"/>
      <c r="DNB677" s="37"/>
      <c r="DNC677" s="37"/>
      <c r="DND677" s="37"/>
      <c r="DNE677" s="37"/>
      <c r="DNF677" s="37"/>
      <c r="DNG677" s="37"/>
      <c r="DNH677" s="37"/>
      <c r="DNI677" s="37"/>
      <c r="DNJ677" s="37"/>
      <c r="DNK677" s="37"/>
      <c r="DNL677" s="37"/>
      <c r="DNM677" s="37"/>
      <c r="DNN677" s="37"/>
      <c r="DNO677" s="37"/>
      <c r="DNP677" s="37"/>
      <c r="DNQ677" s="37"/>
      <c r="DNR677" s="37"/>
      <c r="DNS677" s="37"/>
      <c r="DNT677" s="37"/>
      <c r="DNU677" s="37"/>
      <c r="DNV677" s="37"/>
      <c r="DNW677" s="37"/>
      <c r="DNX677" s="37"/>
      <c r="DNY677" s="37"/>
      <c r="DNZ677" s="37"/>
      <c r="DOA677" s="37"/>
      <c r="DOB677" s="37"/>
      <c r="DOC677" s="37"/>
      <c r="DOD677" s="37"/>
      <c r="DOE677" s="37"/>
      <c r="DOF677" s="37"/>
      <c r="DOG677" s="37"/>
      <c r="DOH677" s="37"/>
      <c r="DOI677" s="37"/>
      <c r="DOJ677" s="37"/>
      <c r="DOK677" s="37"/>
      <c r="DOL677" s="37"/>
      <c r="DOM677" s="37"/>
      <c r="DON677" s="37"/>
      <c r="DOO677" s="37"/>
      <c r="DOP677" s="37"/>
      <c r="DOQ677" s="37"/>
      <c r="DOR677" s="37"/>
      <c r="DOS677" s="37"/>
      <c r="DOT677" s="37"/>
      <c r="DOU677" s="37"/>
      <c r="DOV677" s="37"/>
      <c r="DOW677" s="37"/>
      <c r="DOX677" s="37"/>
      <c r="DOY677" s="37"/>
      <c r="DOZ677" s="37"/>
      <c r="DPA677" s="37"/>
      <c r="DPB677" s="37"/>
      <c r="DPC677" s="37"/>
      <c r="DPD677" s="37"/>
      <c r="DPE677" s="37"/>
      <c r="DPF677" s="37"/>
      <c r="DPG677" s="37"/>
      <c r="DPH677" s="37"/>
      <c r="DPI677" s="37"/>
      <c r="DPJ677" s="37"/>
      <c r="DPK677" s="37"/>
      <c r="DPL677" s="37"/>
      <c r="DPM677" s="37"/>
      <c r="DPN677" s="37"/>
      <c r="DPO677" s="37"/>
      <c r="DPP677" s="37"/>
      <c r="DPQ677" s="37"/>
      <c r="DPR677" s="37"/>
      <c r="DPS677" s="37"/>
      <c r="DPT677" s="37"/>
      <c r="DPU677" s="37"/>
      <c r="DPV677" s="37"/>
      <c r="DPW677" s="37"/>
      <c r="DPX677" s="37"/>
      <c r="DPY677" s="37"/>
      <c r="DPZ677" s="37"/>
      <c r="DQA677" s="37"/>
      <c r="DQB677" s="37"/>
      <c r="DQC677" s="37"/>
      <c r="DQD677" s="37"/>
      <c r="DQE677" s="37"/>
      <c r="DQF677" s="37"/>
      <c r="DQG677" s="37"/>
      <c r="DQH677" s="37"/>
      <c r="DQI677" s="37"/>
      <c r="DQJ677" s="37"/>
      <c r="DQK677" s="37"/>
      <c r="DQL677" s="37"/>
      <c r="DQM677" s="37"/>
      <c r="DQN677" s="37"/>
      <c r="DQO677" s="37"/>
      <c r="DQP677" s="37"/>
      <c r="DQQ677" s="37"/>
      <c r="DQR677" s="37"/>
      <c r="DQS677" s="37"/>
      <c r="DQT677" s="37"/>
      <c r="DQU677" s="37"/>
      <c r="DQV677" s="37"/>
      <c r="DQW677" s="37"/>
      <c r="DQX677" s="37"/>
      <c r="DQY677" s="37"/>
      <c r="DQZ677" s="37"/>
      <c r="DRA677" s="37"/>
      <c r="DRB677" s="37"/>
      <c r="DRC677" s="37"/>
      <c r="DRD677" s="37"/>
      <c r="DRE677" s="37"/>
      <c r="DRF677" s="37"/>
      <c r="DRG677" s="37"/>
      <c r="DRH677" s="37"/>
      <c r="DRI677" s="37"/>
      <c r="DRJ677" s="37"/>
      <c r="DRK677" s="37"/>
      <c r="DRL677" s="37"/>
      <c r="DRM677" s="37"/>
      <c r="DRN677" s="37"/>
      <c r="DRO677" s="37"/>
      <c r="DRP677" s="37"/>
      <c r="DRQ677" s="37"/>
      <c r="DRR677" s="37"/>
      <c r="DRS677" s="37"/>
      <c r="DRT677" s="37"/>
      <c r="DRU677" s="37"/>
      <c r="DRV677" s="37"/>
      <c r="DRW677" s="37"/>
      <c r="DRX677" s="37"/>
      <c r="DRY677" s="37"/>
      <c r="DRZ677" s="37"/>
      <c r="DSA677" s="37"/>
      <c r="DSB677" s="37"/>
      <c r="DSC677" s="37"/>
      <c r="DSD677" s="37"/>
      <c r="DSE677" s="37"/>
      <c r="DSF677" s="37"/>
      <c r="DSG677" s="37"/>
      <c r="DSH677" s="37"/>
      <c r="DSI677" s="37"/>
      <c r="DSJ677" s="37"/>
      <c r="DSK677" s="37"/>
      <c r="DSL677" s="37"/>
      <c r="DSM677" s="37"/>
      <c r="DSN677" s="37"/>
      <c r="DSO677" s="37"/>
      <c r="DSP677" s="37"/>
      <c r="DSQ677" s="37"/>
      <c r="DSR677" s="37"/>
      <c r="DSS677" s="37"/>
      <c r="DST677" s="37"/>
      <c r="DSU677" s="37"/>
      <c r="DSV677" s="37"/>
      <c r="DSW677" s="37"/>
      <c r="DSX677" s="37"/>
      <c r="DSY677" s="37"/>
      <c r="DSZ677" s="37"/>
      <c r="DTA677" s="37"/>
      <c r="DTB677" s="37"/>
      <c r="DTC677" s="37"/>
      <c r="DTD677" s="37"/>
      <c r="DTE677" s="37"/>
      <c r="DTF677" s="37"/>
      <c r="DTG677" s="37"/>
      <c r="DTH677" s="37"/>
      <c r="DTI677" s="37"/>
      <c r="DTJ677" s="37"/>
      <c r="DTK677" s="37"/>
      <c r="DTL677" s="37"/>
      <c r="DTM677" s="37"/>
      <c r="DTN677" s="37"/>
      <c r="DTO677" s="37"/>
      <c r="DTP677" s="37"/>
      <c r="DTQ677" s="37"/>
      <c r="DTR677" s="37"/>
      <c r="DTS677" s="37"/>
      <c r="DTT677" s="37"/>
      <c r="DTU677" s="37"/>
      <c r="DTV677" s="37"/>
      <c r="DTW677" s="37"/>
      <c r="DTX677" s="37"/>
      <c r="DTY677" s="37"/>
      <c r="DTZ677" s="37"/>
      <c r="DUA677" s="37"/>
      <c r="DUB677" s="37"/>
      <c r="DUC677" s="37"/>
      <c r="DUD677" s="37"/>
      <c r="DUE677" s="37"/>
      <c r="DUF677" s="37"/>
      <c r="DUG677" s="37"/>
      <c r="DUH677" s="37"/>
      <c r="DUI677" s="37"/>
      <c r="DUJ677" s="37"/>
      <c r="DUK677" s="37"/>
      <c r="DUL677" s="37"/>
      <c r="DUM677" s="37"/>
      <c r="DUN677" s="37"/>
      <c r="DUO677" s="37"/>
      <c r="DUP677" s="37"/>
      <c r="DUQ677" s="37"/>
      <c r="DUR677" s="37"/>
      <c r="DUS677" s="37"/>
      <c r="DUT677" s="37"/>
      <c r="DUU677" s="37"/>
      <c r="DUV677" s="37"/>
      <c r="DUW677" s="37"/>
      <c r="DUX677" s="37"/>
      <c r="DUY677" s="37"/>
      <c r="DUZ677" s="37"/>
      <c r="DVA677" s="37"/>
      <c r="DVB677" s="37"/>
      <c r="DVC677" s="37"/>
      <c r="DVD677" s="37"/>
      <c r="DVE677" s="37"/>
      <c r="DVF677" s="37"/>
      <c r="DVG677" s="37"/>
      <c r="DVH677" s="37"/>
      <c r="DVI677" s="37"/>
      <c r="DVJ677" s="37"/>
      <c r="DVK677" s="37"/>
      <c r="DVL677" s="37"/>
      <c r="DVM677" s="37"/>
      <c r="DVN677" s="37"/>
      <c r="DVO677" s="37"/>
      <c r="DVP677" s="37"/>
      <c r="DVQ677" s="37"/>
      <c r="DVR677" s="37"/>
      <c r="DVS677" s="37"/>
      <c r="DVT677" s="37"/>
      <c r="DVU677" s="37"/>
      <c r="DVV677" s="37"/>
      <c r="DVW677" s="37"/>
      <c r="DVX677" s="37"/>
      <c r="DVY677" s="37"/>
      <c r="DVZ677" s="37"/>
      <c r="DWA677" s="37"/>
      <c r="DWB677" s="37"/>
      <c r="DWC677" s="37"/>
      <c r="DWD677" s="37"/>
      <c r="DWE677" s="37"/>
      <c r="DWF677" s="37"/>
      <c r="DWG677" s="37"/>
      <c r="DWH677" s="37"/>
      <c r="DWI677" s="37"/>
      <c r="DWJ677" s="37"/>
      <c r="DWK677" s="37"/>
      <c r="DWL677" s="37"/>
      <c r="DWM677" s="37"/>
      <c r="DWN677" s="37"/>
      <c r="DWO677" s="37"/>
      <c r="DWP677" s="37"/>
      <c r="DWQ677" s="37"/>
      <c r="DWR677" s="37"/>
      <c r="DWS677" s="37"/>
      <c r="DWT677" s="37"/>
      <c r="DWU677" s="37"/>
      <c r="DWV677" s="37"/>
      <c r="DWW677" s="37"/>
      <c r="DWX677" s="37"/>
      <c r="DWY677" s="37"/>
      <c r="DWZ677" s="37"/>
      <c r="DXA677" s="37"/>
      <c r="DXB677" s="37"/>
      <c r="DXC677" s="37"/>
      <c r="DXD677" s="37"/>
      <c r="DXE677" s="37"/>
      <c r="DXF677" s="37"/>
      <c r="DXG677" s="37"/>
      <c r="DXH677" s="37"/>
      <c r="DXI677" s="37"/>
      <c r="DXJ677" s="37"/>
      <c r="DXK677" s="37"/>
      <c r="DXL677" s="37"/>
      <c r="DXM677" s="37"/>
      <c r="DXN677" s="37"/>
      <c r="DXO677" s="37"/>
      <c r="DXP677" s="37"/>
      <c r="DXQ677" s="37"/>
      <c r="DXR677" s="37"/>
      <c r="DXS677" s="37"/>
      <c r="DXT677" s="37"/>
      <c r="DXU677" s="37"/>
      <c r="DXV677" s="37"/>
      <c r="DXW677" s="37"/>
      <c r="DXX677" s="37"/>
      <c r="DXY677" s="37"/>
      <c r="DXZ677" s="37"/>
      <c r="DYA677" s="37"/>
      <c r="DYB677" s="37"/>
      <c r="DYC677" s="37"/>
      <c r="DYD677" s="37"/>
      <c r="DYE677" s="37"/>
      <c r="DYF677" s="37"/>
      <c r="DYG677" s="37"/>
      <c r="DYH677" s="37"/>
      <c r="DYI677" s="37"/>
      <c r="DYJ677" s="37"/>
      <c r="DYK677" s="37"/>
      <c r="DYL677" s="37"/>
      <c r="DYM677" s="37"/>
      <c r="DYN677" s="37"/>
      <c r="DYO677" s="37"/>
      <c r="DYP677" s="37"/>
      <c r="DYQ677" s="37"/>
      <c r="DYR677" s="37"/>
      <c r="DYS677" s="37"/>
      <c r="DYT677" s="37"/>
      <c r="DYU677" s="37"/>
      <c r="DYV677" s="37"/>
      <c r="DYW677" s="37"/>
      <c r="DYX677" s="37"/>
      <c r="DYY677" s="37"/>
      <c r="DYZ677" s="37"/>
      <c r="DZA677" s="37"/>
      <c r="DZB677" s="37"/>
      <c r="DZC677" s="37"/>
      <c r="DZD677" s="37"/>
      <c r="DZE677" s="37"/>
      <c r="DZF677" s="37"/>
      <c r="DZG677" s="37"/>
      <c r="DZH677" s="37"/>
      <c r="DZI677" s="37"/>
      <c r="DZJ677" s="37"/>
      <c r="DZK677" s="37"/>
      <c r="DZL677" s="37"/>
      <c r="DZM677" s="37"/>
      <c r="DZN677" s="37"/>
      <c r="DZO677" s="37"/>
      <c r="DZP677" s="37"/>
      <c r="DZQ677" s="37"/>
      <c r="DZR677" s="37"/>
      <c r="DZS677" s="37"/>
      <c r="DZT677" s="37"/>
      <c r="DZU677" s="37"/>
      <c r="DZV677" s="37"/>
      <c r="DZW677" s="37"/>
      <c r="DZX677" s="37"/>
      <c r="DZY677" s="37"/>
      <c r="DZZ677" s="37"/>
      <c r="EAA677" s="37"/>
      <c r="EAB677" s="37"/>
      <c r="EAC677" s="37"/>
      <c r="EAD677" s="37"/>
      <c r="EAE677" s="37"/>
      <c r="EAF677" s="37"/>
      <c r="EAG677" s="37"/>
      <c r="EAH677" s="37"/>
      <c r="EAI677" s="37"/>
      <c r="EAJ677" s="37"/>
      <c r="EAK677" s="37"/>
      <c r="EAL677" s="37"/>
      <c r="EAM677" s="37"/>
      <c r="EAN677" s="37"/>
      <c r="EAO677" s="37"/>
      <c r="EAP677" s="37"/>
      <c r="EAQ677" s="37"/>
      <c r="EAR677" s="37"/>
      <c r="EAS677" s="37"/>
      <c r="EAT677" s="37"/>
      <c r="EAU677" s="37"/>
      <c r="EAV677" s="37"/>
      <c r="EAW677" s="37"/>
      <c r="EAX677" s="37"/>
      <c r="EAY677" s="37"/>
      <c r="EAZ677" s="37"/>
      <c r="EBA677" s="37"/>
      <c r="EBB677" s="37"/>
      <c r="EBC677" s="37"/>
      <c r="EBD677" s="37"/>
      <c r="EBE677" s="37"/>
      <c r="EBF677" s="37"/>
      <c r="EBG677" s="37"/>
      <c r="EBH677" s="37"/>
      <c r="EBI677" s="37"/>
      <c r="EBJ677" s="37"/>
      <c r="EBK677" s="37"/>
      <c r="EBL677" s="37"/>
      <c r="EBM677" s="37"/>
      <c r="EBN677" s="37"/>
      <c r="EBO677" s="37"/>
      <c r="EBP677" s="37"/>
      <c r="EBQ677" s="37"/>
      <c r="EBR677" s="37"/>
      <c r="EBS677" s="37"/>
      <c r="EBT677" s="37"/>
      <c r="EBU677" s="37"/>
      <c r="EBV677" s="37"/>
      <c r="EBW677" s="37"/>
      <c r="EBX677" s="37"/>
      <c r="EBY677" s="37"/>
      <c r="EBZ677" s="37"/>
      <c r="ECA677" s="37"/>
      <c r="ECB677" s="37"/>
      <c r="ECC677" s="37"/>
      <c r="ECD677" s="37"/>
      <c r="ECE677" s="37"/>
      <c r="ECF677" s="37"/>
      <c r="ECG677" s="37"/>
      <c r="ECH677" s="37"/>
      <c r="ECI677" s="37"/>
      <c r="ECJ677" s="37"/>
      <c r="ECK677" s="37"/>
      <c r="ECL677" s="37"/>
      <c r="ECM677" s="37"/>
      <c r="ECN677" s="37"/>
      <c r="ECO677" s="37"/>
      <c r="ECP677" s="37"/>
      <c r="ECQ677" s="37"/>
      <c r="ECR677" s="37"/>
      <c r="ECS677" s="37"/>
      <c r="ECT677" s="37"/>
      <c r="ECU677" s="37"/>
      <c r="ECV677" s="37"/>
      <c r="ECW677" s="37"/>
      <c r="ECX677" s="37"/>
      <c r="ECY677" s="37"/>
      <c r="ECZ677" s="37"/>
      <c r="EDA677" s="37"/>
      <c r="EDB677" s="37"/>
      <c r="EDC677" s="37"/>
      <c r="EDD677" s="37"/>
      <c r="EDE677" s="37"/>
      <c r="EDF677" s="37"/>
      <c r="EDG677" s="37"/>
      <c r="EDH677" s="37"/>
      <c r="EDI677" s="37"/>
      <c r="EDJ677" s="37"/>
      <c r="EDK677" s="37"/>
      <c r="EDL677" s="37"/>
      <c r="EDM677" s="37"/>
      <c r="EDN677" s="37"/>
      <c r="EDO677" s="37"/>
      <c r="EDP677" s="37"/>
      <c r="EDQ677" s="37"/>
      <c r="EDR677" s="37"/>
      <c r="EDS677" s="37"/>
      <c r="EDT677" s="37"/>
      <c r="EDU677" s="37"/>
      <c r="EDV677" s="37"/>
      <c r="EDW677" s="37"/>
      <c r="EDX677" s="37"/>
      <c r="EDY677" s="37"/>
      <c r="EDZ677" s="37"/>
      <c r="EEA677" s="37"/>
      <c r="EEB677" s="37"/>
      <c r="EEC677" s="37"/>
      <c r="EED677" s="37"/>
      <c r="EEE677" s="37"/>
      <c r="EEF677" s="37"/>
      <c r="EEG677" s="37"/>
      <c r="EEH677" s="37"/>
      <c r="EEI677" s="37"/>
      <c r="EEJ677" s="37"/>
      <c r="EEK677" s="37"/>
      <c r="EEL677" s="37"/>
      <c r="EEM677" s="37"/>
      <c r="EEN677" s="37"/>
      <c r="EEO677" s="37"/>
      <c r="EEP677" s="37"/>
      <c r="EEQ677" s="37"/>
      <c r="EER677" s="37"/>
      <c r="EES677" s="37"/>
      <c r="EET677" s="37"/>
      <c r="EEU677" s="37"/>
      <c r="EEV677" s="37"/>
      <c r="EEW677" s="37"/>
      <c r="EEX677" s="37"/>
      <c r="EEY677" s="37"/>
      <c r="EEZ677" s="37"/>
      <c r="EFA677" s="37"/>
      <c r="EFB677" s="37"/>
      <c r="EFC677" s="37"/>
      <c r="EFD677" s="37"/>
      <c r="EFE677" s="37"/>
      <c r="EFF677" s="37"/>
      <c r="EFG677" s="37"/>
      <c r="EFH677" s="37"/>
      <c r="EFI677" s="37"/>
      <c r="EFJ677" s="37"/>
      <c r="EFK677" s="37"/>
      <c r="EFL677" s="37"/>
      <c r="EFM677" s="37"/>
      <c r="EFN677" s="37"/>
      <c r="EFO677" s="37"/>
      <c r="EFP677" s="37"/>
      <c r="EFQ677" s="37"/>
      <c r="EFR677" s="37"/>
      <c r="EFS677" s="37"/>
      <c r="EFT677" s="37"/>
      <c r="EFU677" s="37"/>
      <c r="EFV677" s="37"/>
      <c r="EFW677" s="37"/>
      <c r="EFX677" s="37"/>
      <c r="EFY677" s="37"/>
      <c r="EFZ677" s="37"/>
      <c r="EGA677" s="37"/>
      <c r="EGB677" s="37"/>
      <c r="EGC677" s="37"/>
      <c r="EGD677" s="37"/>
      <c r="EGE677" s="37"/>
      <c r="EGF677" s="37"/>
      <c r="EGG677" s="37"/>
      <c r="EGH677" s="37"/>
      <c r="EGI677" s="37"/>
      <c r="EGJ677" s="37"/>
      <c r="EGK677" s="37"/>
      <c r="EGL677" s="37"/>
      <c r="EGM677" s="37"/>
      <c r="EGN677" s="37"/>
      <c r="EGO677" s="37"/>
      <c r="EGP677" s="37"/>
      <c r="EGQ677" s="37"/>
      <c r="EGR677" s="37"/>
      <c r="EGS677" s="37"/>
      <c r="EGT677" s="37"/>
      <c r="EGU677" s="37"/>
      <c r="EGV677" s="37"/>
      <c r="EGW677" s="37"/>
      <c r="EGX677" s="37"/>
      <c r="EGY677" s="37"/>
      <c r="EGZ677" s="37"/>
      <c r="EHA677" s="37"/>
      <c r="EHB677" s="37"/>
      <c r="EHC677" s="37"/>
      <c r="EHD677" s="37"/>
      <c r="EHE677" s="37"/>
      <c r="EHF677" s="37"/>
      <c r="EHG677" s="37"/>
      <c r="EHH677" s="37"/>
      <c r="EHI677" s="37"/>
      <c r="EHJ677" s="37"/>
      <c r="EHK677" s="37"/>
      <c r="EHL677" s="37"/>
      <c r="EHM677" s="37"/>
      <c r="EHN677" s="37"/>
      <c r="EHO677" s="37"/>
      <c r="EHP677" s="37"/>
      <c r="EHQ677" s="37"/>
      <c r="EHR677" s="37"/>
      <c r="EHS677" s="37"/>
      <c r="EHT677" s="37"/>
      <c r="EHU677" s="37"/>
      <c r="EHV677" s="37"/>
      <c r="EHW677" s="37"/>
      <c r="EHX677" s="37"/>
      <c r="EHY677" s="37"/>
      <c r="EHZ677" s="37"/>
      <c r="EIA677" s="37"/>
      <c r="EIB677" s="37"/>
      <c r="EIC677" s="37"/>
      <c r="EID677" s="37"/>
      <c r="EIE677" s="37"/>
      <c r="EIF677" s="37"/>
      <c r="EIG677" s="37"/>
      <c r="EIH677" s="37"/>
      <c r="EII677" s="37"/>
      <c r="EIJ677" s="37"/>
      <c r="EIK677" s="37"/>
      <c r="EIL677" s="37"/>
      <c r="EIM677" s="37"/>
      <c r="EIN677" s="37"/>
      <c r="EIO677" s="37"/>
      <c r="EIP677" s="37"/>
      <c r="EIQ677" s="37"/>
      <c r="EIR677" s="37"/>
      <c r="EIS677" s="37"/>
      <c r="EIT677" s="37"/>
      <c r="EIU677" s="37"/>
      <c r="EIV677" s="37"/>
      <c r="EIW677" s="37"/>
      <c r="EIX677" s="37"/>
      <c r="EIY677" s="37"/>
      <c r="EIZ677" s="37"/>
      <c r="EJA677" s="37"/>
      <c r="EJB677" s="37"/>
      <c r="EJC677" s="37"/>
      <c r="EJD677" s="37"/>
      <c r="EJE677" s="37"/>
      <c r="EJF677" s="37"/>
      <c r="EJG677" s="37"/>
      <c r="EJH677" s="37"/>
      <c r="EJI677" s="37"/>
      <c r="EJJ677" s="37"/>
      <c r="EJK677" s="37"/>
      <c r="EJL677" s="37"/>
      <c r="EJM677" s="37"/>
      <c r="EJN677" s="37"/>
      <c r="EJO677" s="37"/>
      <c r="EJP677" s="37"/>
      <c r="EJQ677" s="37"/>
      <c r="EJR677" s="37"/>
      <c r="EJS677" s="37"/>
      <c r="EJT677" s="37"/>
      <c r="EJU677" s="37"/>
      <c r="EJV677" s="37"/>
      <c r="EJW677" s="37"/>
      <c r="EJX677" s="37"/>
      <c r="EJY677" s="37"/>
      <c r="EJZ677" s="37"/>
      <c r="EKA677" s="37"/>
      <c r="EKB677" s="37"/>
      <c r="EKC677" s="37"/>
      <c r="EKD677" s="37"/>
      <c r="EKE677" s="37"/>
      <c r="EKF677" s="37"/>
      <c r="EKG677" s="37"/>
      <c r="EKH677" s="37"/>
      <c r="EKI677" s="37"/>
      <c r="EKJ677" s="37"/>
      <c r="EKK677" s="37"/>
      <c r="EKL677" s="37"/>
      <c r="EKM677" s="37"/>
      <c r="EKN677" s="37"/>
      <c r="EKO677" s="37"/>
      <c r="EKP677" s="37"/>
      <c r="EKQ677" s="37"/>
      <c r="EKR677" s="37"/>
      <c r="EKS677" s="37"/>
      <c r="EKT677" s="37"/>
      <c r="EKU677" s="37"/>
      <c r="EKV677" s="37"/>
      <c r="EKW677" s="37"/>
      <c r="EKX677" s="37"/>
      <c r="EKY677" s="37"/>
      <c r="EKZ677" s="37"/>
      <c r="ELA677" s="37"/>
      <c r="ELB677" s="37"/>
      <c r="ELC677" s="37"/>
      <c r="ELD677" s="37"/>
      <c r="ELE677" s="37"/>
      <c r="ELF677" s="37"/>
      <c r="ELG677" s="37"/>
      <c r="ELH677" s="37"/>
      <c r="ELI677" s="37"/>
      <c r="ELJ677" s="37"/>
      <c r="ELK677" s="37"/>
      <c r="ELL677" s="37"/>
      <c r="ELM677" s="37"/>
      <c r="ELN677" s="37"/>
      <c r="ELO677" s="37"/>
      <c r="ELP677" s="37"/>
      <c r="ELQ677" s="37"/>
      <c r="ELR677" s="37"/>
      <c r="ELS677" s="37"/>
      <c r="ELT677" s="37"/>
      <c r="ELU677" s="37"/>
      <c r="ELV677" s="37"/>
      <c r="ELW677" s="37"/>
      <c r="ELX677" s="37"/>
      <c r="ELY677" s="37"/>
      <c r="ELZ677" s="37"/>
      <c r="EMA677" s="37"/>
      <c r="EMB677" s="37"/>
      <c r="EMC677" s="37"/>
      <c r="EMD677" s="37"/>
      <c r="EME677" s="37"/>
      <c r="EMF677" s="37"/>
      <c r="EMG677" s="37"/>
      <c r="EMH677" s="37"/>
      <c r="EMI677" s="37"/>
      <c r="EMJ677" s="37"/>
      <c r="EMK677" s="37"/>
      <c r="EML677" s="37"/>
      <c r="EMM677" s="37"/>
      <c r="EMN677" s="37"/>
      <c r="EMO677" s="37"/>
      <c r="EMP677" s="37"/>
      <c r="EMQ677" s="37"/>
      <c r="EMR677" s="37"/>
      <c r="EMS677" s="37"/>
      <c r="EMT677" s="37"/>
      <c r="EMU677" s="37"/>
      <c r="EMV677" s="37"/>
      <c r="EMW677" s="37"/>
      <c r="EMX677" s="37"/>
      <c r="EMY677" s="37"/>
      <c r="EMZ677" s="37"/>
      <c r="ENA677" s="37"/>
      <c r="ENB677" s="37"/>
      <c r="ENC677" s="37"/>
      <c r="END677" s="37"/>
      <c r="ENE677" s="37"/>
      <c r="ENF677" s="37"/>
      <c r="ENG677" s="37"/>
      <c r="ENH677" s="37"/>
      <c r="ENI677" s="37"/>
      <c r="ENJ677" s="37"/>
      <c r="ENK677" s="37"/>
      <c r="ENL677" s="37"/>
      <c r="ENM677" s="37"/>
      <c r="ENN677" s="37"/>
      <c r="ENO677" s="37"/>
      <c r="ENP677" s="37"/>
      <c r="ENQ677" s="37"/>
      <c r="ENR677" s="37"/>
      <c r="ENS677" s="37"/>
      <c r="ENT677" s="37"/>
      <c r="ENU677" s="37"/>
      <c r="ENV677" s="37"/>
      <c r="ENW677" s="37"/>
      <c r="ENX677" s="37"/>
      <c r="ENY677" s="37"/>
      <c r="ENZ677" s="37"/>
      <c r="EOA677" s="37"/>
      <c r="EOB677" s="37"/>
      <c r="EOC677" s="37"/>
      <c r="EOD677" s="37"/>
      <c r="EOE677" s="37"/>
      <c r="EOF677" s="37"/>
      <c r="EOG677" s="37"/>
      <c r="EOH677" s="37"/>
      <c r="EOI677" s="37"/>
      <c r="EOJ677" s="37"/>
      <c r="EOK677" s="37"/>
      <c r="EOL677" s="37"/>
      <c r="EOM677" s="37"/>
      <c r="EON677" s="37"/>
      <c r="EOO677" s="37"/>
      <c r="EOP677" s="37"/>
      <c r="EOQ677" s="37"/>
      <c r="EOR677" s="37"/>
      <c r="EOS677" s="37"/>
      <c r="EOT677" s="37"/>
      <c r="EOU677" s="37"/>
      <c r="EOV677" s="37"/>
      <c r="EOW677" s="37"/>
      <c r="EOX677" s="37"/>
      <c r="EOY677" s="37"/>
      <c r="EOZ677" s="37"/>
      <c r="EPA677" s="37"/>
      <c r="EPB677" s="37"/>
      <c r="EPC677" s="37"/>
      <c r="EPD677" s="37"/>
      <c r="EPE677" s="37"/>
      <c r="EPF677" s="37"/>
      <c r="EPG677" s="37"/>
      <c r="EPH677" s="37"/>
      <c r="EPI677" s="37"/>
      <c r="EPJ677" s="37"/>
      <c r="EPK677" s="37"/>
      <c r="EPL677" s="37"/>
      <c r="EPM677" s="37"/>
      <c r="EPN677" s="37"/>
      <c r="EPO677" s="37"/>
      <c r="EPP677" s="37"/>
      <c r="EPQ677" s="37"/>
      <c r="EPR677" s="37"/>
      <c r="EPS677" s="37"/>
      <c r="EPT677" s="37"/>
      <c r="EPU677" s="37"/>
      <c r="EPV677" s="37"/>
      <c r="EPW677" s="37"/>
      <c r="EPX677" s="37"/>
      <c r="EPY677" s="37"/>
      <c r="EPZ677" s="37"/>
      <c r="EQA677" s="37"/>
      <c r="EQB677" s="37"/>
      <c r="EQC677" s="37"/>
      <c r="EQD677" s="37"/>
      <c r="EQE677" s="37"/>
      <c r="EQF677" s="37"/>
      <c r="EQG677" s="37"/>
      <c r="EQH677" s="37"/>
      <c r="EQI677" s="37"/>
      <c r="EQJ677" s="37"/>
      <c r="EQK677" s="37"/>
      <c r="EQL677" s="37"/>
      <c r="EQM677" s="37"/>
      <c r="EQN677" s="37"/>
      <c r="EQO677" s="37"/>
      <c r="EQP677" s="37"/>
      <c r="EQQ677" s="37"/>
      <c r="EQR677" s="37"/>
      <c r="EQS677" s="37"/>
      <c r="EQT677" s="37"/>
      <c r="EQU677" s="37"/>
      <c r="EQV677" s="37"/>
      <c r="EQW677" s="37"/>
      <c r="EQX677" s="37"/>
      <c r="EQY677" s="37"/>
      <c r="EQZ677" s="37"/>
      <c r="ERA677" s="37"/>
      <c r="ERB677" s="37"/>
      <c r="ERC677" s="37"/>
      <c r="ERD677" s="37"/>
      <c r="ERE677" s="37"/>
      <c r="ERF677" s="37"/>
      <c r="ERG677" s="37"/>
      <c r="ERH677" s="37"/>
      <c r="ERI677" s="37"/>
      <c r="ERJ677" s="37"/>
      <c r="ERK677" s="37"/>
      <c r="ERL677" s="37"/>
      <c r="ERM677" s="37"/>
      <c r="ERN677" s="37"/>
      <c r="ERO677" s="37"/>
      <c r="ERP677" s="37"/>
      <c r="ERQ677" s="37"/>
      <c r="ERR677" s="37"/>
      <c r="ERS677" s="37"/>
      <c r="ERT677" s="37"/>
      <c r="ERU677" s="37"/>
      <c r="ERV677" s="37"/>
      <c r="ERW677" s="37"/>
      <c r="ERX677" s="37"/>
      <c r="ERY677" s="37"/>
      <c r="ERZ677" s="37"/>
      <c r="ESA677" s="37"/>
      <c r="ESB677" s="37"/>
      <c r="ESC677" s="37"/>
      <c r="ESD677" s="37"/>
      <c r="ESE677" s="37"/>
      <c r="ESF677" s="37"/>
      <c r="ESG677" s="37"/>
      <c r="ESH677" s="37"/>
      <c r="ESI677" s="37"/>
      <c r="ESJ677" s="37"/>
      <c r="ESK677" s="37"/>
      <c r="ESL677" s="37"/>
      <c r="ESM677" s="37"/>
      <c r="ESN677" s="37"/>
      <c r="ESO677" s="37"/>
      <c r="ESP677" s="37"/>
      <c r="ESQ677" s="37"/>
      <c r="ESR677" s="37"/>
      <c r="ESS677" s="37"/>
      <c r="EST677" s="37"/>
      <c r="ESU677" s="37"/>
      <c r="ESV677" s="37"/>
      <c r="ESW677" s="37"/>
      <c r="ESX677" s="37"/>
      <c r="ESY677" s="37"/>
      <c r="ESZ677" s="37"/>
      <c r="ETA677" s="37"/>
      <c r="ETB677" s="37"/>
      <c r="ETC677" s="37"/>
      <c r="ETD677" s="37"/>
      <c r="ETE677" s="37"/>
      <c r="ETF677" s="37"/>
      <c r="ETG677" s="37"/>
      <c r="ETH677" s="37"/>
      <c r="ETI677" s="37"/>
      <c r="ETJ677" s="37"/>
      <c r="ETK677" s="37"/>
      <c r="ETL677" s="37"/>
      <c r="ETM677" s="37"/>
      <c r="ETN677" s="37"/>
      <c r="ETO677" s="37"/>
      <c r="ETP677" s="37"/>
      <c r="ETQ677" s="37"/>
      <c r="ETR677" s="37"/>
      <c r="ETS677" s="37"/>
      <c r="ETT677" s="37"/>
      <c r="ETU677" s="37"/>
      <c r="ETV677" s="37"/>
      <c r="ETW677" s="37"/>
      <c r="ETX677" s="37"/>
      <c r="ETY677" s="37"/>
      <c r="ETZ677" s="37"/>
      <c r="EUA677" s="37"/>
      <c r="EUB677" s="37"/>
      <c r="EUC677" s="37"/>
      <c r="EUD677" s="37"/>
      <c r="EUE677" s="37"/>
      <c r="EUF677" s="37"/>
      <c r="EUG677" s="37"/>
      <c r="EUH677" s="37"/>
      <c r="EUI677" s="37"/>
      <c r="EUJ677" s="37"/>
      <c r="EUK677" s="37"/>
      <c r="EUL677" s="37"/>
      <c r="EUM677" s="37"/>
      <c r="EUN677" s="37"/>
      <c r="EUO677" s="37"/>
      <c r="EUP677" s="37"/>
      <c r="EUQ677" s="37"/>
      <c r="EUR677" s="37"/>
      <c r="EUS677" s="37"/>
      <c r="EUT677" s="37"/>
      <c r="EUU677" s="37"/>
      <c r="EUV677" s="37"/>
      <c r="EUW677" s="37"/>
      <c r="EUX677" s="37"/>
      <c r="EUY677" s="37"/>
      <c r="EUZ677" s="37"/>
      <c r="EVA677" s="37"/>
      <c r="EVB677" s="37"/>
      <c r="EVC677" s="37"/>
      <c r="EVD677" s="37"/>
      <c r="EVE677" s="37"/>
      <c r="EVF677" s="37"/>
      <c r="EVG677" s="37"/>
      <c r="EVH677" s="37"/>
      <c r="EVI677" s="37"/>
      <c r="EVJ677" s="37"/>
      <c r="EVK677" s="37"/>
      <c r="EVL677" s="37"/>
      <c r="EVM677" s="37"/>
      <c r="EVN677" s="37"/>
      <c r="EVO677" s="37"/>
      <c r="EVP677" s="37"/>
      <c r="EVQ677" s="37"/>
      <c r="EVR677" s="37"/>
      <c r="EVS677" s="37"/>
      <c r="EVT677" s="37"/>
      <c r="EVU677" s="37"/>
      <c r="EVV677" s="37"/>
      <c r="EVW677" s="37"/>
      <c r="EVX677" s="37"/>
      <c r="EVY677" s="37"/>
      <c r="EVZ677" s="37"/>
      <c r="EWA677" s="37"/>
      <c r="EWB677" s="37"/>
      <c r="EWC677" s="37"/>
      <c r="EWD677" s="37"/>
      <c r="EWE677" s="37"/>
      <c r="EWF677" s="37"/>
      <c r="EWG677" s="37"/>
      <c r="EWH677" s="37"/>
      <c r="EWI677" s="37"/>
      <c r="EWJ677" s="37"/>
      <c r="EWK677" s="37"/>
      <c r="EWL677" s="37"/>
      <c r="EWM677" s="37"/>
      <c r="EWN677" s="37"/>
      <c r="EWO677" s="37"/>
      <c r="EWP677" s="37"/>
      <c r="EWQ677" s="37"/>
      <c r="EWR677" s="37"/>
      <c r="EWS677" s="37"/>
      <c r="EWT677" s="37"/>
      <c r="EWU677" s="37"/>
      <c r="EWV677" s="37"/>
      <c r="EWW677" s="37"/>
      <c r="EWX677" s="37"/>
      <c r="EWY677" s="37"/>
      <c r="EWZ677" s="37"/>
      <c r="EXA677" s="37"/>
      <c r="EXB677" s="37"/>
      <c r="EXC677" s="37"/>
      <c r="EXD677" s="37"/>
      <c r="EXE677" s="37"/>
      <c r="EXF677" s="37"/>
      <c r="EXG677" s="37"/>
      <c r="EXH677" s="37"/>
      <c r="EXI677" s="37"/>
      <c r="EXJ677" s="37"/>
      <c r="EXK677" s="37"/>
      <c r="EXL677" s="37"/>
      <c r="EXM677" s="37"/>
      <c r="EXN677" s="37"/>
      <c r="EXO677" s="37"/>
      <c r="EXP677" s="37"/>
      <c r="EXQ677" s="37"/>
      <c r="EXR677" s="37"/>
      <c r="EXS677" s="37"/>
      <c r="EXT677" s="37"/>
      <c r="EXU677" s="37"/>
      <c r="EXV677" s="37"/>
      <c r="EXW677" s="37"/>
      <c r="EXX677" s="37"/>
      <c r="EXY677" s="37"/>
      <c r="EXZ677" s="37"/>
      <c r="EYA677" s="37"/>
      <c r="EYB677" s="37"/>
      <c r="EYC677" s="37"/>
      <c r="EYD677" s="37"/>
      <c r="EYE677" s="37"/>
      <c r="EYF677" s="37"/>
      <c r="EYG677" s="37"/>
      <c r="EYH677" s="37"/>
      <c r="EYI677" s="37"/>
      <c r="EYJ677" s="37"/>
      <c r="EYK677" s="37"/>
      <c r="EYL677" s="37"/>
      <c r="EYM677" s="37"/>
      <c r="EYN677" s="37"/>
      <c r="EYO677" s="37"/>
      <c r="EYP677" s="37"/>
      <c r="EYQ677" s="37"/>
      <c r="EYR677" s="37"/>
      <c r="EYS677" s="37"/>
      <c r="EYT677" s="37"/>
      <c r="EYU677" s="37"/>
      <c r="EYV677" s="37"/>
      <c r="EYW677" s="37"/>
      <c r="EYX677" s="37"/>
      <c r="EYY677" s="37"/>
      <c r="EYZ677" s="37"/>
      <c r="EZA677" s="37"/>
      <c r="EZB677" s="37"/>
      <c r="EZC677" s="37"/>
      <c r="EZD677" s="37"/>
      <c r="EZE677" s="37"/>
      <c r="EZF677" s="37"/>
      <c r="EZG677" s="37"/>
      <c r="EZH677" s="37"/>
      <c r="EZI677" s="37"/>
      <c r="EZJ677" s="37"/>
      <c r="EZK677" s="37"/>
      <c r="EZL677" s="37"/>
      <c r="EZM677" s="37"/>
      <c r="EZN677" s="37"/>
      <c r="EZO677" s="37"/>
      <c r="EZP677" s="37"/>
      <c r="EZQ677" s="37"/>
      <c r="EZR677" s="37"/>
      <c r="EZS677" s="37"/>
      <c r="EZT677" s="37"/>
      <c r="EZU677" s="37"/>
      <c r="EZV677" s="37"/>
      <c r="EZW677" s="37"/>
      <c r="EZX677" s="37"/>
      <c r="EZY677" s="37"/>
      <c r="EZZ677" s="37"/>
      <c r="FAA677" s="37"/>
      <c r="FAB677" s="37"/>
      <c r="FAC677" s="37"/>
      <c r="FAD677" s="37"/>
      <c r="FAE677" s="37"/>
      <c r="FAF677" s="37"/>
      <c r="FAG677" s="37"/>
      <c r="FAH677" s="37"/>
      <c r="FAI677" s="37"/>
      <c r="FAJ677" s="37"/>
      <c r="FAK677" s="37"/>
      <c r="FAL677" s="37"/>
      <c r="FAM677" s="37"/>
      <c r="FAN677" s="37"/>
      <c r="FAO677" s="37"/>
      <c r="FAP677" s="37"/>
      <c r="FAQ677" s="37"/>
      <c r="FAR677" s="37"/>
      <c r="FAS677" s="37"/>
      <c r="FAT677" s="37"/>
      <c r="FAU677" s="37"/>
      <c r="FAV677" s="37"/>
      <c r="FAW677" s="37"/>
      <c r="FAX677" s="37"/>
      <c r="FAY677" s="37"/>
      <c r="FAZ677" s="37"/>
      <c r="FBA677" s="37"/>
      <c r="FBB677" s="37"/>
      <c r="FBC677" s="37"/>
      <c r="FBD677" s="37"/>
      <c r="FBE677" s="37"/>
      <c r="FBF677" s="37"/>
      <c r="FBG677" s="37"/>
      <c r="FBH677" s="37"/>
      <c r="FBI677" s="37"/>
      <c r="FBJ677" s="37"/>
      <c r="FBK677" s="37"/>
      <c r="FBL677" s="37"/>
      <c r="FBM677" s="37"/>
      <c r="FBN677" s="37"/>
      <c r="FBO677" s="37"/>
      <c r="FBP677" s="37"/>
      <c r="FBQ677" s="37"/>
      <c r="FBR677" s="37"/>
      <c r="FBS677" s="37"/>
      <c r="FBT677" s="37"/>
      <c r="FBU677" s="37"/>
      <c r="FBV677" s="37"/>
      <c r="FBW677" s="37"/>
      <c r="FBX677" s="37"/>
      <c r="FBY677" s="37"/>
      <c r="FBZ677" s="37"/>
      <c r="FCA677" s="37"/>
      <c r="FCB677" s="37"/>
      <c r="FCC677" s="37"/>
      <c r="FCD677" s="37"/>
      <c r="FCE677" s="37"/>
      <c r="FCF677" s="37"/>
      <c r="FCG677" s="37"/>
      <c r="FCH677" s="37"/>
      <c r="FCI677" s="37"/>
      <c r="FCJ677" s="37"/>
      <c r="FCK677" s="37"/>
      <c r="FCL677" s="37"/>
      <c r="FCM677" s="37"/>
      <c r="FCN677" s="37"/>
      <c r="FCO677" s="37"/>
      <c r="FCP677" s="37"/>
      <c r="FCQ677" s="37"/>
      <c r="FCR677" s="37"/>
      <c r="FCS677" s="37"/>
      <c r="FCT677" s="37"/>
      <c r="FCU677" s="37"/>
      <c r="FCV677" s="37"/>
      <c r="FCW677" s="37"/>
      <c r="FCX677" s="37"/>
      <c r="FCY677" s="37"/>
      <c r="FCZ677" s="37"/>
      <c r="FDA677" s="37"/>
      <c r="FDB677" s="37"/>
      <c r="FDC677" s="37"/>
      <c r="FDD677" s="37"/>
      <c r="FDE677" s="37"/>
      <c r="FDF677" s="37"/>
      <c r="FDG677" s="37"/>
      <c r="FDH677" s="37"/>
      <c r="FDI677" s="37"/>
      <c r="FDJ677" s="37"/>
      <c r="FDK677" s="37"/>
      <c r="FDL677" s="37"/>
      <c r="FDM677" s="37"/>
      <c r="FDN677" s="37"/>
      <c r="FDO677" s="37"/>
      <c r="FDP677" s="37"/>
      <c r="FDQ677" s="37"/>
      <c r="FDR677" s="37"/>
      <c r="FDS677" s="37"/>
      <c r="FDT677" s="37"/>
      <c r="FDU677" s="37"/>
      <c r="FDV677" s="37"/>
      <c r="FDW677" s="37"/>
      <c r="FDX677" s="37"/>
      <c r="FDY677" s="37"/>
      <c r="FDZ677" s="37"/>
      <c r="FEA677" s="37"/>
      <c r="FEB677" s="37"/>
      <c r="FEC677" s="37"/>
      <c r="FED677" s="37"/>
      <c r="FEE677" s="37"/>
      <c r="FEF677" s="37"/>
      <c r="FEG677" s="37"/>
      <c r="FEH677" s="37"/>
      <c r="FEI677" s="37"/>
      <c r="FEJ677" s="37"/>
      <c r="FEK677" s="37"/>
      <c r="FEL677" s="37"/>
      <c r="FEM677" s="37"/>
      <c r="FEN677" s="37"/>
      <c r="FEO677" s="37"/>
      <c r="FEP677" s="37"/>
      <c r="FEQ677" s="37"/>
      <c r="FER677" s="37"/>
      <c r="FES677" s="37"/>
      <c r="FET677" s="37"/>
      <c r="FEU677" s="37"/>
      <c r="FEV677" s="37"/>
      <c r="FEW677" s="37"/>
      <c r="FEX677" s="37"/>
      <c r="FEY677" s="37"/>
      <c r="FEZ677" s="37"/>
      <c r="FFA677" s="37"/>
      <c r="FFB677" s="37"/>
      <c r="FFC677" s="37"/>
      <c r="FFD677" s="37"/>
      <c r="FFE677" s="37"/>
      <c r="FFF677" s="37"/>
      <c r="FFG677" s="37"/>
      <c r="FFH677" s="37"/>
      <c r="FFI677" s="37"/>
      <c r="FFJ677" s="37"/>
      <c r="FFK677" s="37"/>
      <c r="FFL677" s="37"/>
      <c r="FFM677" s="37"/>
      <c r="FFN677" s="37"/>
      <c r="FFO677" s="37"/>
      <c r="FFP677" s="37"/>
      <c r="FFQ677" s="37"/>
      <c r="FFR677" s="37"/>
      <c r="FFS677" s="37"/>
      <c r="FFT677" s="37"/>
      <c r="FFU677" s="37"/>
      <c r="FFV677" s="37"/>
      <c r="FFW677" s="37"/>
      <c r="FFX677" s="37"/>
      <c r="FFY677" s="37"/>
      <c r="FFZ677" s="37"/>
      <c r="FGA677" s="37"/>
      <c r="FGB677" s="37"/>
      <c r="FGC677" s="37"/>
      <c r="FGD677" s="37"/>
      <c r="FGE677" s="37"/>
      <c r="FGF677" s="37"/>
      <c r="FGG677" s="37"/>
      <c r="FGH677" s="37"/>
      <c r="FGI677" s="37"/>
      <c r="FGJ677" s="37"/>
      <c r="FGK677" s="37"/>
      <c r="FGL677" s="37"/>
      <c r="FGM677" s="37"/>
      <c r="FGN677" s="37"/>
      <c r="FGO677" s="37"/>
      <c r="FGP677" s="37"/>
      <c r="FGQ677" s="37"/>
      <c r="FGR677" s="37"/>
      <c r="FGS677" s="37"/>
      <c r="FGT677" s="37"/>
      <c r="FGU677" s="37"/>
      <c r="FGV677" s="37"/>
      <c r="FGW677" s="37"/>
      <c r="FGX677" s="37"/>
      <c r="FGY677" s="37"/>
      <c r="FGZ677" s="37"/>
      <c r="FHA677" s="37"/>
      <c r="FHB677" s="37"/>
      <c r="FHC677" s="37"/>
      <c r="FHD677" s="37"/>
      <c r="FHE677" s="37"/>
      <c r="FHF677" s="37"/>
      <c r="FHG677" s="37"/>
      <c r="FHH677" s="37"/>
      <c r="FHI677" s="37"/>
      <c r="FHJ677" s="37"/>
      <c r="FHK677" s="37"/>
      <c r="FHL677" s="37"/>
      <c r="FHM677" s="37"/>
      <c r="FHN677" s="37"/>
      <c r="FHO677" s="37"/>
      <c r="FHP677" s="37"/>
      <c r="FHQ677" s="37"/>
      <c r="FHR677" s="37"/>
      <c r="FHS677" s="37"/>
      <c r="FHT677" s="37"/>
      <c r="FHU677" s="37"/>
      <c r="FHV677" s="37"/>
      <c r="FHW677" s="37"/>
      <c r="FHX677" s="37"/>
      <c r="FHY677" s="37"/>
      <c r="FHZ677" s="37"/>
      <c r="FIA677" s="37"/>
      <c r="FIB677" s="37"/>
      <c r="FIC677" s="37"/>
      <c r="FID677" s="37"/>
      <c r="FIE677" s="37"/>
      <c r="FIF677" s="37"/>
      <c r="FIG677" s="37"/>
      <c r="FIH677" s="37"/>
      <c r="FII677" s="37"/>
      <c r="FIJ677" s="37"/>
      <c r="FIK677" s="37"/>
      <c r="FIL677" s="37"/>
      <c r="FIM677" s="37"/>
      <c r="FIN677" s="37"/>
      <c r="FIO677" s="37"/>
      <c r="FIP677" s="37"/>
      <c r="FIQ677" s="37"/>
      <c r="FIR677" s="37"/>
      <c r="FIS677" s="37"/>
      <c r="FIT677" s="37"/>
      <c r="FIU677" s="37"/>
      <c r="FIV677" s="37"/>
      <c r="FIW677" s="37"/>
      <c r="FIX677" s="37"/>
      <c r="FIY677" s="37"/>
      <c r="FIZ677" s="37"/>
      <c r="FJA677" s="37"/>
      <c r="FJB677" s="37"/>
      <c r="FJC677" s="37"/>
      <c r="FJD677" s="37"/>
      <c r="FJE677" s="37"/>
      <c r="FJF677" s="37"/>
      <c r="FJG677" s="37"/>
      <c r="FJH677" s="37"/>
      <c r="FJI677" s="37"/>
      <c r="FJJ677" s="37"/>
      <c r="FJK677" s="37"/>
      <c r="FJL677" s="37"/>
      <c r="FJM677" s="37"/>
      <c r="FJN677" s="37"/>
      <c r="FJO677" s="37"/>
      <c r="FJP677" s="37"/>
      <c r="FJQ677" s="37"/>
      <c r="FJR677" s="37"/>
      <c r="FJS677" s="37"/>
      <c r="FJT677" s="37"/>
      <c r="FJU677" s="37"/>
      <c r="FJV677" s="37"/>
      <c r="FJW677" s="37"/>
      <c r="FJX677" s="37"/>
      <c r="FJY677" s="37"/>
      <c r="FJZ677" s="37"/>
      <c r="FKA677" s="37"/>
      <c r="FKB677" s="37"/>
      <c r="FKC677" s="37"/>
      <c r="FKD677" s="37"/>
      <c r="FKE677" s="37"/>
      <c r="FKF677" s="37"/>
      <c r="FKG677" s="37"/>
      <c r="FKH677" s="37"/>
      <c r="FKI677" s="37"/>
      <c r="FKJ677" s="37"/>
      <c r="FKK677" s="37"/>
      <c r="FKL677" s="37"/>
      <c r="FKM677" s="37"/>
      <c r="FKN677" s="37"/>
      <c r="FKO677" s="37"/>
      <c r="FKP677" s="37"/>
      <c r="FKQ677" s="37"/>
      <c r="FKR677" s="37"/>
      <c r="FKS677" s="37"/>
      <c r="FKT677" s="37"/>
      <c r="FKU677" s="37"/>
      <c r="FKV677" s="37"/>
      <c r="FKW677" s="37"/>
      <c r="FKX677" s="37"/>
      <c r="FKY677" s="37"/>
      <c r="FKZ677" s="37"/>
      <c r="FLA677" s="37"/>
      <c r="FLB677" s="37"/>
      <c r="FLC677" s="37"/>
      <c r="FLD677" s="37"/>
      <c r="FLE677" s="37"/>
      <c r="FLF677" s="37"/>
      <c r="FLG677" s="37"/>
      <c r="FLH677" s="37"/>
      <c r="FLI677" s="37"/>
      <c r="FLJ677" s="37"/>
      <c r="FLK677" s="37"/>
      <c r="FLL677" s="37"/>
      <c r="FLM677" s="37"/>
      <c r="FLN677" s="37"/>
      <c r="FLO677" s="37"/>
      <c r="FLP677" s="37"/>
      <c r="FLQ677" s="37"/>
      <c r="FLR677" s="37"/>
      <c r="FLS677" s="37"/>
      <c r="FLT677" s="37"/>
      <c r="FLU677" s="37"/>
      <c r="FLV677" s="37"/>
      <c r="FLW677" s="37"/>
      <c r="FLX677" s="37"/>
      <c r="FLY677" s="37"/>
      <c r="FLZ677" s="37"/>
      <c r="FMA677" s="37"/>
      <c r="FMB677" s="37"/>
      <c r="FMC677" s="37"/>
      <c r="FMD677" s="37"/>
      <c r="FME677" s="37"/>
      <c r="FMF677" s="37"/>
      <c r="FMG677" s="37"/>
      <c r="FMH677" s="37"/>
      <c r="FMI677" s="37"/>
      <c r="FMJ677" s="37"/>
      <c r="FMK677" s="37"/>
      <c r="FML677" s="37"/>
      <c r="FMM677" s="37"/>
      <c r="FMN677" s="37"/>
      <c r="FMO677" s="37"/>
      <c r="FMP677" s="37"/>
      <c r="FMQ677" s="37"/>
      <c r="FMR677" s="37"/>
      <c r="FMS677" s="37"/>
      <c r="FMT677" s="37"/>
      <c r="FMU677" s="37"/>
      <c r="FMV677" s="37"/>
      <c r="FMW677" s="37"/>
      <c r="FMX677" s="37"/>
      <c r="FMY677" s="37"/>
      <c r="FMZ677" s="37"/>
      <c r="FNA677" s="37"/>
      <c r="FNB677" s="37"/>
      <c r="FNC677" s="37"/>
      <c r="FND677" s="37"/>
      <c r="FNE677" s="37"/>
      <c r="FNF677" s="37"/>
      <c r="FNG677" s="37"/>
      <c r="FNH677" s="37"/>
      <c r="FNI677" s="37"/>
      <c r="FNJ677" s="37"/>
      <c r="FNK677" s="37"/>
      <c r="FNL677" s="37"/>
      <c r="FNM677" s="37"/>
      <c r="FNN677" s="37"/>
      <c r="FNO677" s="37"/>
      <c r="FNP677" s="37"/>
      <c r="FNQ677" s="37"/>
      <c r="FNR677" s="37"/>
      <c r="FNS677" s="37"/>
      <c r="FNT677" s="37"/>
      <c r="FNU677" s="37"/>
      <c r="FNV677" s="37"/>
      <c r="FNW677" s="37"/>
      <c r="FNX677" s="37"/>
      <c r="FNY677" s="37"/>
      <c r="FNZ677" s="37"/>
      <c r="FOA677" s="37"/>
      <c r="FOB677" s="37"/>
      <c r="FOC677" s="37"/>
      <c r="FOD677" s="37"/>
      <c r="FOE677" s="37"/>
      <c r="FOF677" s="37"/>
      <c r="FOG677" s="37"/>
      <c r="FOH677" s="37"/>
      <c r="FOI677" s="37"/>
      <c r="FOJ677" s="37"/>
      <c r="FOK677" s="37"/>
      <c r="FOL677" s="37"/>
      <c r="FOM677" s="37"/>
      <c r="FON677" s="37"/>
      <c r="FOO677" s="37"/>
      <c r="FOP677" s="37"/>
      <c r="FOQ677" s="37"/>
      <c r="FOR677" s="37"/>
      <c r="FOS677" s="37"/>
      <c r="FOT677" s="37"/>
      <c r="FOU677" s="37"/>
      <c r="FOV677" s="37"/>
      <c r="FOW677" s="37"/>
      <c r="FOX677" s="37"/>
      <c r="FOY677" s="37"/>
      <c r="FOZ677" s="37"/>
      <c r="FPA677" s="37"/>
      <c r="FPB677" s="37"/>
      <c r="FPC677" s="37"/>
      <c r="FPD677" s="37"/>
      <c r="FPE677" s="37"/>
      <c r="FPF677" s="37"/>
      <c r="FPG677" s="37"/>
      <c r="FPH677" s="37"/>
      <c r="FPI677" s="37"/>
      <c r="FPJ677" s="37"/>
      <c r="FPK677" s="37"/>
      <c r="FPL677" s="37"/>
      <c r="FPM677" s="37"/>
      <c r="FPN677" s="37"/>
      <c r="FPO677" s="37"/>
      <c r="FPP677" s="37"/>
      <c r="FPQ677" s="37"/>
      <c r="FPR677" s="37"/>
      <c r="FPS677" s="37"/>
      <c r="FPT677" s="37"/>
      <c r="FPU677" s="37"/>
      <c r="FPV677" s="37"/>
      <c r="FPW677" s="37"/>
      <c r="FPX677" s="37"/>
      <c r="FPY677" s="37"/>
      <c r="FPZ677" s="37"/>
      <c r="FQA677" s="37"/>
      <c r="FQB677" s="37"/>
      <c r="FQC677" s="37"/>
      <c r="FQD677" s="37"/>
      <c r="FQE677" s="37"/>
      <c r="FQF677" s="37"/>
      <c r="FQG677" s="37"/>
      <c r="FQH677" s="37"/>
      <c r="FQI677" s="37"/>
      <c r="FQJ677" s="37"/>
      <c r="FQK677" s="37"/>
      <c r="FQL677" s="37"/>
      <c r="FQM677" s="37"/>
      <c r="FQN677" s="37"/>
      <c r="FQO677" s="37"/>
      <c r="FQP677" s="37"/>
      <c r="FQQ677" s="37"/>
      <c r="FQR677" s="37"/>
      <c r="FQS677" s="37"/>
      <c r="FQT677" s="37"/>
      <c r="FQU677" s="37"/>
      <c r="FQV677" s="37"/>
      <c r="FQW677" s="37"/>
      <c r="FQX677" s="37"/>
      <c r="FQY677" s="37"/>
      <c r="FQZ677" s="37"/>
      <c r="FRA677" s="37"/>
      <c r="FRB677" s="37"/>
      <c r="FRC677" s="37"/>
      <c r="FRD677" s="37"/>
      <c r="FRE677" s="37"/>
      <c r="FRF677" s="37"/>
      <c r="FRG677" s="37"/>
      <c r="FRH677" s="37"/>
      <c r="FRI677" s="37"/>
      <c r="FRJ677" s="37"/>
      <c r="FRK677" s="37"/>
      <c r="FRL677" s="37"/>
      <c r="FRM677" s="37"/>
      <c r="FRN677" s="37"/>
      <c r="FRO677" s="37"/>
      <c r="FRP677" s="37"/>
      <c r="FRQ677" s="37"/>
      <c r="FRR677" s="37"/>
      <c r="FRS677" s="37"/>
      <c r="FRT677" s="37"/>
      <c r="FRU677" s="37"/>
      <c r="FRV677" s="37"/>
      <c r="FRW677" s="37"/>
      <c r="FRX677" s="37"/>
      <c r="FRY677" s="37"/>
      <c r="FRZ677" s="37"/>
      <c r="FSA677" s="37"/>
      <c r="FSB677" s="37"/>
      <c r="FSC677" s="37"/>
      <c r="FSD677" s="37"/>
      <c r="FSE677" s="37"/>
      <c r="FSF677" s="37"/>
      <c r="FSG677" s="37"/>
      <c r="FSH677" s="37"/>
      <c r="FSI677" s="37"/>
      <c r="FSJ677" s="37"/>
      <c r="FSK677" s="37"/>
      <c r="FSL677" s="37"/>
      <c r="FSM677" s="37"/>
      <c r="FSN677" s="37"/>
      <c r="FSO677" s="37"/>
      <c r="FSP677" s="37"/>
      <c r="FSQ677" s="37"/>
      <c r="FSR677" s="37"/>
      <c r="FSS677" s="37"/>
      <c r="FST677" s="37"/>
      <c r="FSU677" s="37"/>
      <c r="FSV677" s="37"/>
      <c r="FSW677" s="37"/>
      <c r="FSX677" s="37"/>
      <c r="FSY677" s="37"/>
      <c r="FSZ677" s="37"/>
      <c r="FTA677" s="37"/>
      <c r="FTB677" s="37"/>
      <c r="FTC677" s="37"/>
      <c r="FTD677" s="37"/>
      <c r="FTE677" s="37"/>
      <c r="FTF677" s="37"/>
      <c r="FTG677" s="37"/>
      <c r="FTH677" s="37"/>
      <c r="FTI677" s="37"/>
      <c r="FTJ677" s="37"/>
      <c r="FTK677" s="37"/>
      <c r="FTL677" s="37"/>
      <c r="FTM677" s="37"/>
      <c r="FTN677" s="37"/>
      <c r="FTO677" s="37"/>
      <c r="FTP677" s="37"/>
      <c r="FTQ677" s="37"/>
      <c r="FTR677" s="37"/>
      <c r="FTS677" s="37"/>
      <c r="FTT677" s="37"/>
      <c r="FTU677" s="37"/>
      <c r="FTV677" s="37"/>
      <c r="FTW677" s="37"/>
      <c r="FTX677" s="37"/>
      <c r="FTY677" s="37"/>
      <c r="FTZ677" s="37"/>
      <c r="FUA677" s="37"/>
      <c r="FUB677" s="37"/>
      <c r="FUC677" s="37"/>
      <c r="FUD677" s="37"/>
      <c r="FUE677" s="37"/>
      <c r="FUF677" s="37"/>
      <c r="FUG677" s="37"/>
      <c r="FUH677" s="37"/>
      <c r="FUI677" s="37"/>
      <c r="FUJ677" s="37"/>
      <c r="FUK677" s="37"/>
      <c r="FUL677" s="37"/>
      <c r="FUM677" s="37"/>
      <c r="FUN677" s="37"/>
      <c r="FUO677" s="37"/>
      <c r="FUP677" s="37"/>
      <c r="FUQ677" s="37"/>
      <c r="FUR677" s="37"/>
      <c r="FUS677" s="37"/>
      <c r="FUT677" s="37"/>
      <c r="FUU677" s="37"/>
      <c r="FUV677" s="37"/>
      <c r="FUW677" s="37"/>
      <c r="FUX677" s="37"/>
      <c r="FUY677" s="37"/>
      <c r="FUZ677" s="37"/>
      <c r="FVA677" s="37"/>
      <c r="FVB677" s="37"/>
      <c r="FVC677" s="37"/>
      <c r="FVD677" s="37"/>
      <c r="FVE677" s="37"/>
      <c r="FVF677" s="37"/>
      <c r="FVG677" s="37"/>
      <c r="FVH677" s="37"/>
      <c r="FVI677" s="37"/>
      <c r="FVJ677" s="37"/>
      <c r="FVK677" s="37"/>
      <c r="FVL677" s="37"/>
      <c r="FVM677" s="37"/>
      <c r="FVN677" s="37"/>
      <c r="FVO677" s="37"/>
      <c r="FVP677" s="37"/>
      <c r="FVQ677" s="37"/>
      <c r="FVR677" s="37"/>
      <c r="FVS677" s="37"/>
      <c r="FVT677" s="37"/>
      <c r="FVU677" s="37"/>
      <c r="FVV677" s="37"/>
      <c r="FVW677" s="37"/>
      <c r="FVX677" s="37"/>
      <c r="FVY677" s="37"/>
      <c r="FVZ677" s="37"/>
      <c r="FWA677" s="37"/>
      <c r="FWB677" s="37"/>
      <c r="FWC677" s="37"/>
      <c r="FWD677" s="37"/>
      <c r="FWE677" s="37"/>
      <c r="FWF677" s="37"/>
      <c r="FWG677" s="37"/>
      <c r="FWH677" s="37"/>
      <c r="FWI677" s="37"/>
      <c r="FWJ677" s="37"/>
      <c r="FWK677" s="37"/>
      <c r="FWL677" s="37"/>
      <c r="FWM677" s="37"/>
      <c r="FWN677" s="37"/>
      <c r="FWO677" s="37"/>
      <c r="FWP677" s="37"/>
      <c r="FWQ677" s="37"/>
      <c r="FWR677" s="37"/>
      <c r="FWS677" s="37"/>
      <c r="FWT677" s="37"/>
      <c r="FWU677" s="37"/>
      <c r="FWV677" s="37"/>
      <c r="FWW677" s="37"/>
      <c r="FWX677" s="37"/>
      <c r="FWY677" s="37"/>
      <c r="FWZ677" s="37"/>
      <c r="FXA677" s="37"/>
      <c r="FXB677" s="37"/>
      <c r="FXC677" s="37"/>
      <c r="FXD677" s="37"/>
      <c r="FXE677" s="37"/>
      <c r="FXF677" s="37"/>
      <c r="FXG677" s="37"/>
      <c r="FXH677" s="37"/>
      <c r="FXI677" s="37"/>
      <c r="FXJ677" s="37"/>
      <c r="FXK677" s="37"/>
      <c r="FXL677" s="37"/>
      <c r="FXM677" s="37"/>
      <c r="FXN677" s="37"/>
      <c r="FXO677" s="37"/>
      <c r="FXP677" s="37"/>
      <c r="FXQ677" s="37"/>
      <c r="FXR677" s="37"/>
      <c r="FXS677" s="37"/>
      <c r="FXT677" s="37"/>
      <c r="FXU677" s="37"/>
      <c r="FXV677" s="37"/>
      <c r="FXW677" s="37"/>
      <c r="FXX677" s="37"/>
      <c r="FXY677" s="37"/>
      <c r="FXZ677" s="37"/>
      <c r="FYA677" s="37"/>
      <c r="FYB677" s="37"/>
      <c r="FYC677" s="37"/>
      <c r="FYD677" s="37"/>
      <c r="FYE677" s="37"/>
      <c r="FYF677" s="37"/>
      <c r="FYG677" s="37"/>
      <c r="FYH677" s="37"/>
      <c r="FYI677" s="37"/>
      <c r="FYJ677" s="37"/>
      <c r="FYK677" s="37"/>
      <c r="FYL677" s="37"/>
      <c r="FYM677" s="37"/>
      <c r="FYN677" s="37"/>
      <c r="FYO677" s="37"/>
      <c r="FYP677" s="37"/>
      <c r="FYQ677" s="37"/>
      <c r="FYR677" s="37"/>
      <c r="FYS677" s="37"/>
      <c r="FYT677" s="37"/>
      <c r="FYU677" s="37"/>
      <c r="FYV677" s="37"/>
      <c r="FYW677" s="37"/>
      <c r="FYX677" s="37"/>
      <c r="FYY677" s="37"/>
      <c r="FYZ677" s="37"/>
      <c r="FZA677" s="37"/>
      <c r="FZB677" s="37"/>
      <c r="FZC677" s="37"/>
      <c r="FZD677" s="37"/>
      <c r="FZE677" s="37"/>
      <c r="FZF677" s="37"/>
      <c r="FZG677" s="37"/>
      <c r="FZH677" s="37"/>
      <c r="FZI677" s="37"/>
      <c r="FZJ677" s="37"/>
      <c r="FZK677" s="37"/>
      <c r="FZL677" s="37"/>
      <c r="FZM677" s="37"/>
      <c r="FZN677" s="37"/>
      <c r="FZO677" s="37"/>
      <c r="FZP677" s="37"/>
      <c r="FZQ677" s="37"/>
      <c r="FZR677" s="37"/>
      <c r="FZS677" s="37"/>
      <c r="FZT677" s="37"/>
      <c r="FZU677" s="37"/>
      <c r="FZV677" s="37"/>
      <c r="FZW677" s="37"/>
      <c r="FZX677" s="37"/>
      <c r="FZY677" s="37"/>
      <c r="FZZ677" s="37"/>
      <c r="GAA677" s="37"/>
      <c r="GAB677" s="37"/>
      <c r="GAC677" s="37"/>
      <c r="GAD677" s="37"/>
      <c r="GAE677" s="37"/>
      <c r="GAF677" s="37"/>
      <c r="GAG677" s="37"/>
      <c r="GAH677" s="37"/>
      <c r="GAI677" s="37"/>
      <c r="GAJ677" s="37"/>
      <c r="GAK677" s="37"/>
      <c r="GAL677" s="37"/>
      <c r="GAM677" s="37"/>
      <c r="GAN677" s="37"/>
      <c r="GAO677" s="37"/>
      <c r="GAP677" s="37"/>
      <c r="GAQ677" s="37"/>
      <c r="GAR677" s="37"/>
      <c r="GAS677" s="37"/>
      <c r="GAT677" s="37"/>
      <c r="GAU677" s="37"/>
      <c r="GAV677" s="37"/>
      <c r="GAW677" s="37"/>
      <c r="GAX677" s="37"/>
      <c r="GAY677" s="37"/>
      <c r="GAZ677" s="37"/>
      <c r="GBA677" s="37"/>
      <c r="GBB677" s="37"/>
      <c r="GBC677" s="37"/>
      <c r="GBD677" s="37"/>
      <c r="GBE677" s="37"/>
      <c r="GBF677" s="37"/>
      <c r="GBG677" s="37"/>
      <c r="GBH677" s="37"/>
      <c r="GBI677" s="37"/>
      <c r="GBJ677" s="37"/>
      <c r="GBK677" s="37"/>
      <c r="GBL677" s="37"/>
      <c r="GBM677" s="37"/>
      <c r="GBN677" s="37"/>
      <c r="GBO677" s="37"/>
      <c r="GBP677" s="37"/>
      <c r="GBQ677" s="37"/>
      <c r="GBR677" s="37"/>
      <c r="GBS677" s="37"/>
      <c r="GBT677" s="37"/>
      <c r="GBU677" s="37"/>
      <c r="GBV677" s="37"/>
      <c r="GBW677" s="37"/>
      <c r="GBX677" s="37"/>
      <c r="GBY677" s="37"/>
      <c r="GBZ677" s="37"/>
      <c r="GCA677" s="37"/>
      <c r="GCB677" s="37"/>
      <c r="GCC677" s="37"/>
      <c r="GCD677" s="37"/>
      <c r="GCE677" s="37"/>
      <c r="GCF677" s="37"/>
      <c r="GCG677" s="37"/>
      <c r="GCH677" s="37"/>
      <c r="GCI677" s="37"/>
      <c r="GCJ677" s="37"/>
      <c r="GCK677" s="37"/>
      <c r="GCL677" s="37"/>
      <c r="GCM677" s="37"/>
      <c r="GCN677" s="37"/>
      <c r="GCO677" s="37"/>
      <c r="GCP677" s="37"/>
      <c r="GCQ677" s="37"/>
      <c r="GCR677" s="37"/>
      <c r="GCS677" s="37"/>
      <c r="GCT677" s="37"/>
      <c r="GCU677" s="37"/>
      <c r="GCV677" s="37"/>
      <c r="GCW677" s="37"/>
      <c r="GCX677" s="37"/>
      <c r="GCY677" s="37"/>
      <c r="GCZ677" s="37"/>
      <c r="GDA677" s="37"/>
      <c r="GDB677" s="37"/>
      <c r="GDC677" s="37"/>
      <c r="GDD677" s="37"/>
      <c r="GDE677" s="37"/>
      <c r="GDF677" s="37"/>
      <c r="GDG677" s="37"/>
      <c r="GDH677" s="37"/>
      <c r="GDI677" s="37"/>
      <c r="GDJ677" s="37"/>
      <c r="GDK677" s="37"/>
      <c r="GDL677" s="37"/>
      <c r="GDM677" s="37"/>
      <c r="GDN677" s="37"/>
      <c r="GDO677" s="37"/>
      <c r="GDP677" s="37"/>
      <c r="GDQ677" s="37"/>
      <c r="GDR677" s="37"/>
      <c r="GDS677" s="37"/>
      <c r="GDT677" s="37"/>
      <c r="GDU677" s="37"/>
      <c r="GDV677" s="37"/>
      <c r="GDW677" s="37"/>
      <c r="GDX677" s="37"/>
      <c r="GDY677" s="37"/>
      <c r="GDZ677" s="37"/>
      <c r="GEA677" s="37"/>
      <c r="GEB677" s="37"/>
      <c r="GEC677" s="37"/>
      <c r="GED677" s="37"/>
      <c r="GEE677" s="37"/>
      <c r="GEF677" s="37"/>
      <c r="GEG677" s="37"/>
      <c r="GEH677" s="37"/>
      <c r="GEI677" s="37"/>
      <c r="GEJ677" s="37"/>
      <c r="GEK677" s="37"/>
      <c r="GEL677" s="37"/>
      <c r="GEM677" s="37"/>
      <c r="GEN677" s="37"/>
      <c r="GEO677" s="37"/>
      <c r="GEP677" s="37"/>
      <c r="GEQ677" s="37"/>
      <c r="GER677" s="37"/>
      <c r="GES677" s="37"/>
      <c r="GET677" s="37"/>
      <c r="GEU677" s="37"/>
      <c r="GEV677" s="37"/>
      <c r="GEW677" s="37"/>
      <c r="GEX677" s="37"/>
      <c r="GEY677" s="37"/>
      <c r="GEZ677" s="37"/>
      <c r="GFA677" s="37"/>
      <c r="GFB677" s="37"/>
      <c r="GFC677" s="37"/>
      <c r="GFD677" s="37"/>
      <c r="GFE677" s="37"/>
      <c r="GFF677" s="37"/>
      <c r="GFG677" s="37"/>
      <c r="GFH677" s="37"/>
      <c r="GFI677" s="37"/>
      <c r="GFJ677" s="37"/>
      <c r="GFK677" s="37"/>
      <c r="GFL677" s="37"/>
      <c r="GFM677" s="37"/>
      <c r="GFN677" s="37"/>
      <c r="GFO677" s="37"/>
      <c r="GFP677" s="37"/>
      <c r="GFQ677" s="37"/>
      <c r="GFR677" s="37"/>
      <c r="GFS677" s="37"/>
      <c r="GFT677" s="37"/>
      <c r="GFU677" s="37"/>
      <c r="GFV677" s="37"/>
      <c r="GFW677" s="37"/>
      <c r="GFX677" s="37"/>
      <c r="GFY677" s="37"/>
      <c r="GFZ677" s="37"/>
      <c r="GGA677" s="37"/>
      <c r="GGB677" s="37"/>
      <c r="GGC677" s="37"/>
      <c r="GGD677" s="37"/>
      <c r="GGE677" s="37"/>
      <c r="GGF677" s="37"/>
      <c r="GGG677" s="37"/>
      <c r="GGH677" s="37"/>
      <c r="GGI677" s="37"/>
      <c r="GGJ677" s="37"/>
      <c r="GGK677" s="37"/>
      <c r="GGL677" s="37"/>
      <c r="GGM677" s="37"/>
      <c r="GGN677" s="37"/>
      <c r="GGO677" s="37"/>
      <c r="GGP677" s="37"/>
      <c r="GGQ677" s="37"/>
      <c r="GGR677" s="37"/>
      <c r="GGS677" s="37"/>
      <c r="GGT677" s="37"/>
      <c r="GGU677" s="37"/>
      <c r="GGV677" s="37"/>
      <c r="GGW677" s="37"/>
      <c r="GGX677" s="37"/>
      <c r="GGY677" s="37"/>
      <c r="GGZ677" s="37"/>
      <c r="GHA677" s="37"/>
      <c r="GHB677" s="37"/>
      <c r="GHC677" s="37"/>
      <c r="GHD677" s="37"/>
      <c r="GHE677" s="37"/>
      <c r="GHF677" s="37"/>
      <c r="GHG677" s="37"/>
      <c r="GHH677" s="37"/>
      <c r="GHI677" s="37"/>
      <c r="GHJ677" s="37"/>
      <c r="GHK677" s="37"/>
      <c r="GHL677" s="37"/>
      <c r="GHM677" s="37"/>
      <c r="GHN677" s="37"/>
      <c r="GHO677" s="37"/>
      <c r="GHP677" s="37"/>
      <c r="GHQ677" s="37"/>
      <c r="GHR677" s="37"/>
      <c r="GHS677" s="37"/>
      <c r="GHT677" s="37"/>
      <c r="GHU677" s="37"/>
      <c r="GHV677" s="37"/>
      <c r="GHW677" s="37"/>
      <c r="GHX677" s="37"/>
      <c r="GHY677" s="37"/>
      <c r="GHZ677" s="37"/>
      <c r="GIA677" s="37"/>
      <c r="GIB677" s="37"/>
      <c r="GIC677" s="37"/>
      <c r="GID677" s="37"/>
      <c r="GIE677" s="37"/>
      <c r="GIF677" s="37"/>
      <c r="GIG677" s="37"/>
      <c r="GIH677" s="37"/>
      <c r="GII677" s="37"/>
      <c r="GIJ677" s="37"/>
      <c r="GIK677" s="37"/>
      <c r="GIL677" s="37"/>
      <c r="GIM677" s="37"/>
      <c r="GIN677" s="37"/>
      <c r="GIO677" s="37"/>
      <c r="GIP677" s="37"/>
      <c r="GIQ677" s="37"/>
      <c r="GIR677" s="37"/>
      <c r="GIS677" s="37"/>
      <c r="GIT677" s="37"/>
      <c r="GIU677" s="37"/>
      <c r="GIV677" s="37"/>
      <c r="GIW677" s="37"/>
      <c r="GIX677" s="37"/>
      <c r="GIY677" s="37"/>
      <c r="GIZ677" s="37"/>
      <c r="GJA677" s="37"/>
      <c r="GJB677" s="37"/>
      <c r="GJC677" s="37"/>
      <c r="GJD677" s="37"/>
      <c r="GJE677" s="37"/>
      <c r="GJF677" s="37"/>
      <c r="GJG677" s="37"/>
      <c r="GJH677" s="37"/>
      <c r="GJI677" s="37"/>
      <c r="GJJ677" s="37"/>
      <c r="GJK677" s="37"/>
      <c r="GJL677" s="37"/>
      <c r="GJM677" s="37"/>
      <c r="GJN677" s="37"/>
      <c r="GJO677" s="37"/>
      <c r="GJP677" s="37"/>
      <c r="GJQ677" s="37"/>
      <c r="GJR677" s="37"/>
      <c r="GJS677" s="37"/>
      <c r="GJT677" s="37"/>
      <c r="GJU677" s="37"/>
      <c r="GJV677" s="37"/>
      <c r="GJW677" s="37"/>
      <c r="GJX677" s="37"/>
      <c r="GJY677" s="37"/>
      <c r="GJZ677" s="37"/>
      <c r="GKA677" s="37"/>
      <c r="GKB677" s="37"/>
      <c r="GKC677" s="37"/>
      <c r="GKD677" s="37"/>
      <c r="GKE677" s="37"/>
      <c r="GKF677" s="37"/>
      <c r="GKG677" s="37"/>
      <c r="GKH677" s="37"/>
      <c r="GKI677" s="37"/>
      <c r="GKJ677" s="37"/>
      <c r="GKK677" s="37"/>
      <c r="GKL677" s="37"/>
      <c r="GKM677" s="37"/>
      <c r="GKN677" s="37"/>
      <c r="GKO677" s="37"/>
      <c r="GKP677" s="37"/>
      <c r="GKQ677" s="37"/>
      <c r="GKR677" s="37"/>
      <c r="GKS677" s="37"/>
      <c r="GKT677" s="37"/>
      <c r="GKU677" s="37"/>
      <c r="GKV677" s="37"/>
      <c r="GKW677" s="37"/>
      <c r="GKX677" s="37"/>
      <c r="GKY677" s="37"/>
      <c r="GKZ677" s="37"/>
      <c r="GLA677" s="37"/>
      <c r="GLB677" s="37"/>
      <c r="GLC677" s="37"/>
      <c r="GLD677" s="37"/>
      <c r="GLE677" s="37"/>
      <c r="GLF677" s="37"/>
      <c r="GLG677" s="37"/>
      <c r="GLH677" s="37"/>
      <c r="GLI677" s="37"/>
      <c r="GLJ677" s="37"/>
      <c r="GLK677" s="37"/>
      <c r="GLL677" s="37"/>
      <c r="GLM677" s="37"/>
      <c r="GLN677" s="37"/>
      <c r="GLO677" s="37"/>
      <c r="GLP677" s="37"/>
      <c r="GLQ677" s="37"/>
      <c r="GLR677" s="37"/>
      <c r="GLS677" s="37"/>
      <c r="GLT677" s="37"/>
      <c r="GLU677" s="37"/>
      <c r="GLV677" s="37"/>
      <c r="GLW677" s="37"/>
      <c r="GLX677" s="37"/>
      <c r="GLY677" s="37"/>
      <c r="GLZ677" s="37"/>
      <c r="GMA677" s="37"/>
      <c r="GMB677" s="37"/>
      <c r="GMC677" s="37"/>
      <c r="GMD677" s="37"/>
      <c r="GME677" s="37"/>
      <c r="GMF677" s="37"/>
      <c r="GMG677" s="37"/>
      <c r="GMH677" s="37"/>
      <c r="GMI677" s="37"/>
      <c r="GMJ677" s="37"/>
      <c r="GMK677" s="37"/>
      <c r="GML677" s="37"/>
      <c r="GMM677" s="37"/>
      <c r="GMN677" s="37"/>
      <c r="GMO677" s="37"/>
      <c r="GMP677" s="37"/>
      <c r="GMQ677" s="37"/>
      <c r="GMR677" s="37"/>
      <c r="GMS677" s="37"/>
      <c r="GMT677" s="37"/>
      <c r="GMU677" s="37"/>
      <c r="GMV677" s="37"/>
      <c r="GMW677" s="37"/>
      <c r="GMX677" s="37"/>
      <c r="GMY677" s="37"/>
      <c r="GMZ677" s="37"/>
      <c r="GNA677" s="37"/>
      <c r="GNB677" s="37"/>
      <c r="GNC677" s="37"/>
      <c r="GND677" s="37"/>
      <c r="GNE677" s="37"/>
      <c r="GNF677" s="37"/>
      <c r="GNG677" s="37"/>
      <c r="GNH677" s="37"/>
      <c r="GNI677" s="37"/>
      <c r="GNJ677" s="37"/>
      <c r="GNK677" s="37"/>
      <c r="GNL677" s="37"/>
      <c r="GNM677" s="37"/>
      <c r="GNN677" s="37"/>
      <c r="GNO677" s="37"/>
      <c r="GNP677" s="37"/>
      <c r="GNQ677" s="37"/>
      <c r="GNR677" s="37"/>
      <c r="GNS677" s="37"/>
      <c r="GNT677" s="37"/>
      <c r="GNU677" s="37"/>
      <c r="GNV677" s="37"/>
      <c r="GNW677" s="37"/>
      <c r="GNX677" s="37"/>
      <c r="GNY677" s="37"/>
      <c r="GNZ677" s="37"/>
      <c r="GOA677" s="37"/>
      <c r="GOB677" s="37"/>
      <c r="GOC677" s="37"/>
      <c r="GOD677" s="37"/>
      <c r="GOE677" s="37"/>
      <c r="GOF677" s="37"/>
      <c r="GOG677" s="37"/>
      <c r="GOH677" s="37"/>
      <c r="GOI677" s="37"/>
      <c r="GOJ677" s="37"/>
      <c r="GOK677" s="37"/>
      <c r="GOL677" s="37"/>
      <c r="GOM677" s="37"/>
      <c r="GON677" s="37"/>
      <c r="GOO677" s="37"/>
      <c r="GOP677" s="37"/>
      <c r="GOQ677" s="37"/>
      <c r="GOR677" s="37"/>
      <c r="GOS677" s="37"/>
      <c r="GOT677" s="37"/>
      <c r="GOU677" s="37"/>
      <c r="GOV677" s="37"/>
      <c r="GOW677" s="37"/>
      <c r="GOX677" s="37"/>
      <c r="GOY677" s="37"/>
      <c r="GOZ677" s="37"/>
      <c r="GPA677" s="37"/>
      <c r="GPB677" s="37"/>
      <c r="GPC677" s="37"/>
      <c r="GPD677" s="37"/>
      <c r="GPE677" s="37"/>
      <c r="GPF677" s="37"/>
      <c r="GPG677" s="37"/>
      <c r="GPH677" s="37"/>
      <c r="GPI677" s="37"/>
      <c r="GPJ677" s="37"/>
      <c r="GPK677" s="37"/>
      <c r="GPL677" s="37"/>
      <c r="GPM677" s="37"/>
      <c r="GPN677" s="37"/>
      <c r="GPO677" s="37"/>
      <c r="GPP677" s="37"/>
      <c r="GPQ677" s="37"/>
      <c r="GPR677" s="37"/>
      <c r="GPS677" s="37"/>
      <c r="GPT677" s="37"/>
      <c r="GPU677" s="37"/>
      <c r="GPV677" s="37"/>
      <c r="GPW677" s="37"/>
      <c r="GPX677" s="37"/>
      <c r="GPY677" s="37"/>
      <c r="GPZ677" s="37"/>
      <c r="GQA677" s="37"/>
      <c r="GQB677" s="37"/>
      <c r="GQC677" s="37"/>
      <c r="GQD677" s="37"/>
      <c r="GQE677" s="37"/>
      <c r="GQF677" s="37"/>
      <c r="GQG677" s="37"/>
      <c r="GQH677" s="37"/>
      <c r="GQI677" s="37"/>
      <c r="GQJ677" s="37"/>
      <c r="GQK677" s="37"/>
      <c r="GQL677" s="37"/>
      <c r="GQM677" s="37"/>
      <c r="GQN677" s="37"/>
      <c r="GQO677" s="37"/>
      <c r="GQP677" s="37"/>
      <c r="GQQ677" s="37"/>
      <c r="GQR677" s="37"/>
      <c r="GQS677" s="37"/>
      <c r="GQT677" s="37"/>
      <c r="GQU677" s="37"/>
      <c r="GQV677" s="37"/>
      <c r="GQW677" s="37"/>
      <c r="GQX677" s="37"/>
      <c r="GQY677" s="37"/>
      <c r="GQZ677" s="37"/>
      <c r="GRA677" s="37"/>
      <c r="GRB677" s="37"/>
      <c r="GRC677" s="37"/>
      <c r="GRD677" s="37"/>
      <c r="GRE677" s="37"/>
      <c r="GRF677" s="37"/>
      <c r="GRG677" s="37"/>
      <c r="GRH677" s="37"/>
      <c r="GRI677" s="37"/>
      <c r="GRJ677" s="37"/>
      <c r="GRK677" s="37"/>
      <c r="GRL677" s="37"/>
      <c r="GRM677" s="37"/>
      <c r="GRN677" s="37"/>
      <c r="GRO677" s="37"/>
      <c r="GRP677" s="37"/>
      <c r="GRQ677" s="37"/>
      <c r="GRR677" s="37"/>
      <c r="GRS677" s="37"/>
      <c r="GRT677" s="37"/>
      <c r="GRU677" s="37"/>
      <c r="GRV677" s="37"/>
      <c r="GRW677" s="37"/>
      <c r="GRX677" s="37"/>
      <c r="GRY677" s="37"/>
      <c r="GRZ677" s="37"/>
      <c r="GSA677" s="37"/>
      <c r="GSB677" s="37"/>
      <c r="GSC677" s="37"/>
      <c r="GSD677" s="37"/>
      <c r="GSE677" s="37"/>
      <c r="GSF677" s="37"/>
      <c r="GSG677" s="37"/>
      <c r="GSH677" s="37"/>
      <c r="GSI677" s="37"/>
      <c r="GSJ677" s="37"/>
      <c r="GSK677" s="37"/>
      <c r="GSL677" s="37"/>
      <c r="GSM677" s="37"/>
      <c r="GSN677" s="37"/>
      <c r="GSO677" s="37"/>
      <c r="GSP677" s="37"/>
      <c r="GSQ677" s="37"/>
      <c r="GSR677" s="37"/>
      <c r="GSS677" s="37"/>
      <c r="GST677" s="37"/>
      <c r="GSU677" s="37"/>
      <c r="GSV677" s="37"/>
      <c r="GSW677" s="37"/>
      <c r="GSX677" s="37"/>
      <c r="GSY677" s="37"/>
      <c r="GSZ677" s="37"/>
      <c r="GTA677" s="37"/>
      <c r="GTB677" s="37"/>
      <c r="GTC677" s="37"/>
      <c r="GTD677" s="37"/>
      <c r="GTE677" s="37"/>
      <c r="GTF677" s="37"/>
      <c r="GTG677" s="37"/>
      <c r="GTH677" s="37"/>
      <c r="GTI677" s="37"/>
      <c r="GTJ677" s="37"/>
      <c r="GTK677" s="37"/>
      <c r="GTL677" s="37"/>
      <c r="GTM677" s="37"/>
      <c r="GTN677" s="37"/>
      <c r="GTO677" s="37"/>
      <c r="GTP677" s="37"/>
      <c r="GTQ677" s="37"/>
      <c r="GTR677" s="37"/>
      <c r="GTS677" s="37"/>
      <c r="GTT677" s="37"/>
      <c r="GTU677" s="37"/>
      <c r="GTV677" s="37"/>
      <c r="GTW677" s="37"/>
      <c r="GTX677" s="37"/>
      <c r="GTY677" s="37"/>
      <c r="GTZ677" s="37"/>
      <c r="GUA677" s="37"/>
      <c r="GUB677" s="37"/>
      <c r="GUC677" s="37"/>
      <c r="GUD677" s="37"/>
      <c r="GUE677" s="37"/>
      <c r="GUF677" s="37"/>
      <c r="GUG677" s="37"/>
      <c r="GUH677" s="37"/>
      <c r="GUI677" s="37"/>
      <c r="GUJ677" s="37"/>
      <c r="GUK677" s="37"/>
      <c r="GUL677" s="37"/>
      <c r="GUM677" s="37"/>
      <c r="GUN677" s="37"/>
      <c r="GUO677" s="37"/>
      <c r="GUP677" s="37"/>
      <c r="GUQ677" s="37"/>
      <c r="GUR677" s="37"/>
      <c r="GUS677" s="37"/>
      <c r="GUT677" s="37"/>
      <c r="GUU677" s="37"/>
      <c r="GUV677" s="37"/>
      <c r="GUW677" s="37"/>
      <c r="GUX677" s="37"/>
      <c r="GUY677" s="37"/>
      <c r="GUZ677" s="37"/>
      <c r="GVA677" s="37"/>
      <c r="GVB677" s="37"/>
      <c r="GVC677" s="37"/>
      <c r="GVD677" s="37"/>
      <c r="GVE677" s="37"/>
      <c r="GVF677" s="37"/>
      <c r="GVG677" s="37"/>
      <c r="GVH677" s="37"/>
      <c r="GVI677" s="37"/>
      <c r="GVJ677" s="37"/>
      <c r="GVK677" s="37"/>
      <c r="GVL677" s="37"/>
      <c r="GVM677" s="37"/>
      <c r="GVN677" s="37"/>
      <c r="GVO677" s="37"/>
      <c r="GVP677" s="37"/>
      <c r="GVQ677" s="37"/>
      <c r="GVR677" s="37"/>
      <c r="GVS677" s="37"/>
      <c r="GVT677" s="37"/>
      <c r="GVU677" s="37"/>
      <c r="GVV677" s="37"/>
      <c r="GVW677" s="37"/>
      <c r="GVX677" s="37"/>
      <c r="GVY677" s="37"/>
      <c r="GVZ677" s="37"/>
      <c r="GWA677" s="37"/>
      <c r="GWB677" s="37"/>
      <c r="GWC677" s="37"/>
      <c r="GWD677" s="37"/>
      <c r="GWE677" s="37"/>
      <c r="GWF677" s="37"/>
      <c r="GWG677" s="37"/>
      <c r="GWH677" s="37"/>
      <c r="GWI677" s="37"/>
      <c r="GWJ677" s="37"/>
      <c r="GWK677" s="37"/>
      <c r="GWL677" s="37"/>
      <c r="GWM677" s="37"/>
      <c r="GWN677" s="37"/>
      <c r="GWO677" s="37"/>
      <c r="GWP677" s="37"/>
      <c r="GWQ677" s="37"/>
      <c r="GWR677" s="37"/>
      <c r="GWS677" s="37"/>
      <c r="GWT677" s="37"/>
      <c r="GWU677" s="37"/>
      <c r="GWV677" s="37"/>
      <c r="GWW677" s="37"/>
      <c r="GWX677" s="37"/>
      <c r="GWY677" s="37"/>
      <c r="GWZ677" s="37"/>
      <c r="GXA677" s="37"/>
      <c r="GXB677" s="37"/>
      <c r="GXC677" s="37"/>
      <c r="GXD677" s="37"/>
      <c r="GXE677" s="37"/>
      <c r="GXF677" s="37"/>
      <c r="GXG677" s="37"/>
      <c r="GXH677" s="37"/>
      <c r="GXI677" s="37"/>
      <c r="GXJ677" s="37"/>
      <c r="GXK677" s="37"/>
      <c r="GXL677" s="37"/>
      <c r="GXM677" s="37"/>
      <c r="GXN677" s="37"/>
      <c r="GXO677" s="37"/>
      <c r="GXP677" s="37"/>
      <c r="GXQ677" s="37"/>
      <c r="GXR677" s="37"/>
      <c r="GXS677" s="37"/>
      <c r="GXT677" s="37"/>
      <c r="GXU677" s="37"/>
      <c r="GXV677" s="37"/>
      <c r="GXW677" s="37"/>
      <c r="GXX677" s="37"/>
      <c r="GXY677" s="37"/>
      <c r="GXZ677" s="37"/>
      <c r="GYA677" s="37"/>
      <c r="GYB677" s="37"/>
      <c r="GYC677" s="37"/>
      <c r="GYD677" s="37"/>
      <c r="GYE677" s="37"/>
      <c r="GYF677" s="37"/>
      <c r="GYG677" s="37"/>
      <c r="GYH677" s="37"/>
      <c r="GYI677" s="37"/>
      <c r="GYJ677" s="37"/>
      <c r="GYK677" s="37"/>
      <c r="GYL677" s="37"/>
      <c r="GYM677" s="37"/>
      <c r="GYN677" s="37"/>
      <c r="GYO677" s="37"/>
      <c r="GYP677" s="37"/>
      <c r="GYQ677" s="37"/>
      <c r="GYR677" s="37"/>
      <c r="GYS677" s="37"/>
      <c r="GYT677" s="37"/>
      <c r="GYU677" s="37"/>
      <c r="GYV677" s="37"/>
      <c r="GYW677" s="37"/>
      <c r="GYX677" s="37"/>
      <c r="GYY677" s="37"/>
      <c r="GYZ677" s="37"/>
      <c r="GZA677" s="37"/>
      <c r="GZB677" s="37"/>
      <c r="GZC677" s="37"/>
      <c r="GZD677" s="37"/>
      <c r="GZE677" s="37"/>
      <c r="GZF677" s="37"/>
      <c r="GZG677" s="37"/>
      <c r="GZH677" s="37"/>
      <c r="GZI677" s="37"/>
      <c r="GZJ677" s="37"/>
      <c r="GZK677" s="37"/>
      <c r="GZL677" s="37"/>
      <c r="GZM677" s="37"/>
      <c r="GZN677" s="37"/>
      <c r="GZO677" s="37"/>
      <c r="GZP677" s="37"/>
      <c r="GZQ677" s="37"/>
      <c r="GZR677" s="37"/>
      <c r="GZS677" s="37"/>
      <c r="GZT677" s="37"/>
      <c r="GZU677" s="37"/>
      <c r="GZV677" s="37"/>
      <c r="GZW677" s="37"/>
      <c r="GZX677" s="37"/>
      <c r="GZY677" s="37"/>
      <c r="GZZ677" s="37"/>
      <c r="HAA677" s="37"/>
      <c r="HAB677" s="37"/>
      <c r="HAC677" s="37"/>
      <c r="HAD677" s="37"/>
      <c r="HAE677" s="37"/>
      <c r="HAF677" s="37"/>
      <c r="HAG677" s="37"/>
      <c r="HAH677" s="37"/>
      <c r="HAI677" s="37"/>
      <c r="HAJ677" s="37"/>
      <c r="HAK677" s="37"/>
      <c r="HAL677" s="37"/>
      <c r="HAM677" s="37"/>
      <c r="HAN677" s="37"/>
      <c r="HAO677" s="37"/>
      <c r="HAP677" s="37"/>
      <c r="HAQ677" s="37"/>
      <c r="HAR677" s="37"/>
      <c r="HAS677" s="37"/>
      <c r="HAT677" s="37"/>
      <c r="HAU677" s="37"/>
      <c r="HAV677" s="37"/>
      <c r="HAW677" s="37"/>
      <c r="HAX677" s="37"/>
      <c r="HAY677" s="37"/>
      <c r="HAZ677" s="37"/>
      <c r="HBA677" s="37"/>
      <c r="HBB677" s="37"/>
      <c r="HBC677" s="37"/>
      <c r="HBD677" s="37"/>
      <c r="HBE677" s="37"/>
      <c r="HBF677" s="37"/>
      <c r="HBG677" s="37"/>
      <c r="HBH677" s="37"/>
      <c r="HBI677" s="37"/>
      <c r="HBJ677" s="37"/>
      <c r="HBK677" s="37"/>
      <c r="HBL677" s="37"/>
      <c r="HBM677" s="37"/>
      <c r="HBN677" s="37"/>
      <c r="HBO677" s="37"/>
      <c r="HBP677" s="37"/>
      <c r="HBQ677" s="37"/>
      <c r="HBR677" s="37"/>
      <c r="HBS677" s="37"/>
      <c r="HBT677" s="37"/>
      <c r="HBU677" s="37"/>
      <c r="HBV677" s="37"/>
      <c r="HBW677" s="37"/>
      <c r="HBX677" s="37"/>
      <c r="HBY677" s="37"/>
      <c r="HBZ677" s="37"/>
      <c r="HCA677" s="37"/>
      <c r="HCB677" s="37"/>
      <c r="HCC677" s="37"/>
      <c r="HCD677" s="37"/>
      <c r="HCE677" s="37"/>
      <c r="HCF677" s="37"/>
      <c r="HCG677" s="37"/>
      <c r="HCH677" s="37"/>
      <c r="HCI677" s="37"/>
      <c r="HCJ677" s="37"/>
      <c r="HCK677" s="37"/>
      <c r="HCL677" s="37"/>
      <c r="HCM677" s="37"/>
      <c r="HCN677" s="37"/>
      <c r="HCO677" s="37"/>
      <c r="HCP677" s="37"/>
      <c r="HCQ677" s="37"/>
      <c r="HCR677" s="37"/>
      <c r="HCS677" s="37"/>
      <c r="HCT677" s="37"/>
      <c r="HCU677" s="37"/>
      <c r="HCV677" s="37"/>
      <c r="HCW677" s="37"/>
      <c r="HCX677" s="37"/>
      <c r="HCY677" s="37"/>
      <c r="HCZ677" s="37"/>
      <c r="HDA677" s="37"/>
      <c r="HDB677" s="37"/>
      <c r="HDC677" s="37"/>
      <c r="HDD677" s="37"/>
      <c r="HDE677" s="37"/>
      <c r="HDF677" s="37"/>
      <c r="HDG677" s="37"/>
      <c r="HDH677" s="37"/>
      <c r="HDI677" s="37"/>
      <c r="HDJ677" s="37"/>
      <c r="HDK677" s="37"/>
      <c r="HDL677" s="37"/>
      <c r="HDM677" s="37"/>
      <c r="HDN677" s="37"/>
      <c r="HDO677" s="37"/>
      <c r="HDP677" s="37"/>
      <c r="HDQ677" s="37"/>
      <c r="HDR677" s="37"/>
      <c r="HDS677" s="37"/>
      <c r="HDT677" s="37"/>
      <c r="HDU677" s="37"/>
      <c r="HDV677" s="37"/>
      <c r="HDW677" s="37"/>
      <c r="HDX677" s="37"/>
      <c r="HDY677" s="37"/>
      <c r="HDZ677" s="37"/>
      <c r="HEA677" s="37"/>
      <c r="HEB677" s="37"/>
      <c r="HEC677" s="37"/>
      <c r="HED677" s="37"/>
      <c r="HEE677" s="37"/>
      <c r="HEF677" s="37"/>
      <c r="HEG677" s="37"/>
      <c r="HEH677" s="37"/>
      <c r="HEI677" s="37"/>
      <c r="HEJ677" s="37"/>
      <c r="HEK677" s="37"/>
      <c r="HEL677" s="37"/>
      <c r="HEM677" s="37"/>
      <c r="HEN677" s="37"/>
      <c r="HEO677" s="37"/>
      <c r="HEP677" s="37"/>
      <c r="HEQ677" s="37"/>
      <c r="HER677" s="37"/>
      <c r="HES677" s="37"/>
      <c r="HET677" s="37"/>
      <c r="HEU677" s="37"/>
      <c r="HEV677" s="37"/>
      <c r="HEW677" s="37"/>
      <c r="HEX677" s="37"/>
      <c r="HEY677" s="37"/>
      <c r="HEZ677" s="37"/>
      <c r="HFA677" s="37"/>
      <c r="HFB677" s="37"/>
      <c r="HFC677" s="37"/>
      <c r="HFD677" s="37"/>
      <c r="HFE677" s="37"/>
      <c r="HFF677" s="37"/>
      <c r="HFG677" s="37"/>
      <c r="HFH677" s="37"/>
      <c r="HFI677" s="37"/>
      <c r="HFJ677" s="37"/>
      <c r="HFK677" s="37"/>
      <c r="HFL677" s="37"/>
      <c r="HFM677" s="37"/>
      <c r="HFN677" s="37"/>
      <c r="HFO677" s="37"/>
      <c r="HFP677" s="37"/>
      <c r="HFQ677" s="37"/>
      <c r="HFR677" s="37"/>
      <c r="HFS677" s="37"/>
      <c r="HFT677" s="37"/>
      <c r="HFU677" s="37"/>
      <c r="HFV677" s="37"/>
      <c r="HFW677" s="37"/>
      <c r="HFX677" s="37"/>
      <c r="HFY677" s="37"/>
      <c r="HFZ677" s="37"/>
      <c r="HGA677" s="37"/>
      <c r="HGB677" s="37"/>
      <c r="HGC677" s="37"/>
      <c r="HGD677" s="37"/>
      <c r="HGE677" s="37"/>
      <c r="HGF677" s="37"/>
      <c r="HGG677" s="37"/>
      <c r="HGH677" s="37"/>
      <c r="HGI677" s="37"/>
      <c r="HGJ677" s="37"/>
      <c r="HGK677" s="37"/>
      <c r="HGL677" s="37"/>
      <c r="HGM677" s="37"/>
      <c r="HGN677" s="37"/>
      <c r="HGO677" s="37"/>
      <c r="HGP677" s="37"/>
      <c r="HGQ677" s="37"/>
      <c r="HGR677" s="37"/>
      <c r="HGS677" s="37"/>
      <c r="HGT677" s="37"/>
      <c r="HGU677" s="37"/>
      <c r="HGV677" s="37"/>
      <c r="HGW677" s="37"/>
      <c r="HGX677" s="37"/>
      <c r="HGY677" s="37"/>
      <c r="HGZ677" s="37"/>
      <c r="HHA677" s="37"/>
      <c r="HHB677" s="37"/>
      <c r="HHC677" s="37"/>
      <c r="HHD677" s="37"/>
      <c r="HHE677" s="37"/>
      <c r="HHF677" s="37"/>
      <c r="HHG677" s="37"/>
      <c r="HHH677" s="37"/>
      <c r="HHI677" s="37"/>
      <c r="HHJ677" s="37"/>
      <c r="HHK677" s="37"/>
      <c r="HHL677" s="37"/>
      <c r="HHM677" s="37"/>
      <c r="HHN677" s="37"/>
      <c r="HHO677" s="37"/>
      <c r="HHP677" s="37"/>
      <c r="HHQ677" s="37"/>
      <c r="HHR677" s="37"/>
      <c r="HHS677" s="37"/>
      <c r="HHT677" s="37"/>
      <c r="HHU677" s="37"/>
      <c r="HHV677" s="37"/>
      <c r="HHW677" s="37"/>
      <c r="HHX677" s="37"/>
      <c r="HHY677" s="37"/>
      <c r="HHZ677" s="37"/>
      <c r="HIA677" s="37"/>
      <c r="HIB677" s="37"/>
      <c r="HIC677" s="37"/>
      <c r="HID677" s="37"/>
      <c r="HIE677" s="37"/>
      <c r="HIF677" s="37"/>
      <c r="HIG677" s="37"/>
      <c r="HIH677" s="37"/>
      <c r="HII677" s="37"/>
      <c r="HIJ677" s="37"/>
      <c r="HIK677" s="37"/>
      <c r="HIL677" s="37"/>
      <c r="HIM677" s="37"/>
      <c r="HIN677" s="37"/>
      <c r="HIO677" s="37"/>
      <c r="HIP677" s="37"/>
      <c r="HIQ677" s="37"/>
      <c r="HIR677" s="37"/>
      <c r="HIS677" s="37"/>
      <c r="HIT677" s="37"/>
      <c r="HIU677" s="37"/>
      <c r="HIV677" s="37"/>
      <c r="HIW677" s="37"/>
      <c r="HIX677" s="37"/>
      <c r="HIY677" s="37"/>
      <c r="HIZ677" s="37"/>
      <c r="HJA677" s="37"/>
      <c r="HJB677" s="37"/>
      <c r="HJC677" s="37"/>
      <c r="HJD677" s="37"/>
      <c r="HJE677" s="37"/>
      <c r="HJF677" s="37"/>
      <c r="HJG677" s="37"/>
      <c r="HJH677" s="37"/>
      <c r="HJI677" s="37"/>
      <c r="HJJ677" s="37"/>
      <c r="HJK677" s="37"/>
      <c r="HJL677" s="37"/>
      <c r="HJM677" s="37"/>
      <c r="HJN677" s="37"/>
      <c r="HJO677" s="37"/>
      <c r="HJP677" s="37"/>
      <c r="HJQ677" s="37"/>
      <c r="HJR677" s="37"/>
      <c r="HJS677" s="37"/>
      <c r="HJT677" s="37"/>
      <c r="HJU677" s="37"/>
      <c r="HJV677" s="37"/>
      <c r="HJW677" s="37"/>
      <c r="HJX677" s="37"/>
      <c r="HJY677" s="37"/>
      <c r="HJZ677" s="37"/>
      <c r="HKA677" s="37"/>
      <c r="HKB677" s="37"/>
      <c r="HKC677" s="37"/>
      <c r="HKD677" s="37"/>
      <c r="HKE677" s="37"/>
      <c r="HKF677" s="37"/>
      <c r="HKG677" s="37"/>
      <c r="HKH677" s="37"/>
      <c r="HKI677" s="37"/>
      <c r="HKJ677" s="37"/>
      <c r="HKK677" s="37"/>
      <c r="HKL677" s="37"/>
      <c r="HKM677" s="37"/>
      <c r="HKN677" s="37"/>
      <c r="HKO677" s="37"/>
      <c r="HKP677" s="37"/>
      <c r="HKQ677" s="37"/>
      <c r="HKR677" s="37"/>
      <c r="HKS677" s="37"/>
      <c r="HKT677" s="37"/>
      <c r="HKU677" s="37"/>
      <c r="HKV677" s="37"/>
      <c r="HKW677" s="37"/>
      <c r="HKX677" s="37"/>
      <c r="HKY677" s="37"/>
      <c r="HKZ677" s="37"/>
      <c r="HLA677" s="37"/>
      <c r="HLB677" s="37"/>
      <c r="HLC677" s="37"/>
      <c r="HLD677" s="37"/>
      <c r="HLE677" s="37"/>
      <c r="HLF677" s="37"/>
      <c r="HLG677" s="37"/>
      <c r="HLH677" s="37"/>
      <c r="HLI677" s="37"/>
      <c r="HLJ677" s="37"/>
      <c r="HLK677" s="37"/>
      <c r="HLL677" s="37"/>
      <c r="HLM677" s="37"/>
      <c r="HLN677" s="37"/>
      <c r="HLO677" s="37"/>
      <c r="HLP677" s="37"/>
      <c r="HLQ677" s="37"/>
      <c r="HLR677" s="37"/>
      <c r="HLS677" s="37"/>
      <c r="HLT677" s="37"/>
      <c r="HLU677" s="37"/>
      <c r="HLV677" s="37"/>
      <c r="HLW677" s="37"/>
      <c r="HLX677" s="37"/>
      <c r="HLY677" s="37"/>
      <c r="HLZ677" s="37"/>
      <c r="HMA677" s="37"/>
      <c r="HMB677" s="37"/>
      <c r="HMC677" s="37"/>
      <c r="HMD677" s="37"/>
      <c r="HME677" s="37"/>
      <c r="HMF677" s="37"/>
      <c r="HMG677" s="37"/>
      <c r="HMH677" s="37"/>
      <c r="HMI677" s="37"/>
      <c r="HMJ677" s="37"/>
      <c r="HMK677" s="37"/>
      <c r="HML677" s="37"/>
      <c r="HMM677" s="37"/>
      <c r="HMN677" s="37"/>
      <c r="HMO677" s="37"/>
      <c r="HMP677" s="37"/>
      <c r="HMQ677" s="37"/>
      <c r="HMR677" s="37"/>
      <c r="HMS677" s="37"/>
      <c r="HMT677" s="37"/>
      <c r="HMU677" s="37"/>
      <c r="HMV677" s="37"/>
      <c r="HMW677" s="37"/>
      <c r="HMX677" s="37"/>
      <c r="HMY677" s="37"/>
      <c r="HMZ677" s="37"/>
      <c r="HNA677" s="37"/>
      <c r="HNB677" s="37"/>
      <c r="HNC677" s="37"/>
      <c r="HND677" s="37"/>
      <c r="HNE677" s="37"/>
      <c r="HNF677" s="37"/>
      <c r="HNG677" s="37"/>
      <c r="HNH677" s="37"/>
      <c r="HNI677" s="37"/>
      <c r="HNJ677" s="37"/>
      <c r="HNK677" s="37"/>
      <c r="HNL677" s="37"/>
      <c r="HNM677" s="37"/>
      <c r="HNN677" s="37"/>
      <c r="HNO677" s="37"/>
      <c r="HNP677" s="37"/>
      <c r="HNQ677" s="37"/>
      <c r="HNR677" s="37"/>
      <c r="HNS677" s="37"/>
      <c r="HNT677" s="37"/>
      <c r="HNU677" s="37"/>
      <c r="HNV677" s="37"/>
      <c r="HNW677" s="37"/>
      <c r="HNX677" s="37"/>
      <c r="HNY677" s="37"/>
      <c r="HNZ677" s="37"/>
      <c r="HOA677" s="37"/>
      <c r="HOB677" s="37"/>
      <c r="HOC677" s="37"/>
      <c r="HOD677" s="37"/>
      <c r="HOE677" s="37"/>
      <c r="HOF677" s="37"/>
      <c r="HOG677" s="37"/>
      <c r="HOH677" s="37"/>
      <c r="HOI677" s="37"/>
      <c r="HOJ677" s="37"/>
      <c r="HOK677" s="37"/>
      <c r="HOL677" s="37"/>
      <c r="HOM677" s="37"/>
      <c r="HON677" s="37"/>
      <c r="HOO677" s="37"/>
      <c r="HOP677" s="37"/>
      <c r="HOQ677" s="37"/>
      <c r="HOR677" s="37"/>
      <c r="HOS677" s="37"/>
      <c r="HOT677" s="37"/>
      <c r="HOU677" s="37"/>
      <c r="HOV677" s="37"/>
      <c r="HOW677" s="37"/>
      <c r="HOX677" s="37"/>
      <c r="HOY677" s="37"/>
      <c r="HOZ677" s="37"/>
      <c r="HPA677" s="37"/>
      <c r="HPB677" s="37"/>
      <c r="HPC677" s="37"/>
      <c r="HPD677" s="37"/>
      <c r="HPE677" s="37"/>
      <c r="HPF677" s="37"/>
      <c r="HPG677" s="37"/>
      <c r="HPH677" s="37"/>
      <c r="HPI677" s="37"/>
      <c r="HPJ677" s="37"/>
      <c r="HPK677" s="37"/>
      <c r="HPL677" s="37"/>
      <c r="HPM677" s="37"/>
      <c r="HPN677" s="37"/>
      <c r="HPO677" s="37"/>
      <c r="HPP677" s="37"/>
      <c r="HPQ677" s="37"/>
      <c r="HPR677" s="37"/>
      <c r="HPS677" s="37"/>
      <c r="HPT677" s="37"/>
      <c r="HPU677" s="37"/>
      <c r="HPV677" s="37"/>
      <c r="HPW677" s="37"/>
      <c r="HPX677" s="37"/>
      <c r="HPY677" s="37"/>
      <c r="HPZ677" s="37"/>
      <c r="HQA677" s="37"/>
      <c r="HQB677" s="37"/>
      <c r="HQC677" s="37"/>
      <c r="HQD677" s="37"/>
      <c r="HQE677" s="37"/>
      <c r="HQF677" s="37"/>
      <c r="HQG677" s="37"/>
      <c r="HQH677" s="37"/>
      <c r="HQI677" s="37"/>
      <c r="HQJ677" s="37"/>
      <c r="HQK677" s="37"/>
      <c r="HQL677" s="37"/>
      <c r="HQM677" s="37"/>
      <c r="HQN677" s="37"/>
      <c r="HQO677" s="37"/>
      <c r="HQP677" s="37"/>
      <c r="HQQ677" s="37"/>
      <c r="HQR677" s="37"/>
      <c r="HQS677" s="37"/>
      <c r="HQT677" s="37"/>
      <c r="HQU677" s="37"/>
      <c r="HQV677" s="37"/>
      <c r="HQW677" s="37"/>
      <c r="HQX677" s="37"/>
      <c r="HQY677" s="37"/>
      <c r="HQZ677" s="37"/>
      <c r="HRA677" s="37"/>
      <c r="HRB677" s="37"/>
      <c r="HRC677" s="37"/>
      <c r="HRD677" s="37"/>
      <c r="HRE677" s="37"/>
      <c r="HRF677" s="37"/>
      <c r="HRG677" s="37"/>
      <c r="HRH677" s="37"/>
      <c r="HRI677" s="37"/>
      <c r="HRJ677" s="37"/>
      <c r="HRK677" s="37"/>
      <c r="HRL677" s="37"/>
      <c r="HRM677" s="37"/>
      <c r="HRN677" s="37"/>
      <c r="HRO677" s="37"/>
      <c r="HRP677" s="37"/>
      <c r="HRQ677" s="37"/>
      <c r="HRR677" s="37"/>
      <c r="HRS677" s="37"/>
      <c r="HRT677" s="37"/>
      <c r="HRU677" s="37"/>
      <c r="HRV677" s="37"/>
      <c r="HRW677" s="37"/>
      <c r="HRX677" s="37"/>
      <c r="HRY677" s="37"/>
      <c r="HRZ677" s="37"/>
      <c r="HSA677" s="37"/>
      <c r="HSB677" s="37"/>
      <c r="HSC677" s="37"/>
      <c r="HSD677" s="37"/>
      <c r="HSE677" s="37"/>
      <c r="HSF677" s="37"/>
      <c r="HSG677" s="37"/>
      <c r="HSH677" s="37"/>
      <c r="HSI677" s="37"/>
      <c r="HSJ677" s="37"/>
      <c r="HSK677" s="37"/>
      <c r="HSL677" s="37"/>
      <c r="HSM677" s="37"/>
      <c r="HSN677" s="37"/>
      <c r="HSO677" s="37"/>
      <c r="HSP677" s="37"/>
      <c r="HSQ677" s="37"/>
      <c r="HSR677" s="37"/>
      <c r="HSS677" s="37"/>
      <c r="HST677" s="37"/>
      <c r="HSU677" s="37"/>
      <c r="HSV677" s="37"/>
      <c r="HSW677" s="37"/>
      <c r="HSX677" s="37"/>
      <c r="HSY677" s="37"/>
      <c r="HSZ677" s="37"/>
      <c r="HTA677" s="37"/>
      <c r="HTB677" s="37"/>
      <c r="HTC677" s="37"/>
      <c r="HTD677" s="37"/>
      <c r="HTE677" s="37"/>
      <c r="HTF677" s="37"/>
      <c r="HTG677" s="37"/>
      <c r="HTH677" s="37"/>
      <c r="HTI677" s="37"/>
      <c r="HTJ677" s="37"/>
      <c r="HTK677" s="37"/>
      <c r="HTL677" s="37"/>
      <c r="HTM677" s="37"/>
      <c r="HTN677" s="37"/>
      <c r="HTO677" s="37"/>
      <c r="HTP677" s="37"/>
      <c r="HTQ677" s="37"/>
      <c r="HTR677" s="37"/>
      <c r="HTS677" s="37"/>
      <c r="HTT677" s="37"/>
      <c r="HTU677" s="37"/>
      <c r="HTV677" s="37"/>
      <c r="HTW677" s="37"/>
      <c r="HTX677" s="37"/>
      <c r="HTY677" s="37"/>
      <c r="HTZ677" s="37"/>
      <c r="HUA677" s="37"/>
      <c r="HUB677" s="37"/>
      <c r="HUC677" s="37"/>
      <c r="HUD677" s="37"/>
      <c r="HUE677" s="37"/>
      <c r="HUF677" s="37"/>
      <c r="HUG677" s="37"/>
      <c r="HUH677" s="37"/>
      <c r="HUI677" s="37"/>
      <c r="HUJ677" s="37"/>
      <c r="HUK677" s="37"/>
      <c r="HUL677" s="37"/>
      <c r="HUM677" s="37"/>
      <c r="HUN677" s="37"/>
      <c r="HUO677" s="37"/>
      <c r="HUP677" s="37"/>
      <c r="HUQ677" s="37"/>
      <c r="HUR677" s="37"/>
      <c r="HUS677" s="37"/>
      <c r="HUT677" s="37"/>
      <c r="HUU677" s="37"/>
      <c r="HUV677" s="37"/>
      <c r="HUW677" s="37"/>
      <c r="HUX677" s="37"/>
      <c r="HUY677" s="37"/>
      <c r="HUZ677" s="37"/>
      <c r="HVA677" s="37"/>
      <c r="HVB677" s="37"/>
      <c r="HVC677" s="37"/>
      <c r="HVD677" s="37"/>
      <c r="HVE677" s="37"/>
      <c r="HVF677" s="37"/>
      <c r="HVG677" s="37"/>
      <c r="HVH677" s="37"/>
      <c r="HVI677" s="37"/>
      <c r="HVJ677" s="37"/>
      <c r="HVK677" s="37"/>
      <c r="HVL677" s="37"/>
      <c r="HVM677" s="37"/>
      <c r="HVN677" s="37"/>
      <c r="HVO677" s="37"/>
      <c r="HVP677" s="37"/>
      <c r="HVQ677" s="37"/>
      <c r="HVR677" s="37"/>
      <c r="HVS677" s="37"/>
      <c r="HVT677" s="37"/>
      <c r="HVU677" s="37"/>
      <c r="HVV677" s="37"/>
      <c r="HVW677" s="37"/>
      <c r="HVX677" s="37"/>
      <c r="HVY677" s="37"/>
      <c r="HVZ677" s="37"/>
      <c r="HWA677" s="37"/>
      <c r="HWB677" s="37"/>
      <c r="HWC677" s="37"/>
      <c r="HWD677" s="37"/>
      <c r="HWE677" s="37"/>
      <c r="HWF677" s="37"/>
      <c r="HWG677" s="37"/>
      <c r="HWH677" s="37"/>
      <c r="HWI677" s="37"/>
      <c r="HWJ677" s="37"/>
      <c r="HWK677" s="37"/>
      <c r="HWL677" s="37"/>
      <c r="HWM677" s="37"/>
      <c r="HWN677" s="37"/>
      <c r="HWO677" s="37"/>
      <c r="HWP677" s="37"/>
      <c r="HWQ677" s="37"/>
      <c r="HWR677" s="37"/>
      <c r="HWS677" s="37"/>
      <c r="HWT677" s="37"/>
      <c r="HWU677" s="37"/>
      <c r="HWV677" s="37"/>
      <c r="HWW677" s="37"/>
      <c r="HWX677" s="37"/>
      <c r="HWY677" s="37"/>
      <c r="HWZ677" s="37"/>
      <c r="HXA677" s="37"/>
      <c r="HXB677" s="37"/>
      <c r="HXC677" s="37"/>
      <c r="HXD677" s="37"/>
      <c r="HXE677" s="37"/>
      <c r="HXF677" s="37"/>
      <c r="HXG677" s="37"/>
      <c r="HXH677" s="37"/>
      <c r="HXI677" s="37"/>
      <c r="HXJ677" s="37"/>
      <c r="HXK677" s="37"/>
      <c r="HXL677" s="37"/>
      <c r="HXM677" s="37"/>
      <c r="HXN677" s="37"/>
      <c r="HXO677" s="37"/>
      <c r="HXP677" s="37"/>
      <c r="HXQ677" s="37"/>
      <c r="HXR677" s="37"/>
      <c r="HXS677" s="37"/>
      <c r="HXT677" s="37"/>
      <c r="HXU677" s="37"/>
      <c r="HXV677" s="37"/>
      <c r="HXW677" s="37"/>
      <c r="HXX677" s="37"/>
      <c r="HXY677" s="37"/>
      <c r="HXZ677" s="37"/>
      <c r="HYA677" s="37"/>
      <c r="HYB677" s="37"/>
      <c r="HYC677" s="37"/>
      <c r="HYD677" s="37"/>
      <c r="HYE677" s="37"/>
      <c r="HYF677" s="37"/>
      <c r="HYG677" s="37"/>
      <c r="HYH677" s="37"/>
      <c r="HYI677" s="37"/>
      <c r="HYJ677" s="37"/>
      <c r="HYK677" s="37"/>
      <c r="HYL677" s="37"/>
      <c r="HYM677" s="37"/>
      <c r="HYN677" s="37"/>
      <c r="HYO677" s="37"/>
      <c r="HYP677" s="37"/>
      <c r="HYQ677" s="37"/>
      <c r="HYR677" s="37"/>
      <c r="HYS677" s="37"/>
      <c r="HYT677" s="37"/>
      <c r="HYU677" s="37"/>
      <c r="HYV677" s="37"/>
      <c r="HYW677" s="37"/>
      <c r="HYX677" s="37"/>
      <c r="HYY677" s="37"/>
      <c r="HYZ677" s="37"/>
      <c r="HZA677" s="37"/>
      <c r="HZB677" s="37"/>
      <c r="HZC677" s="37"/>
      <c r="HZD677" s="37"/>
      <c r="HZE677" s="37"/>
      <c r="HZF677" s="37"/>
      <c r="HZG677" s="37"/>
      <c r="HZH677" s="37"/>
      <c r="HZI677" s="37"/>
      <c r="HZJ677" s="37"/>
      <c r="HZK677" s="37"/>
      <c r="HZL677" s="37"/>
      <c r="HZM677" s="37"/>
      <c r="HZN677" s="37"/>
      <c r="HZO677" s="37"/>
      <c r="HZP677" s="37"/>
      <c r="HZQ677" s="37"/>
      <c r="HZR677" s="37"/>
      <c r="HZS677" s="37"/>
      <c r="HZT677" s="37"/>
      <c r="HZU677" s="37"/>
      <c r="HZV677" s="37"/>
      <c r="HZW677" s="37"/>
      <c r="HZX677" s="37"/>
      <c r="HZY677" s="37"/>
      <c r="HZZ677" s="37"/>
      <c r="IAA677" s="37"/>
      <c r="IAB677" s="37"/>
      <c r="IAC677" s="37"/>
      <c r="IAD677" s="37"/>
      <c r="IAE677" s="37"/>
      <c r="IAF677" s="37"/>
      <c r="IAG677" s="37"/>
      <c r="IAH677" s="37"/>
      <c r="IAI677" s="37"/>
      <c r="IAJ677" s="37"/>
      <c r="IAK677" s="37"/>
      <c r="IAL677" s="37"/>
      <c r="IAM677" s="37"/>
      <c r="IAN677" s="37"/>
      <c r="IAO677" s="37"/>
      <c r="IAP677" s="37"/>
      <c r="IAQ677" s="37"/>
      <c r="IAR677" s="37"/>
      <c r="IAS677" s="37"/>
      <c r="IAT677" s="37"/>
      <c r="IAU677" s="37"/>
      <c r="IAV677" s="37"/>
      <c r="IAW677" s="37"/>
      <c r="IAX677" s="37"/>
      <c r="IAY677" s="37"/>
      <c r="IAZ677" s="37"/>
      <c r="IBA677" s="37"/>
      <c r="IBB677" s="37"/>
      <c r="IBC677" s="37"/>
      <c r="IBD677" s="37"/>
      <c r="IBE677" s="37"/>
      <c r="IBF677" s="37"/>
      <c r="IBG677" s="37"/>
      <c r="IBH677" s="37"/>
      <c r="IBI677" s="37"/>
      <c r="IBJ677" s="37"/>
      <c r="IBK677" s="37"/>
      <c r="IBL677" s="37"/>
      <c r="IBM677" s="37"/>
      <c r="IBN677" s="37"/>
      <c r="IBO677" s="37"/>
      <c r="IBP677" s="37"/>
      <c r="IBQ677" s="37"/>
      <c r="IBR677" s="37"/>
      <c r="IBS677" s="37"/>
      <c r="IBT677" s="37"/>
      <c r="IBU677" s="37"/>
      <c r="IBV677" s="37"/>
      <c r="IBW677" s="37"/>
      <c r="IBX677" s="37"/>
      <c r="IBY677" s="37"/>
      <c r="IBZ677" s="37"/>
      <c r="ICA677" s="37"/>
      <c r="ICB677" s="37"/>
      <c r="ICC677" s="37"/>
      <c r="ICD677" s="37"/>
      <c r="ICE677" s="37"/>
      <c r="ICF677" s="37"/>
      <c r="ICG677" s="37"/>
      <c r="ICH677" s="37"/>
      <c r="ICI677" s="37"/>
      <c r="ICJ677" s="37"/>
      <c r="ICK677" s="37"/>
      <c r="ICL677" s="37"/>
      <c r="ICM677" s="37"/>
      <c r="ICN677" s="37"/>
      <c r="ICO677" s="37"/>
      <c r="ICP677" s="37"/>
      <c r="ICQ677" s="37"/>
      <c r="ICR677" s="37"/>
      <c r="ICS677" s="37"/>
      <c r="ICT677" s="37"/>
      <c r="ICU677" s="37"/>
      <c r="ICV677" s="37"/>
      <c r="ICW677" s="37"/>
      <c r="ICX677" s="37"/>
      <c r="ICY677" s="37"/>
      <c r="ICZ677" s="37"/>
      <c r="IDA677" s="37"/>
      <c r="IDB677" s="37"/>
      <c r="IDC677" s="37"/>
      <c r="IDD677" s="37"/>
      <c r="IDE677" s="37"/>
      <c r="IDF677" s="37"/>
      <c r="IDG677" s="37"/>
      <c r="IDH677" s="37"/>
      <c r="IDI677" s="37"/>
      <c r="IDJ677" s="37"/>
      <c r="IDK677" s="37"/>
      <c r="IDL677" s="37"/>
      <c r="IDM677" s="37"/>
      <c r="IDN677" s="37"/>
      <c r="IDO677" s="37"/>
      <c r="IDP677" s="37"/>
      <c r="IDQ677" s="37"/>
      <c r="IDR677" s="37"/>
      <c r="IDS677" s="37"/>
      <c r="IDT677" s="37"/>
      <c r="IDU677" s="37"/>
      <c r="IDV677" s="37"/>
      <c r="IDW677" s="37"/>
      <c r="IDX677" s="37"/>
      <c r="IDY677" s="37"/>
      <c r="IDZ677" s="37"/>
      <c r="IEA677" s="37"/>
      <c r="IEB677" s="37"/>
      <c r="IEC677" s="37"/>
      <c r="IED677" s="37"/>
      <c r="IEE677" s="37"/>
      <c r="IEF677" s="37"/>
      <c r="IEG677" s="37"/>
      <c r="IEH677" s="37"/>
      <c r="IEI677" s="37"/>
      <c r="IEJ677" s="37"/>
      <c r="IEK677" s="37"/>
      <c r="IEL677" s="37"/>
      <c r="IEM677" s="37"/>
      <c r="IEN677" s="37"/>
      <c r="IEO677" s="37"/>
      <c r="IEP677" s="37"/>
      <c r="IEQ677" s="37"/>
      <c r="IER677" s="37"/>
      <c r="IES677" s="37"/>
      <c r="IET677" s="37"/>
      <c r="IEU677" s="37"/>
      <c r="IEV677" s="37"/>
      <c r="IEW677" s="37"/>
      <c r="IEX677" s="37"/>
      <c r="IEY677" s="37"/>
      <c r="IEZ677" s="37"/>
      <c r="IFA677" s="37"/>
      <c r="IFB677" s="37"/>
      <c r="IFC677" s="37"/>
      <c r="IFD677" s="37"/>
      <c r="IFE677" s="37"/>
      <c r="IFF677" s="37"/>
      <c r="IFG677" s="37"/>
      <c r="IFH677" s="37"/>
      <c r="IFI677" s="37"/>
      <c r="IFJ677" s="37"/>
      <c r="IFK677" s="37"/>
      <c r="IFL677" s="37"/>
      <c r="IFM677" s="37"/>
      <c r="IFN677" s="37"/>
      <c r="IFO677" s="37"/>
      <c r="IFP677" s="37"/>
      <c r="IFQ677" s="37"/>
      <c r="IFR677" s="37"/>
      <c r="IFS677" s="37"/>
      <c r="IFT677" s="37"/>
      <c r="IFU677" s="37"/>
      <c r="IFV677" s="37"/>
      <c r="IFW677" s="37"/>
      <c r="IFX677" s="37"/>
      <c r="IFY677" s="37"/>
      <c r="IFZ677" s="37"/>
      <c r="IGA677" s="37"/>
      <c r="IGB677" s="37"/>
      <c r="IGC677" s="37"/>
      <c r="IGD677" s="37"/>
      <c r="IGE677" s="37"/>
      <c r="IGF677" s="37"/>
      <c r="IGG677" s="37"/>
      <c r="IGH677" s="37"/>
      <c r="IGI677" s="37"/>
      <c r="IGJ677" s="37"/>
      <c r="IGK677" s="37"/>
      <c r="IGL677" s="37"/>
      <c r="IGM677" s="37"/>
      <c r="IGN677" s="37"/>
      <c r="IGO677" s="37"/>
      <c r="IGP677" s="37"/>
      <c r="IGQ677" s="37"/>
      <c r="IGR677" s="37"/>
      <c r="IGS677" s="37"/>
      <c r="IGT677" s="37"/>
      <c r="IGU677" s="37"/>
      <c r="IGV677" s="37"/>
      <c r="IGW677" s="37"/>
      <c r="IGX677" s="37"/>
      <c r="IGY677" s="37"/>
      <c r="IGZ677" s="37"/>
      <c r="IHA677" s="37"/>
      <c r="IHB677" s="37"/>
      <c r="IHC677" s="37"/>
      <c r="IHD677" s="37"/>
      <c r="IHE677" s="37"/>
      <c r="IHF677" s="37"/>
      <c r="IHG677" s="37"/>
      <c r="IHH677" s="37"/>
      <c r="IHI677" s="37"/>
      <c r="IHJ677" s="37"/>
      <c r="IHK677" s="37"/>
      <c r="IHL677" s="37"/>
      <c r="IHM677" s="37"/>
      <c r="IHN677" s="37"/>
      <c r="IHO677" s="37"/>
      <c r="IHP677" s="37"/>
      <c r="IHQ677" s="37"/>
      <c r="IHR677" s="37"/>
      <c r="IHS677" s="37"/>
      <c r="IHT677" s="37"/>
      <c r="IHU677" s="37"/>
      <c r="IHV677" s="37"/>
      <c r="IHW677" s="37"/>
      <c r="IHX677" s="37"/>
      <c r="IHY677" s="37"/>
      <c r="IHZ677" s="37"/>
      <c r="IIA677" s="37"/>
      <c r="IIB677" s="37"/>
      <c r="IIC677" s="37"/>
      <c r="IID677" s="37"/>
      <c r="IIE677" s="37"/>
      <c r="IIF677" s="37"/>
      <c r="IIG677" s="37"/>
      <c r="IIH677" s="37"/>
      <c r="III677" s="37"/>
      <c r="IIJ677" s="37"/>
      <c r="IIK677" s="37"/>
      <c r="IIL677" s="37"/>
      <c r="IIM677" s="37"/>
      <c r="IIN677" s="37"/>
      <c r="IIO677" s="37"/>
      <c r="IIP677" s="37"/>
      <c r="IIQ677" s="37"/>
      <c r="IIR677" s="37"/>
      <c r="IIS677" s="37"/>
      <c r="IIT677" s="37"/>
      <c r="IIU677" s="37"/>
      <c r="IIV677" s="37"/>
      <c r="IIW677" s="37"/>
      <c r="IIX677" s="37"/>
      <c r="IIY677" s="37"/>
      <c r="IIZ677" s="37"/>
      <c r="IJA677" s="37"/>
      <c r="IJB677" s="37"/>
      <c r="IJC677" s="37"/>
      <c r="IJD677" s="37"/>
      <c r="IJE677" s="37"/>
      <c r="IJF677" s="37"/>
      <c r="IJG677" s="37"/>
      <c r="IJH677" s="37"/>
      <c r="IJI677" s="37"/>
      <c r="IJJ677" s="37"/>
      <c r="IJK677" s="37"/>
      <c r="IJL677" s="37"/>
      <c r="IJM677" s="37"/>
      <c r="IJN677" s="37"/>
      <c r="IJO677" s="37"/>
      <c r="IJP677" s="37"/>
      <c r="IJQ677" s="37"/>
      <c r="IJR677" s="37"/>
      <c r="IJS677" s="37"/>
      <c r="IJT677" s="37"/>
      <c r="IJU677" s="37"/>
      <c r="IJV677" s="37"/>
      <c r="IJW677" s="37"/>
      <c r="IJX677" s="37"/>
      <c r="IJY677" s="37"/>
      <c r="IJZ677" s="37"/>
      <c r="IKA677" s="37"/>
      <c r="IKB677" s="37"/>
      <c r="IKC677" s="37"/>
      <c r="IKD677" s="37"/>
      <c r="IKE677" s="37"/>
      <c r="IKF677" s="37"/>
      <c r="IKG677" s="37"/>
      <c r="IKH677" s="37"/>
      <c r="IKI677" s="37"/>
      <c r="IKJ677" s="37"/>
      <c r="IKK677" s="37"/>
      <c r="IKL677" s="37"/>
      <c r="IKM677" s="37"/>
      <c r="IKN677" s="37"/>
      <c r="IKO677" s="37"/>
      <c r="IKP677" s="37"/>
      <c r="IKQ677" s="37"/>
      <c r="IKR677" s="37"/>
      <c r="IKS677" s="37"/>
      <c r="IKT677" s="37"/>
      <c r="IKU677" s="37"/>
      <c r="IKV677" s="37"/>
      <c r="IKW677" s="37"/>
      <c r="IKX677" s="37"/>
      <c r="IKY677" s="37"/>
      <c r="IKZ677" s="37"/>
      <c r="ILA677" s="37"/>
      <c r="ILB677" s="37"/>
      <c r="ILC677" s="37"/>
      <c r="ILD677" s="37"/>
      <c r="ILE677" s="37"/>
      <c r="ILF677" s="37"/>
      <c r="ILG677" s="37"/>
      <c r="ILH677" s="37"/>
      <c r="ILI677" s="37"/>
      <c r="ILJ677" s="37"/>
      <c r="ILK677" s="37"/>
      <c r="ILL677" s="37"/>
      <c r="ILM677" s="37"/>
      <c r="ILN677" s="37"/>
      <c r="ILO677" s="37"/>
      <c r="ILP677" s="37"/>
      <c r="ILQ677" s="37"/>
      <c r="ILR677" s="37"/>
      <c r="ILS677" s="37"/>
      <c r="ILT677" s="37"/>
      <c r="ILU677" s="37"/>
      <c r="ILV677" s="37"/>
      <c r="ILW677" s="37"/>
      <c r="ILX677" s="37"/>
      <c r="ILY677" s="37"/>
      <c r="ILZ677" s="37"/>
      <c r="IMA677" s="37"/>
      <c r="IMB677" s="37"/>
      <c r="IMC677" s="37"/>
      <c r="IMD677" s="37"/>
      <c r="IME677" s="37"/>
      <c r="IMF677" s="37"/>
      <c r="IMG677" s="37"/>
      <c r="IMH677" s="37"/>
      <c r="IMI677" s="37"/>
      <c r="IMJ677" s="37"/>
      <c r="IMK677" s="37"/>
      <c r="IML677" s="37"/>
      <c r="IMM677" s="37"/>
      <c r="IMN677" s="37"/>
      <c r="IMO677" s="37"/>
      <c r="IMP677" s="37"/>
      <c r="IMQ677" s="37"/>
      <c r="IMR677" s="37"/>
      <c r="IMS677" s="37"/>
      <c r="IMT677" s="37"/>
      <c r="IMU677" s="37"/>
      <c r="IMV677" s="37"/>
      <c r="IMW677" s="37"/>
      <c r="IMX677" s="37"/>
      <c r="IMY677" s="37"/>
      <c r="IMZ677" s="37"/>
      <c r="INA677" s="37"/>
      <c r="INB677" s="37"/>
      <c r="INC677" s="37"/>
      <c r="IND677" s="37"/>
      <c r="INE677" s="37"/>
      <c r="INF677" s="37"/>
      <c r="ING677" s="37"/>
      <c r="INH677" s="37"/>
      <c r="INI677" s="37"/>
      <c r="INJ677" s="37"/>
      <c r="INK677" s="37"/>
      <c r="INL677" s="37"/>
      <c r="INM677" s="37"/>
      <c r="INN677" s="37"/>
      <c r="INO677" s="37"/>
      <c r="INP677" s="37"/>
      <c r="INQ677" s="37"/>
      <c r="INR677" s="37"/>
      <c r="INS677" s="37"/>
      <c r="INT677" s="37"/>
      <c r="INU677" s="37"/>
      <c r="INV677" s="37"/>
      <c r="INW677" s="37"/>
      <c r="INX677" s="37"/>
      <c r="INY677" s="37"/>
      <c r="INZ677" s="37"/>
      <c r="IOA677" s="37"/>
      <c r="IOB677" s="37"/>
      <c r="IOC677" s="37"/>
      <c r="IOD677" s="37"/>
      <c r="IOE677" s="37"/>
      <c r="IOF677" s="37"/>
      <c r="IOG677" s="37"/>
      <c r="IOH677" s="37"/>
      <c r="IOI677" s="37"/>
      <c r="IOJ677" s="37"/>
      <c r="IOK677" s="37"/>
      <c r="IOL677" s="37"/>
      <c r="IOM677" s="37"/>
      <c r="ION677" s="37"/>
      <c r="IOO677" s="37"/>
      <c r="IOP677" s="37"/>
      <c r="IOQ677" s="37"/>
      <c r="IOR677" s="37"/>
      <c r="IOS677" s="37"/>
      <c r="IOT677" s="37"/>
      <c r="IOU677" s="37"/>
      <c r="IOV677" s="37"/>
      <c r="IOW677" s="37"/>
      <c r="IOX677" s="37"/>
      <c r="IOY677" s="37"/>
      <c r="IOZ677" s="37"/>
      <c r="IPA677" s="37"/>
      <c r="IPB677" s="37"/>
      <c r="IPC677" s="37"/>
      <c r="IPD677" s="37"/>
      <c r="IPE677" s="37"/>
      <c r="IPF677" s="37"/>
      <c r="IPG677" s="37"/>
      <c r="IPH677" s="37"/>
      <c r="IPI677" s="37"/>
      <c r="IPJ677" s="37"/>
      <c r="IPK677" s="37"/>
      <c r="IPL677" s="37"/>
      <c r="IPM677" s="37"/>
      <c r="IPN677" s="37"/>
      <c r="IPO677" s="37"/>
      <c r="IPP677" s="37"/>
      <c r="IPQ677" s="37"/>
      <c r="IPR677" s="37"/>
      <c r="IPS677" s="37"/>
      <c r="IPT677" s="37"/>
      <c r="IPU677" s="37"/>
      <c r="IPV677" s="37"/>
      <c r="IPW677" s="37"/>
      <c r="IPX677" s="37"/>
      <c r="IPY677" s="37"/>
      <c r="IPZ677" s="37"/>
      <c r="IQA677" s="37"/>
      <c r="IQB677" s="37"/>
      <c r="IQC677" s="37"/>
      <c r="IQD677" s="37"/>
      <c r="IQE677" s="37"/>
      <c r="IQF677" s="37"/>
      <c r="IQG677" s="37"/>
      <c r="IQH677" s="37"/>
      <c r="IQI677" s="37"/>
      <c r="IQJ677" s="37"/>
      <c r="IQK677" s="37"/>
      <c r="IQL677" s="37"/>
      <c r="IQM677" s="37"/>
      <c r="IQN677" s="37"/>
      <c r="IQO677" s="37"/>
      <c r="IQP677" s="37"/>
      <c r="IQQ677" s="37"/>
      <c r="IQR677" s="37"/>
      <c r="IQS677" s="37"/>
      <c r="IQT677" s="37"/>
      <c r="IQU677" s="37"/>
      <c r="IQV677" s="37"/>
      <c r="IQW677" s="37"/>
      <c r="IQX677" s="37"/>
      <c r="IQY677" s="37"/>
      <c r="IQZ677" s="37"/>
      <c r="IRA677" s="37"/>
      <c r="IRB677" s="37"/>
      <c r="IRC677" s="37"/>
      <c r="IRD677" s="37"/>
      <c r="IRE677" s="37"/>
      <c r="IRF677" s="37"/>
      <c r="IRG677" s="37"/>
      <c r="IRH677" s="37"/>
      <c r="IRI677" s="37"/>
      <c r="IRJ677" s="37"/>
      <c r="IRK677" s="37"/>
      <c r="IRL677" s="37"/>
      <c r="IRM677" s="37"/>
      <c r="IRN677" s="37"/>
      <c r="IRO677" s="37"/>
      <c r="IRP677" s="37"/>
      <c r="IRQ677" s="37"/>
      <c r="IRR677" s="37"/>
      <c r="IRS677" s="37"/>
      <c r="IRT677" s="37"/>
      <c r="IRU677" s="37"/>
      <c r="IRV677" s="37"/>
      <c r="IRW677" s="37"/>
      <c r="IRX677" s="37"/>
      <c r="IRY677" s="37"/>
      <c r="IRZ677" s="37"/>
      <c r="ISA677" s="37"/>
      <c r="ISB677" s="37"/>
      <c r="ISC677" s="37"/>
      <c r="ISD677" s="37"/>
      <c r="ISE677" s="37"/>
      <c r="ISF677" s="37"/>
      <c r="ISG677" s="37"/>
      <c r="ISH677" s="37"/>
      <c r="ISI677" s="37"/>
      <c r="ISJ677" s="37"/>
      <c r="ISK677" s="37"/>
      <c r="ISL677" s="37"/>
      <c r="ISM677" s="37"/>
      <c r="ISN677" s="37"/>
      <c r="ISO677" s="37"/>
      <c r="ISP677" s="37"/>
      <c r="ISQ677" s="37"/>
      <c r="ISR677" s="37"/>
      <c r="ISS677" s="37"/>
      <c r="IST677" s="37"/>
      <c r="ISU677" s="37"/>
      <c r="ISV677" s="37"/>
      <c r="ISW677" s="37"/>
      <c r="ISX677" s="37"/>
      <c r="ISY677" s="37"/>
      <c r="ISZ677" s="37"/>
      <c r="ITA677" s="37"/>
      <c r="ITB677" s="37"/>
      <c r="ITC677" s="37"/>
      <c r="ITD677" s="37"/>
      <c r="ITE677" s="37"/>
      <c r="ITF677" s="37"/>
      <c r="ITG677" s="37"/>
      <c r="ITH677" s="37"/>
      <c r="ITI677" s="37"/>
      <c r="ITJ677" s="37"/>
      <c r="ITK677" s="37"/>
      <c r="ITL677" s="37"/>
      <c r="ITM677" s="37"/>
      <c r="ITN677" s="37"/>
      <c r="ITO677" s="37"/>
      <c r="ITP677" s="37"/>
      <c r="ITQ677" s="37"/>
      <c r="ITR677" s="37"/>
      <c r="ITS677" s="37"/>
      <c r="ITT677" s="37"/>
      <c r="ITU677" s="37"/>
      <c r="ITV677" s="37"/>
      <c r="ITW677" s="37"/>
      <c r="ITX677" s="37"/>
      <c r="ITY677" s="37"/>
      <c r="ITZ677" s="37"/>
      <c r="IUA677" s="37"/>
      <c r="IUB677" s="37"/>
      <c r="IUC677" s="37"/>
      <c r="IUD677" s="37"/>
      <c r="IUE677" s="37"/>
      <c r="IUF677" s="37"/>
      <c r="IUG677" s="37"/>
      <c r="IUH677" s="37"/>
      <c r="IUI677" s="37"/>
      <c r="IUJ677" s="37"/>
      <c r="IUK677" s="37"/>
      <c r="IUL677" s="37"/>
      <c r="IUM677" s="37"/>
      <c r="IUN677" s="37"/>
      <c r="IUO677" s="37"/>
      <c r="IUP677" s="37"/>
      <c r="IUQ677" s="37"/>
      <c r="IUR677" s="37"/>
      <c r="IUS677" s="37"/>
      <c r="IUT677" s="37"/>
      <c r="IUU677" s="37"/>
      <c r="IUV677" s="37"/>
      <c r="IUW677" s="37"/>
      <c r="IUX677" s="37"/>
      <c r="IUY677" s="37"/>
      <c r="IUZ677" s="37"/>
      <c r="IVA677" s="37"/>
      <c r="IVB677" s="37"/>
      <c r="IVC677" s="37"/>
      <c r="IVD677" s="37"/>
      <c r="IVE677" s="37"/>
      <c r="IVF677" s="37"/>
      <c r="IVG677" s="37"/>
      <c r="IVH677" s="37"/>
      <c r="IVI677" s="37"/>
      <c r="IVJ677" s="37"/>
      <c r="IVK677" s="37"/>
      <c r="IVL677" s="37"/>
      <c r="IVM677" s="37"/>
      <c r="IVN677" s="37"/>
      <c r="IVO677" s="37"/>
      <c r="IVP677" s="37"/>
      <c r="IVQ677" s="37"/>
      <c r="IVR677" s="37"/>
      <c r="IVS677" s="37"/>
      <c r="IVT677" s="37"/>
      <c r="IVU677" s="37"/>
      <c r="IVV677" s="37"/>
      <c r="IVW677" s="37"/>
      <c r="IVX677" s="37"/>
      <c r="IVY677" s="37"/>
      <c r="IVZ677" s="37"/>
      <c r="IWA677" s="37"/>
      <c r="IWB677" s="37"/>
      <c r="IWC677" s="37"/>
      <c r="IWD677" s="37"/>
      <c r="IWE677" s="37"/>
      <c r="IWF677" s="37"/>
      <c r="IWG677" s="37"/>
      <c r="IWH677" s="37"/>
      <c r="IWI677" s="37"/>
      <c r="IWJ677" s="37"/>
      <c r="IWK677" s="37"/>
      <c r="IWL677" s="37"/>
      <c r="IWM677" s="37"/>
      <c r="IWN677" s="37"/>
      <c r="IWO677" s="37"/>
      <c r="IWP677" s="37"/>
      <c r="IWQ677" s="37"/>
      <c r="IWR677" s="37"/>
      <c r="IWS677" s="37"/>
      <c r="IWT677" s="37"/>
      <c r="IWU677" s="37"/>
      <c r="IWV677" s="37"/>
      <c r="IWW677" s="37"/>
      <c r="IWX677" s="37"/>
      <c r="IWY677" s="37"/>
      <c r="IWZ677" s="37"/>
      <c r="IXA677" s="37"/>
      <c r="IXB677" s="37"/>
      <c r="IXC677" s="37"/>
      <c r="IXD677" s="37"/>
      <c r="IXE677" s="37"/>
      <c r="IXF677" s="37"/>
      <c r="IXG677" s="37"/>
      <c r="IXH677" s="37"/>
      <c r="IXI677" s="37"/>
      <c r="IXJ677" s="37"/>
      <c r="IXK677" s="37"/>
      <c r="IXL677" s="37"/>
      <c r="IXM677" s="37"/>
      <c r="IXN677" s="37"/>
      <c r="IXO677" s="37"/>
      <c r="IXP677" s="37"/>
      <c r="IXQ677" s="37"/>
      <c r="IXR677" s="37"/>
      <c r="IXS677" s="37"/>
      <c r="IXT677" s="37"/>
      <c r="IXU677" s="37"/>
      <c r="IXV677" s="37"/>
      <c r="IXW677" s="37"/>
      <c r="IXX677" s="37"/>
      <c r="IXY677" s="37"/>
      <c r="IXZ677" s="37"/>
      <c r="IYA677" s="37"/>
      <c r="IYB677" s="37"/>
      <c r="IYC677" s="37"/>
      <c r="IYD677" s="37"/>
      <c r="IYE677" s="37"/>
      <c r="IYF677" s="37"/>
      <c r="IYG677" s="37"/>
      <c r="IYH677" s="37"/>
      <c r="IYI677" s="37"/>
      <c r="IYJ677" s="37"/>
      <c r="IYK677" s="37"/>
      <c r="IYL677" s="37"/>
      <c r="IYM677" s="37"/>
      <c r="IYN677" s="37"/>
      <c r="IYO677" s="37"/>
      <c r="IYP677" s="37"/>
      <c r="IYQ677" s="37"/>
      <c r="IYR677" s="37"/>
      <c r="IYS677" s="37"/>
      <c r="IYT677" s="37"/>
      <c r="IYU677" s="37"/>
      <c r="IYV677" s="37"/>
      <c r="IYW677" s="37"/>
      <c r="IYX677" s="37"/>
      <c r="IYY677" s="37"/>
      <c r="IYZ677" s="37"/>
      <c r="IZA677" s="37"/>
      <c r="IZB677" s="37"/>
      <c r="IZC677" s="37"/>
      <c r="IZD677" s="37"/>
      <c r="IZE677" s="37"/>
      <c r="IZF677" s="37"/>
      <c r="IZG677" s="37"/>
      <c r="IZH677" s="37"/>
      <c r="IZI677" s="37"/>
      <c r="IZJ677" s="37"/>
      <c r="IZK677" s="37"/>
      <c r="IZL677" s="37"/>
      <c r="IZM677" s="37"/>
      <c r="IZN677" s="37"/>
      <c r="IZO677" s="37"/>
      <c r="IZP677" s="37"/>
      <c r="IZQ677" s="37"/>
      <c r="IZR677" s="37"/>
      <c r="IZS677" s="37"/>
      <c r="IZT677" s="37"/>
      <c r="IZU677" s="37"/>
      <c r="IZV677" s="37"/>
      <c r="IZW677" s="37"/>
      <c r="IZX677" s="37"/>
      <c r="IZY677" s="37"/>
      <c r="IZZ677" s="37"/>
      <c r="JAA677" s="37"/>
      <c r="JAB677" s="37"/>
      <c r="JAC677" s="37"/>
      <c r="JAD677" s="37"/>
      <c r="JAE677" s="37"/>
      <c r="JAF677" s="37"/>
      <c r="JAG677" s="37"/>
      <c r="JAH677" s="37"/>
      <c r="JAI677" s="37"/>
      <c r="JAJ677" s="37"/>
      <c r="JAK677" s="37"/>
      <c r="JAL677" s="37"/>
      <c r="JAM677" s="37"/>
      <c r="JAN677" s="37"/>
      <c r="JAO677" s="37"/>
      <c r="JAP677" s="37"/>
      <c r="JAQ677" s="37"/>
      <c r="JAR677" s="37"/>
      <c r="JAS677" s="37"/>
      <c r="JAT677" s="37"/>
      <c r="JAU677" s="37"/>
      <c r="JAV677" s="37"/>
      <c r="JAW677" s="37"/>
      <c r="JAX677" s="37"/>
      <c r="JAY677" s="37"/>
      <c r="JAZ677" s="37"/>
      <c r="JBA677" s="37"/>
      <c r="JBB677" s="37"/>
      <c r="JBC677" s="37"/>
      <c r="JBD677" s="37"/>
      <c r="JBE677" s="37"/>
      <c r="JBF677" s="37"/>
      <c r="JBG677" s="37"/>
      <c r="JBH677" s="37"/>
      <c r="JBI677" s="37"/>
      <c r="JBJ677" s="37"/>
      <c r="JBK677" s="37"/>
      <c r="JBL677" s="37"/>
      <c r="JBM677" s="37"/>
      <c r="JBN677" s="37"/>
      <c r="JBO677" s="37"/>
      <c r="JBP677" s="37"/>
      <c r="JBQ677" s="37"/>
      <c r="JBR677" s="37"/>
      <c r="JBS677" s="37"/>
      <c r="JBT677" s="37"/>
      <c r="JBU677" s="37"/>
      <c r="JBV677" s="37"/>
      <c r="JBW677" s="37"/>
      <c r="JBX677" s="37"/>
      <c r="JBY677" s="37"/>
      <c r="JBZ677" s="37"/>
      <c r="JCA677" s="37"/>
      <c r="JCB677" s="37"/>
      <c r="JCC677" s="37"/>
      <c r="JCD677" s="37"/>
      <c r="JCE677" s="37"/>
      <c r="JCF677" s="37"/>
      <c r="JCG677" s="37"/>
      <c r="JCH677" s="37"/>
      <c r="JCI677" s="37"/>
      <c r="JCJ677" s="37"/>
      <c r="JCK677" s="37"/>
      <c r="JCL677" s="37"/>
      <c r="JCM677" s="37"/>
      <c r="JCN677" s="37"/>
      <c r="JCO677" s="37"/>
      <c r="JCP677" s="37"/>
      <c r="JCQ677" s="37"/>
      <c r="JCR677" s="37"/>
      <c r="JCS677" s="37"/>
      <c r="JCT677" s="37"/>
      <c r="JCU677" s="37"/>
      <c r="JCV677" s="37"/>
      <c r="JCW677" s="37"/>
      <c r="JCX677" s="37"/>
      <c r="JCY677" s="37"/>
      <c r="JCZ677" s="37"/>
      <c r="JDA677" s="37"/>
      <c r="JDB677" s="37"/>
      <c r="JDC677" s="37"/>
      <c r="JDD677" s="37"/>
      <c r="JDE677" s="37"/>
      <c r="JDF677" s="37"/>
      <c r="JDG677" s="37"/>
      <c r="JDH677" s="37"/>
      <c r="JDI677" s="37"/>
      <c r="JDJ677" s="37"/>
      <c r="JDK677" s="37"/>
      <c r="JDL677" s="37"/>
      <c r="JDM677" s="37"/>
      <c r="JDN677" s="37"/>
      <c r="JDO677" s="37"/>
      <c r="JDP677" s="37"/>
      <c r="JDQ677" s="37"/>
      <c r="JDR677" s="37"/>
      <c r="JDS677" s="37"/>
      <c r="JDT677" s="37"/>
      <c r="JDU677" s="37"/>
      <c r="JDV677" s="37"/>
      <c r="JDW677" s="37"/>
      <c r="JDX677" s="37"/>
      <c r="JDY677" s="37"/>
      <c r="JDZ677" s="37"/>
      <c r="JEA677" s="37"/>
      <c r="JEB677" s="37"/>
      <c r="JEC677" s="37"/>
      <c r="JED677" s="37"/>
      <c r="JEE677" s="37"/>
      <c r="JEF677" s="37"/>
      <c r="JEG677" s="37"/>
      <c r="JEH677" s="37"/>
      <c r="JEI677" s="37"/>
      <c r="JEJ677" s="37"/>
      <c r="JEK677" s="37"/>
      <c r="JEL677" s="37"/>
      <c r="JEM677" s="37"/>
      <c r="JEN677" s="37"/>
      <c r="JEO677" s="37"/>
      <c r="JEP677" s="37"/>
      <c r="JEQ677" s="37"/>
      <c r="JER677" s="37"/>
      <c r="JES677" s="37"/>
      <c r="JET677" s="37"/>
      <c r="JEU677" s="37"/>
      <c r="JEV677" s="37"/>
      <c r="JEW677" s="37"/>
      <c r="JEX677" s="37"/>
      <c r="JEY677" s="37"/>
      <c r="JEZ677" s="37"/>
      <c r="JFA677" s="37"/>
      <c r="JFB677" s="37"/>
      <c r="JFC677" s="37"/>
      <c r="JFD677" s="37"/>
      <c r="JFE677" s="37"/>
      <c r="JFF677" s="37"/>
      <c r="JFG677" s="37"/>
      <c r="JFH677" s="37"/>
      <c r="JFI677" s="37"/>
      <c r="JFJ677" s="37"/>
      <c r="JFK677" s="37"/>
      <c r="JFL677" s="37"/>
      <c r="JFM677" s="37"/>
      <c r="JFN677" s="37"/>
      <c r="JFO677" s="37"/>
      <c r="JFP677" s="37"/>
      <c r="JFQ677" s="37"/>
      <c r="JFR677" s="37"/>
      <c r="JFS677" s="37"/>
      <c r="JFT677" s="37"/>
      <c r="JFU677" s="37"/>
      <c r="JFV677" s="37"/>
      <c r="JFW677" s="37"/>
      <c r="JFX677" s="37"/>
      <c r="JFY677" s="37"/>
      <c r="JFZ677" s="37"/>
      <c r="JGA677" s="37"/>
      <c r="JGB677" s="37"/>
      <c r="JGC677" s="37"/>
      <c r="JGD677" s="37"/>
      <c r="JGE677" s="37"/>
      <c r="JGF677" s="37"/>
      <c r="JGG677" s="37"/>
      <c r="JGH677" s="37"/>
      <c r="JGI677" s="37"/>
      <c r="JGJ677" s="37"/>
      <c r="JGK677" s="37"/>
      <c r="JGL677" s="37"/>
      <c r="JGM677" s="37"/>
      <c r="JGN677" s="37"/>
      <c r="JGO677" s="37"/>
      <c r="JGP677" s="37"/>
      <c r="JGQ677" s="37"/>
      <c r="JGR677" s="37"/>
      <c r="JGS677" s="37"/>
      <c r="JGT677" s="37"/>
      <c r="JGU677" s="37"/>
      <c r="JGV677" s="37"/>
      <c r="JGW677" s="37"/>
      <c r="JGX677" s="37"/>
      <c r="JGY677" s="37"/>
      <c r="JGZ677" s="37"/>
      <c r="JHA677" s="37"/>
      <c r="JHB677" s="37"/>
      <c r="JHC677" s="37"/>
      <c r="JHD677" s="37"/>
      <c r="JHE677" s="37"/>
      <c r="JHF677" s="37"/>
      <c r="JHG677" s="37"/>
      <c r="JHH677" s="37"/>
      <c r="JHI677" s="37"/>
      <c r="JHJ677" s="37"/>
      <c r="JHK677" s="37"/>
      <c r="JHL677" s="37"/>
      <c r="JHM677" s="37"/>
      <c r="JHN677" s="37"/>
      <c r="JHO677" s="37"/>
      <c r="JHP677" s="37"/>
      <c r="JHQ677" s="37"/>
      <c r="JHR677" s="37"/>
      <c r="JHS677" s="37"/>
      <c r="JHT677" s="37"/>
      <c r="JHU677" s="37"/>
      <c r="JHV677" s="37"/>
      <c r="JHW677" s="37"/>
      <c r="JHX677" s="37"/>
      <c r="JHY677" s="37"/>
      <c r="JHZ677" s="37"/>
      <c r="JIA677" s="37"/>
      <c r="JIB677" s="37"/>
      <c r="JIC677" s="37"/>
      <c r="JID677" s="37"/>
      <c r="JIE677" s="37"/>
      <c r="JIF677" s="37"/>
      <c r="JIG677" s="37"/>
      <c r="JIH677" s="37"/>
      <c r="JII677" s="37"/>
      <c r="JIJ677" s="37"/>
      <c r="JIK677" s="37"/>
      <c r="JIL677" s="37"/>
      <c r="JIM677" s="37"/>
      <c r="JIN677" s="37"/>
      <c r="JIO677" s="37"/>
      <c r="JIP677" s="37"/>
      <c r="JIQ677" s="37"/>
      <c r="JIR677" s="37"/>
      <c r="JIS677" s="37"/>
      <c r="JIT677" s="37"/>
      <c r="JIU677" s="37"/>
      <c r="JIV677" s="37"/>
      <c r="JIW677" s="37"/>
      <c r="JIX677" s="37"/>
      <c r="JIY677" s="37"/>
      <c r="JIZ677" s="37"/>
      <c r="JJA677" s="37"/>
      <c r="JJB677" s="37"/>
      <c r="JJC677" s="37"/>
      <c r="JJD677" s="37"/>
      <c r="JJE677" s="37"/>
      <c r="JJF677" s="37"/>
      <c r="JJG677" s="37"/>
      <c r="JJH677" s="37"/>
      <c r="JJI677" s="37"/>
      <c r="JJJ677" s="37"/>
      <c r="JJK677" s="37"/>
      <c r="JJL677" s="37"/>
      <c r="JJM677" s="37"/>
      <c r="JJN677" s="37"/>
      <c r="JJO677" s="37"/>
      <c r="JJP677" s="37"/>
      <c r="JJQ677" s="37"/>
      <c r="JJR677" s="37"/>
      <c r="JJS677" s="37"/>
      <c r="JJT677" s="37"/>
      <c r="JJU677" s="37"/>
      <c r="JJV677" s="37"/>
      <c r="JJW677" s="37"/>
      <c r="JJX677" s="37"/>
      <c r="JJY677" s="37"/>
      <c r="JJZ677" s="37"/>
      <c r="JKA677" s="37"/>
      <c r="JKB677" s="37"/>
      <c r="JKC677" s="37"/>
      <c r="JKD677" s="37"/>
      <c r="JKE677" s="37"/>
      <c r="JKF677" s="37"/>
      <c r="JKG677" s="37"/>
      <c r="JKH677" s="37"/>
      <c r="JKI677" s="37"/>
      <c r="JKJ677" s="37"/>
      <c r="JKK677" s="37"/>
      <c r="JKL677" s="37"/>
      <c r="JKM677" s="37"/>
      <c r="JKN677" s="37"/>
      <c r="JKO677" s="37"/>
      <c r="JKP677" s="37"/>
      <c r="JKQ677" s="37"/>
      <c r="JKR677" s="37"/>
      <c r="JKS677" s="37"/>
      <c r="JKT677" s="37"/>
      <c r="JKU677" s="37"/>
      <c r="JKV677" s="37"/>
      <c r="JKW677" s="37"/>
      <c r="JKX677" s="37"/>
      <c r="JKY677" s="37"/>
      <c r="JKZ677" s="37"/>
      <c r="JLA677" s="37"/>
      <c r="JLB677" s="37"/>
      <c r="JLC677" s="37"/>
      <c r="JLD677" s="37"/>
      <c r="JLE677" s="37"/>
      <c r="JLF677" s="37"/>
      <c r="JLG677" s="37"/>
      <c r="JLH677" s="37"/>
      <c r="JLI677" s="37"/>
      <c r="JLJ677" s="37"/>
      <c r="JLK677" s="37"/>
      <c r="JLL677" s="37"/>
      <c r="JLM677" s="37"/>
      <c r="JLN677" s="37"/>
      <c r="JLO677" s="37"/>
      <c r="JLP677" s="37"/>
      <c r="JLQ677" s="37"/>
      <c r="JLR677" s="37"/>
      <c r="JLS677" s="37"/>
      <c r="JLT677" s="37"/>
      <c r="JLU677" s="37"/>
      <c r="JLV677" s="37"/>
      <c r="JLW677" s="37"/>
      <c r="JLX677" s="37"/>
      <c r="JLY677" s="37"/>
      <c r="JLZ677" s="37"/>
      <c r="JMA677" s="37"/>
      <c r="JMB677" s="37"/>
      <c r="JMC677" s="37"/>
      <c r="JMD677" s="37"/>
      <c r="JME677" s="37"/>
      <c r="JMF677" s="37"/>
      <c r="JMG677" s="37"/>
      <c r="JMH677" s="37"/>
      <c r="JMI677" s="37"/>
      <c r="JMJ677" s="37"/>
      <c r="JMK677" s="37"/>
      <c r="JML677" s="37"/>
      <c r="JMM677" s="37"/>
      <c r="JMN677" s="37"/>
      <c r="JMO677" s="37"/>
      <c r="JMP677" s="37"/>
      <c r="JMQ677" s="37"/>
      <c r="JMR677" s="37"/>
      <c r="JMS677" s="37"/>
      <c r="JMT677" s="37"/>
      <c r="JMU677" s="37"/>
      <c r="JMV677" s="37"/>
      <c r="JMW677" s="37"/>
      <c r="JMX677" s="37"/>
      <c r="JMY677" s="37"/>
      <c r="JMZ677" s="37"/>
      <c r="JNA677" s="37"/>
      <c r="JNB677" s="37"/>
      <c r="JNC677" s="37"/>
      <c r="JND677" s="37"/>
      <c r="JNE677" s="37"/>
      <c r="JNF677" s="37"/>
      <c r="JNG677" s="37"/>
      <c r="JNH677" s="37"/>
      <c r="JNI677" s="37"/>
      <c r="JNJ677" s="37"/>
      <c r="JNK677" s="37"/>
      <c r="JNL677" s="37"/>
      <c r="JNM677" s="37"/>
      <c r="JNN677" s="37"/>
      <c r="JNO677" s="37"/>
      <c r="JNP677" s="37"/>
      <c r="JNQ677" s="37"/>
      <c r="JNR677" s="37"/>
      <c r="JNS677" s="37"/>
      <c r="JNT677" s="37"/>
      <c r="JNU677" s="37"/>
      <c r="JNV677" s="37"/>
      <c r="JNW677" s="37"/>
      <c r="JNX677" s="37"/>
      <c r="JNY677" s="37"/>
      <c r="JNZ677" s="37"/>
      <c r="JOA677" s="37"/>
      <c r="JOB677" s="37"/>
      <c r="JOC677" s="37"/>
      <c r="JOD677" s="37"/>
      <c r="JOE677" s="37"/>
      <c r="JOF677" s="37"/>
      <c r="JOG677" s="37"/>
      <c r="JOH677" s="37"/>
      <c r="JOI677" s="37"/>
      <c r="JOJ677" s="37"/>
      <c r="JOK677" s="37"/>
      <c r="JOL677" s="37"/>
      <c r="JOM677" s="37"/>
      <c r="JON677" s="37"/>
      <c r="JOO677" s="37"/>
      <c r="JOP677" s="37"/>
      <c r="JOQ677" s="37"/>
      <c r="JOR677" s="37"/>
      <c r="JOS677" s="37"/>
      <c r="JOT677" s="37"/>
      <c r="JOU677" s="37"/>
      <c r="JOV677" s="37"/>
      <c r="JOW677" s="37"/>
      <c r="JOX677" s="37"/>
      <c r="JOY677" s="37"/>
      <c r="JOZ677" s="37"/>
      <c r="JPA677" s="37"/>
      <c r="JPB677" s="37"/>
      <c r="JPC677" s="37"/>
      <c r="JPD677" s="37"/>
      <c r="JPE677" s="37"/>
      <c r="JPF677" s="37"/>
      <c r="JPG677" s="37"/>
      <c r="JPH677" s="37"/>
      <c r="JPI677" s="37"/>
      <c r="JPJ677" s="37"/>
      <c r="JPK677" s="37"/>
      <c r="JPL677" s="37"/>
      <c r="JPM677" s="37"/>
      <c r="JPN677" s="37"/>
      <c r="JPO677" s="37"/>
      <c r="JPP677" s="37"/>
      <c r="JPQ677" s="37"/>
      <c r="JPR677" s="37"/>
      <c r="JPS677" s="37"/>
      <c r="JPT677" s="37"/>
      <c r="JPU677" s="37"/>
      <c r="JPV677" s="37"/>
      <c r="JPW677" s="37"/>
      <c r="JPX677" s="37"/>
      <c r="JPY677" s="37"/>
      <c r="JPZ677" s="37"/>
      <c r="JQA677" s="37"/>
      <c r="JQB677" s="37"/>
      <c r="JQC677" s="37"/>
      <c r="JQD677" s="37"/>
      <c r="JQE677" s="37"/>
      <c r="JQF677" s="37"/>
      <c r="JQG677" s="37"/>
      <c r="JQH677" s="37"/>
      <c r="JQI677" s="37"/>
      <c r="JQJ677" s="37"/>
      <c r="JQK677" s="37"/>
      <c r="JQL677" s="37"/>
      <c r="JQM677" s="37"/>
      <c r="JQN677" s="37"/>
      <c r="JQO677" s="37"/>
      <c r="JQP677" s="37"/>
      <c r="JQQ677" s="37"/>
      <c r="JQR677" s="37"/>
      <c r="JQS677" s="37"/>
      <c r="JQT677" s="37"/>
      <c r="JQU677" s="37"/>
      <c r="JQV677" s="37"/>
      <c r="JQW677" s="37"/>
      <c r="JQX677" s="37"/>
      <c r="JQY677" s="37"/>
      <c r="JQZ677" s="37"/>
      <c r="JRA677" s="37"/>
      <c r="JRB677" s="37"/>
      <c r="JRC677" s="37"/>
      <c r="JRD677" s="37"/>
      <c r="JRE677" s="37"/>
      <c r="JRF677" s="37"/>
      <c r="JRG677" s="37"/>
      <c r="JRH677" s="37"/>
      <c r="JRI677" s="37"/>
      <c r="JRJ677" s="37"/>
      <c r="JRK677" s="37"/>
      <c r="JRL677" s="37"/>
      <c r="JRM677" s="37"/>
      <c r="JRN677" s="37"/>
      <c r="JRO677" s="37"/>
      <c r="JRP677" s="37"/>
      <c r="JRQ677" s="37"/>
      <c r="JRR677" s="37"/>
      <c r="JRS677" s="37"/>
      <c r="JRT677" s="37"/>
      <c r="JRU677" s="37"/>
      <c r="JRV677" s="37"/>
      <c r="JRW677" s="37"/>
      <c r="JRX677" s="37"/>
      <c r="JRY677" s="37"/>
      <c r="JRZ677" s="37"/>
      <c r="JSA677" s="37"/>
      <c r="JSB677" s="37"/>
      <c r="JSC677" s="37"/>
      <c r="JSD677" s="37"/>
      <c r="JSE677" s="37"/>
      <c r="JSF677" s="37"/>
      <c r="JSG677" s="37"/>
      <c r="JSH677" s="37"/>
      <c r="JSI677" s="37"/>
      <c r="JSJ677" s="37"/>
      <c r="JSK677" s="37"/>
      <c r="JSL677" s="37"/>
      <c r="JSM677" s="37"/>
      <c r="JSN677" s="37"/>
      <c r="JSO677" s="37"/>
      <c r="JSP677" s="37"/>
      <c r="JSQ677" s="37"/>
      <c r="JSR677" s="37"/>
      <c r="JSS677" s="37"/>
      <c r="JST677" s="37"/>
      <c r="JSU677" s="37"/>
      <c r="JSV677" s="37"/>
      <c r="JSW677" s="37"/>
      <c r="JSX677" s="37"/>
      <c r="JSY677" s="37"/>
      <c r="JSZ677" s="37"/>
      <c r="JTA677" s="37"/>
      <c r="JTB677" s="37"/>
      <c r="JTC677" s="37"/>
      <c r="JTD677" s="37"/>
      <c r="JTE677" s="37"/>
      <c r="JTF677" s="37"/>
      <c r="JTG677" s="37"/>
      <c r="JTH677" s="37"/>
      <c r="JTI677" s="37"/>
      <c r="JTJ677" s="37"/>
      <c r="JTK677" s="37"/>
      <c r="JTL677" s="37"/>
      <c r="JTM677" s="37"/>
      <c r="JTN677" s="37"/>
      <c r="JTO677" s="37"/>
      <c r="JTP677" s="37"/>
      <c r="JTQ677" s="37"/>
      <c r="JTR677" s="37"/>
      <c r="JTS677" s="37"/>
      <c r="JTT677" s="37"/>
      <c r="JTU677" s="37"/>
      <c r="JTV677" s="37"/>
      <c r="JTW677" s="37"/>
      <c r="JTX677" s="37"/>
      <c r="JTY677" s="37"/>
      <c r="JTZ677" s="37"/>
      <c r="JUA677" s="37"/>
      <c r="JUB677" s="37"/>
      <c r="JUC677" s="37"/>
      <c r="JUD677" s="37"/>
      <c r="JUE677" s="37"/>
      <c r="JUF677" s="37"/>
      <c r="JUG677" s="37"/>
      <c r="JUH677" s="37"/>
      <c r="JUI677" s="37"/>
      <c r="JUJ677" s="37"/>
      <c r="JUK677" s="37"/>
      <c r="JUL677" s="37"/>
      <c r="JUM677" s="37"/>
      <c r="JUN677" s="37"/>
      <c r="JUO677" s="37"/>
      <c r="JUP677" s="37"/>
      <c r="JUQ677" s="37"/>
      <c r="JUR677" s="37"/>
      <c r="JUS677" s="37"/>
      <c r="JUT677" s="37"/>
      <c r="JUU677" s="37"/>
      <c r="JUV677" s="37"/>
      <c r="JUW677" s="37"/>
      <c r="JUX677" s="37"/>
      <c r="JUY677" s="37"/>
      <c r="JUZ677" s="37"/>
      <c r="JVA677" s="37"/>
      <c r="JVB677" s="37"/>
      <c r="JVC677" s="37"/>
      <c r="JVD677" s="37"/>
      <c r="JVE677" s="37"/>
      <c r="JVF677" s="37"/>
      <c r="JVG677" s="37"/>
      <c r="JVH677" s="37"/>
      <c r="JVI677" s="37"/>
      <c r="JVJ677" s="37"/>
      <c r="JVK677" s="37"/>
      <c r="JVL677" s="37"/>
      <c r="JVM677" s="37"/>
      <c r="JVN677" s="37"/>
      <c r="JVO677" s="37"/>
      <c r="JVP677" s="37"/>
      <c r="JVQ677" s="37"/>
      <c r="JVR677" s="37"/>
      <c r="JVS677" s="37"/>
      <c r="JVT677" s="37"/>
      <c r="JVU677" s="37"/>
      <c r="JVV677" s="37"/>
      <c r="JVW677" s="37"/>
      <c r="JVX677" s="37"/>
      <c r="JVY677" s="37"/>
      <c r="JVZ677" s="37"/>
      <c r="JWA677" s="37"/>
      <c r="JWB677" s="37"/>
      <c r="JWC677" s="37"/>
      <c r="JWD677" s="37"/>
      <c r="JWE677" s="37"/>
      <c r="JWF677" s="37"/>
      <c r="JWG677" s="37"/>
      <c r="JWH677" s="37"/>
      <c r="JWI677" s="37"/>
      <c r="JWJ677" s="37"/>
      <c r="JWK677" s="37"/>
      <c r="JWL677" s="37"/>
      <c r="JWM677" s="37"/>
      <c r="JWN677" s="37"/>
      <c r="JWO677" s="37"/>
      <c r="JWP677" s="37"/>
      <c r="JWQ677" s="37"/>
      <c r="JWR677" s="37"/>
      <c r="JWS677" s="37"/>
      <c r="JWT677" s="37"/>
      <c r="JWU677" s="37"/>
      <c r="JWV677" s="37"/>
      <c r="JWW677" s="37"/>
      <c r="JWX677" s="37"/>
      <c r="JWY677" s="37"/>
      <c r="JWZ677" s="37"/>
      <c r="JXA677" s="37"/>
      <c r="JXB677" s="37"/>
      <c r="JXC677" s="37"/>
      <c r="JXD677" s="37"/>
      <c r="JXE677" s="37"/>
      <c r="JXF677" s="37"/>
      <c r="JXG677" s="37"/>
      <c r="JXH677" s="37"/>
      <c r="JXI677" s="37"/>
      <c r="JXJ677" s="37"/>
      <c r="JXK677" s="37"/>
      <c r="JXL677" s="37"/>
      <c r="JXM677" s="37"/>
      <c r="JXN677" s="37"/>
      <c r="JXO677" s="37"/>
      <c r="JXP677" s="37"/>
      <c r="JXQ677" s="37"/>
      <c r="JXR677" s="37"/>
      <c r="JXS677" s="37"/>
      <c r="JXT677" s="37"/>
      <c r="JXU677" s="37"/>
      <c r="JXV677" s="37"/>
      <c r="JXW677" s="37"/>
      <c r="JXX677" s="37"/>
      <c r="JXY677" s="37"/>
      <c r="JXZ677" s="37"/>
      <c r="JYA677" s="37"/>
      <c r="JYB677" s="37"/>
      <c r="JYC677" s="37"/>
      <c r="JYD677" s="37"/>
      <c r="JYE677" s="37"/>
      <c r="JYF677" s="37"/>
      <c r="JYG677" s="37"/>
      <c r="JYH677" s="37"/>
      <c r="JYI677" s="37"/>
      <c r="JYJ677" s="37"/>
      <c r="JYK677" s="37"/>
      <c r="JYL677" s="37"/>
      <c r="JYM677" s="37"/>
      <c r="JYN677" s="37"/>
      <c r="JYO677" s="37"/>
      <c r="JYP677" s="37"/>
      <c r="JYQ677" s="37"/>
      <c r="JYR677" s="37"/>
      <c r="JYS677" s="37"/>
      <c r="JYT677" s="37"/>
      <c r="JYU677" s="37"/>
      <c r="JYV677" s="37"/>
      <c r="JYW677" s="37"/>
      <c r="JYX677" s="37"/>
      <c r="JYY677" s="37"/>
      <c r="JYZ677" s="37"/>
      <c r="JZA677" s="37"/>
      <c r="JZB677" s="37"/>
      <c r="JZC677" s="37"/>
      <c r="JZD677" s="37"/>
      <c r="JZE677" s="37"/>
      <c r="JZF677" s="37"/>
      <c r="JZG677" s="37"/>
      <c r="JZH677" s="37"/>
      <c r="JZI677" s="37"/>
      <c r="JZJ677" s="37"/>
      <c r="JZK677" s="37"/>
      <c r="JZL677" s="37"/>
      <c r="JZM677" s="37"/>
      <c r="JZN677" s="37"/>
      <c r="JZO677" s="37"/>
      <c r="JZP677" s="37"/>
      <c r="JZQ677" s="37"/>
      <c r="JZR677" s="37"/>
      <c r="JZS677" s="37"/>
      <c r="JZT677" s="37"/>
      <c r="JZU677" s="37"/>
      <c r="JZV677" s="37"/>
      <c r="JZW677" s="37"/>
      <c r="JZX677" s="37"/>
      <c r="JZY677" s="37"/>
      <c r="JZZ677" s="37"/>
      <c r="KAA677" s="37"/>
      <c r="KAB677" s="37"/>
      <c r="KAC677" s="37"/>
      <c r="KAD677" s="37"/>
      <c r="KAE677" s="37"/>
      <c r="KAF677" s="37"/>
      <c r="KAG677" s="37"/>
      <c r="KAH677" s="37"/>
      <c r="KAI677" s="37"/>
      <c r="KAJ677" s="37"/>
      <c r="KAK677" s="37"/>
      <c r="KAL677" s="37"/>
      <c r="KAM677" s="37"/>
      <c r="KAN677" s="37"/>
      <c r="KAO677" s="37"/>
      <c r="KAP677" s="37"/>
      <c r="KAQ677" s="37"/>
      <c r="KAR677" s="37"/>
      <c r="KAS677" s="37"/>
      <c r="KAT677" s="37"/>
      <c r="KAU677" s="37"/>
      <c r="KAV677" s="37"/>
      <c r="KAW677" s="37"/>
      <c r="KAX677" s="37"/>
      <c r="KAY677" s="37"/>
      <c r="KAZ677" s="37"/>
      <c r="KBA677" s="37"/>
      <c r="KBB677" s="37"/>
      <c r="KBC677" s="37"/>
      <c r="KBD677" s="37"/>
      <c r="KBE677" s="37"/>
      <c r="KBF677" s="37"/>
      <c r="KBG677" s="37"/>
      <c r="KBH677" s="37"/>
      <c r="KBI677" s="37"/>
      <c r="KBJ677" s="37"/>
      <c r="KBK677" s="37"/>
      <c r="KBL677" s="37"/>
      <c r="KBM677" s="37"/>
      <c r="KBN677" s="37"/>
      <c r="KBO677" s="37"/>
      <c r="KBP677" s="37"/>
      <c r="KBQ677" s="37"/>
      <c r="KBR677" s="37"/>
      <c r="KBS677" s="37"/>
      <c r="KBT677" s="37"/>
      <c r="KBU677" s="37"/>
      <c r="KBV677" s="37"/>
      <c r="KBW677" s="37"/>
      <c r="KBX677" s="37"/>
      <c r="KBY677" s="37"/>
      <c r="KBZ677" s="37"/>
      <c r="KCA677" s="37"/>
      <c r="KCB677" s="37"/>
      <c r="KCC677" s="37"/>
      <c r="KCD677" s="37"/>
      <c r="KCE677" s="37"/>
      <c r="KCF677" s="37"/>
      <c r="KCG677" s="37"/>
      <c r="KCH677" s="37"/>
      <c r="KCI677" s="37"/>
      <c r="KCJ677" s="37"/>
      <c r="KCK677" s="37"/>
      <c r="KCL677" s="37"/>
      <c r="KCM677" s="37"/>
      <c r="KCN677" s="37"/>
      <c r="KCO677" s="37"/>
      <c r="KCP677" s="37"/>
      <c r="KCQ677" s="37"/>
      <c r="KCR677" s="37"/>
      <c r="KCS677" s="37"/>
      <c r="KCT677" s="37"/>
      <c r="KCU677" s="37"/>
      <c r="KCV677" s="37"/>
      <c r="KCW677" s="37"/>
      <c r="KCX677" s="37"/>
      <c r="KCY677" s="37"/>
      <c r="KCZ677" s="37"/>
      <c r="KDA677" s="37"/>
      <c r="KDB677" s="37"/>
      <c r="KDC677" s="37"/>
      <c r="KDD677" s="37"/>
      <c r="KDE677" s="37"/>
      <c r="KDF677" s="37"/>
      <c r="KDG677" s="37"/>
      <c r="KDH677" s="37"/>
      <c r="KDI677" s="37"/>
      <c r="KDJ677" s="37"/>
      <c r="KDK677" s="37"/>
      <c r="KDL677" s="37"/>
      <c r="KDM677" s="37"/>
      <c r="KDN677" s="37"/>
      <c r="KDO677" s="37"/>
      <c r="KDP677" s="37"/>
      <c r="KDQ677" s="37"/>
      <c r="KDR677" s="37"/>
      <c r="KDS677" s="37"/>
      <c r="KDT677" s="37"/>
      <c r="KDU677" s="37"/>
      <c r="KDV677" s="37"/>
      <c r="KDW677" s="37"/>
      <c r="KDX677" s="37"/>
      <c r="KDY677" s="37"/>
      <c r="KDZ677" s="37"/>
      <c r="KEA677" s="37"/>
      <c r="KEB677" s="37"/>
      <c r="KEC677" s="37"/>
      <c r="KED677" s="37"/>
      <c r="KEE677" s="37"/>
      <c r="KEF677" s="37"/>
      <c r="KEG677" s="37"/>
      <c r="KEH677" s="37"/>
      <c r="KEI677" s="37"/>
      <c r="KEJ677" s="37"/>
      <c r="KEK677" s="37"/>
      <c r="KEL677" s="37"/>
      <c r="KEM677" s="37"/>
      <c r="KEN677" s="37"/>
      <c r="KEO677" s="37"/>
      <c r="KEP677" s="37"/>
      <c r="KEQ677" s="37"/>
      <c r="KER677" s="37"/>
      <c r="KES677" s="37"/>
      <c r="KET677" s="37"/>
      <c r="KEU677" s="37"/>
      <c r="KEV677" s="37"/>
      <c r="KEW677" s="37"/>
      <c r="KEX677" s="37"/>
      <c r="KEY677" s="37"/>
      <c r="KEZ677" s="37"/>
      <c r="KFA677" s="37"/>
      <c r="KFB677" s="37"/>
      <c r="KFC677" s="37"/>
      <c r="KFD677" s="37"/>
      <c r="KFE677" s="37"/>
      <c r="KFF677" s="37"/>
      <c r="KFG677" s="37"/>
      <c r="KFH677" s="37"/>
      <c r="KFI677" s="37"/>
      <c r="KFJ677" s="37"/>
      <c r="KFK677" s="37"/>
      <c r="KFL677" s="37"/>
      <c r="KFM677" s="37"/>
      <c r="KFN677" s="37"/>
      <c r="KFO677" s="37"/>
      <c r="KFP677" s="37"/>
      <c r="KFQ677" s="37"/>
      <c r="KFR677" s="37"/>
      <c r="KFS677" s="37"/>
      <c r="KFT677" s="37"/>
      <c r="KFU677" s="37"/>
      <c r="KFV677" s="37"/>
      <c r="KFW677" s="37"/>
      <c r="KFX677" s="37"/>
      <c r="KFY677" s="37"/>
      <c r="KFZ677" s="37"/>
      <c r="KGA677" s="37"/>
      <c r="KGB677" s="37"/>
      <c r="KGC677" s="37"/>
      <c r="KGD677" s="37"/>
      <c r="KGE677" s="37"/>
      <c r="KGF677" s="37"/>
      <c r="KGG677" s="37"/>
      <c r="KGH677" s="37"/>
      <c r="KGI677" s="37"/>
      <c r="KGJ677" s="37"/>
      <c r="KGK677" s="37"/>
      <c r="KGL677" s="37"/>
      <c r="KGM677" s="37"/>
      <c r="KGN677" s="37"/>
      <c r="KGO677" s="37"/>
      <c r="KGP677" s="37"/>
      <c r="KGQ677" s="37"/>
      <c r="KGR677" s="37"/>
      <c r="KGS677" s="37"/>
      <c r="KGT677" s="37"/>
      <c r="KGU677" s="37"/>
      <c r="KGV677" s="37"/>
      <c r="KGW677" s="37"/>
      <c r="KGX677" s="37"/>
      <c r="KGY677" s="37"/>
      <c r="KGZ677" s="37"/>
      <c r="KHA677" s="37"/>
      <c r="KHB677" s="37"/>
      <c r="KHC677" s="37"/>
      <c r="KHD677" s="37"/>
      <c r="KHE677" s="37"/>
      <c r="KHF677" s="37"/>
      <c r="KHG677" s="37"/>
      <c r="KHH677" s="37"/>
      <c r="KHI677" s="37"/>
      <c r="KHJ677" s="37"/>
      <c r="KHK677" s="37"/>
      <c r="KHL677" s="37"/>
      <c r="KHM677" s="37"/>
      <c r="KHN677" s="37"/>
      <c r="KHO677" s="37"/>
      <c r="KHP677" s="37"/>
      <c r="KHQ677" s="37"/>
      <c r="KHR677" s="37"/>
      <c r="KHS677" s="37"/>
      <c r="KHT677" s="37"/>
      <c r="KHU677" s="37"/>
      <c r="KHV677" s="37"/>
      <c r="KHW677" s="37"/>
      <c r="KHX677" s="37"/>
      <c r="KHY677" s="37"/>
      <c r="KHZ677" s="37"/>
      <c r="KIA677" s="37"/>
      <c r="KIB677" s="37"/>
      <c r="KIC677" s="37"/>
      <c r="KID677" s="37"/>
      <c r="KIE677" s="37"/>
      <c r="KIF677" s="37"/>
      <c r="KIG677" s="37"/>
      <c r="KIH677" s="37"/>
      <c r="KII677" s="37"/>
      <c r="KIJ677" s="37"/>
      <c r="KIK677" s="37"/>
      <c r="KIL677" s="37"/>
      <c r="KIM677" s="37"/>
      <c r="KIN677" s="37"/>
      <c r="KIO677" s="37"/>
      <c r="KIP677" s="37"/>
      <c r="KIQ677" s="37"/>
      <c r="KIR677" s="37"/>
      <c r="KIS677" s="37"/>
      <c r="KIT677" s="37"/>
      <c r="KIU677" s="37"/>
      <c r="KIV677" s="37"/>
      <c r="KIW677" s="37"/>
      <c r="KIX677" s="37"/>
      <c r="KIY677" s="37"/>
      <c r="KIZ677" s="37"/>
      <c r="KJA677" s="37"/>
      <c r="KJB677" s="37"/>
      <c r="KJC677" s="37"/>
      <c r="KJD677" s="37"/>
      <c r="KJE677" s="37"/>
      <c r="KJF677" s="37"/>
      <c r="KJG677" s="37"/>
      <c r="KJH677" s="37"/>
      <c r="KJI677" s="37"/>
      <c r="KJJ677" s="37"/>
      <c r="KJK677" s="37"/>
      <c r="KJL677" s="37"/>
      <c r="KJM677" s="37"/>
      <c r="KJN677" s="37"/>
      <c r="KJO677" s="37"/>
      <c r="KJP677" s="37"/>
      <c r="KJQ677" s="37"/>
      <c r="KJR677" s="37"/>
      <c r="KJS677" s="37"/>
      <c r="KJT677" s="37"/>
      <c r="KJU677" s="37"/>
      <c r="KJV677" s="37"/>
      <c r="KJW677" s="37"/>
      <c r="KJX677" s="37"/>
      <c r="KJY677" s="37"/>
      <c r="KJZ677" s="37"/>
      <c r="KKA677" s="37"/>
      <c r="KKB677" s="37"/>
      <c r="KKC677" s="37"/>
      <c r="KKD677" s="37"/>
      <c r="KKE677" s="37"/>
      <c r="KKF677" s="37"/>
      <c r="KKG677" s="37"/>
      <c r="KKH677" s="37"/>
      <c r="KKI677" s="37"/>
      <c r="KKJ677" s="37"/>
      <c r="KKK677" s="37"/>
      <c r="KKL677" s="37"/>
      <c r="KKM677" s="37"/>
      <c r="KKN677" s="37"/>
      <c r="KKO677" s="37"/>
      <c r="KKP677" s="37"/>
      <c r="KKQ677" s="37"/>
      <c r="KKR677" s="37"/>
      <c r="KKS677" s="37"/>
      <c r="KKT677" s="37"/>
      <c r="KKU677" s="37"/>
      <c r="KKV677" s="37"/>
      <c r="KKW677" s="37"/>
      <c r="KKX677" s="37"/>
      <c r="KKY677" s="37"/>
      <c r="KKZ677" s="37"/>
      <c r="KLA677" s="37"/>
      <c r="KLB677" s="37"/>
      <c r="KLC677" s="37"/>
      <c r="KLD677" s="37"/>
      <c r="KLE677" s="37"/>
      <c r="KLF677" s="37"/>
      <c r="KLG677" s="37"/>
      <c r="KLH677" s="37"/>
      <c r="KLI677" s="37"/>
      <c r="KLJ677" s="37"/>
      <c r="KLK677" s="37"/>
      <c r="KLL677" s="37"/>
      <c r="KLM677" s="37"/>
      <c r="KLN677" s="37"/>
      <c r="KLO677" s="37"/>
      <c r="KLP677" s="37"/>
      <c r="KLQ677" s="37"/>
      <c r="KLR677" s="37"/>
      <c r="KLS677" s="37"/>
      <c r="KLT677" s="37"/>
      <c r="KLU677" s="37"/>
      <c r="KLV677" s="37"/>
      <c r="KLW677" s="37"/>
      <c r="KLX677" s="37"/>
      <c r="KLY677" s="37"/>
      <c r="KLZ677" s="37"/>
      <c r="KMA677" s="37"/>
      <c r="KMB677" s="37"/>
      <c r="KMC677" s="37"/>
      <c r="KMD677" s="37"/>
      <c r="KME677" s="37"/>
      <c r="KMF677" s="37"/>
      <c r="KMG677" s="37"/>
      <c r="KMH677" s="37"/>
      <c r="KMI677" s="37"/>
      <c r="KMJ677" s="37"/>
      <c r="KMK677" s="37"/>
      <c r="KML677" s="37"/>
      <c r="KMM677" s="37"/>
      <c r="KMN677" s="37"/>
      <c r="KMO677" s="37"/>
      <c r="KMP677" s="37"/>
      <c r="KMQ677" s="37"/>
      <c r="KMR677" s="37"/>
      <c r="KMS677" s="37"/>
      <c r="KMT677" s="37"/>
      <c r="KMU677" s="37"/>
      <c r="KMV677" s="37"/>
      <c r="KMW677" s="37"/>
      <c r="KMX677" s="37"/>
      <c r="KMY677" s="37"/>
      <c r="KMZ677" s="37"/>
      <c r="KNA677" s="37"/>
      <c r="KNB677" s="37"/>
      <c r="KNC677" s="37"/>
      <c r="KND677" s="37"/>
      <c r="KNE677" s="37"/>
      <c r="KNF677" s="37"/>
      <c r="KNG677" s="37"/>
      <c r="KNH677" s="37"/>
      <c r="KNI677" s="37"/>
      <c r="KNJ677" s="37"/>
      <c r="KNK677" s="37"/>
      <c r="KNL677" s="37"/>
      <c r="KNM677" s="37"/>
      <c r="KNN677" s="37"/>
      <c r="KNO677" s="37"/>
      <c r="KNP677" s="37"/>
      <c r="KNQ677" s="37"/>
      <c r="KNR677" s="37"/>
      <c r="KNS677" s="37"/>
      <c r="KNT677" s="37"/>
      <c r="KNU677" s="37"/>
      <c r="KNV677" s="37"/>
      <c r="KNW677" s="37"/>
      <c r="KNX677" s="37"/>
      <c r="KNY677" s="37"/>
      <c r="KNZ677" s="37"/>
      <c r="KOA677" s="37"/>
      <c r="KOB677" s="37"/>
      <c r="KOC677" s="37"/>
      <c r="KOD677" s="37"/>
      <c r="KOE677" s="37"/>
      <c r="KOF677" s="37"/>
      <c r="KOG677" s="37"/>
      <c r="KOH677" s="37"/>
      <c r="KOI677" s="37"/>
      <c r="KOJ677" s="37"/>
      <c r="KOK677" s="37"/>
      <c r="KOL677" s="37"/>
      <c r="KOM677" s="37"/>
      <c r="KON677" s="37"/>
      <c r="KOO677" s="37"/>
      <c r="KOP677" s="37"/>
      <c r="KOQ677" s="37"/>
      <c r="KOR677" s="37"/>
      <c r="KOS677" s="37"/>
      <c r="KOT677" s="37"/>
      <c r="KOU677" s="37"/>
      <c r="KOV677" s="37"/>
      <c r="KOW677" s="37"/>
      <c r="KOX677" s="37"/>
      <c r="KOY677" s="37"/>
      <c r="KOZ677" s="37"/>
      <c r="KPA677" s="37"/>
      <c r="KPB677" s="37"/>
      <c r="KPC677" s="37"/>
      <c r="KPD677" s="37"/>
      <c r="KPE677" s="37"/>
      <c r="KPF677" s="37"/>
      <c r="KPG677" s="37"/>
      <c r="KPH677" s="37"/>
      <c r="KPI677" s="37"/>
      <c r="KPJ677" s="37"/>
      <c r="KPK677" s="37"/>
      <c r="KPL677" s="37"/>
      <c r="KPM677" s="37"/>
      <c r="KPN677" s="37"/>
      <c r="KPO677" s="37"/>
      <c r="KPP677" s="37"/>
      <c r="KPQ677" s="37"/>
      <c r="KPR677" s="37"/>
      <c r="KPS677" s="37"/>
      <c r="KPT677" s="37"/>
      <c r="KPU677" s="37"/>
      <c r="KPV677" s="37"/>
      <c r="KPW677" s="37"/>
      <c r="KPX677" s="37"/>
      <c r="KPY677" s="37"/>
      <c r="KPZ677" s="37"/>
      <c r="KQA677" s="37"/>
      <c r="KQB677" s="37"/>
      <c r="KQC677" s="37"/>
      <c r="KQD677" s="37"/>
      <c r="KQE677" s="37"/>
      <c r="KQF677" s="37"/>
      <c r="KQG677" s="37"/>
      <c r="KQH677" s="37"/>
      <c r="KQI677" s="37"/>
      <c r="KQJ677" s="37"/>
      <c r="KQK677" s="37"/>
      <c r="KQL677" s="37"/>
      <c r="KQM677" s="37"/>
      <c r="KQN677" s="37"/>
      <c r="KQO677" s="37"/>
      <c r="KQP677" s="37"/>
      <c r="KQQ677" s="37"/>
      <c r="KQR677" s="37"/>
      <c r="KQS677" s="37"/>
      <c r="KQT677" s="37"/>
      <c r="KQU677" s="37"/>
      <c r="KQV677" s="37"/>
      <c r="KQW677" s="37"/>
      <c r="KQX677" s="37"/>
      <c r="KQY677" s="37"/>
      <c r="KQZ677" s="37"/>
      <c r="KRA677" s="37"/>
      <c r="KRB677" s="37"/>
      <c r="KRC677" s="37"/>
      <c r="KRD677" s="37"/>
      <c r="KRE677" s="37"/>
      <c r="KRF677" s="37"/>
      <c r="KRG677" s="37"/>
      <c r="KRH677" s="37"/>
      <c r="KRI677" s="37"/>
      <c r="KRJ677" s="37"/>
      <c r="KRK677" s="37"/>
      <c r="KRL677" s="37"/>
      <c r="KRM677" s="37"/>
      <c r="KRN677" s="37"/>
      <c r="KRO677" s="37"/>
      <c r="KRP677" s="37"/>
      <c r="KRQ677" s="37"/>
      <c r="KRR677" s="37"/>
      <c r="KRS677" s="37"/>
      <c r="KRT677" s="37"/>
      <c r="KRU677" s="37"/>
      <c r="KRV677" s="37"/>
      <c r="KRW677" s="37"/>
      <c r="KRX677" s="37"/>
      <c r="KRY677" s="37"/>
      <c r="KRZ677" s="37"/>
      <c r="KSA677" s="37"/>
      <c r="KSB677" s="37"/>
      <c r="KSC677" s="37"/>
      <c r="KSD677" s="37"/>
      <c r="KSE677" s="37"/>
      <c r="KSF677" s="37"/>
      <c r="KSG677" s="37"/>
      <c r="KSH677" s="37"/>
      <c r="KSI677" s="37"/>
      <c r="KSJ677" s="37"/>
      <c r="KSK677" s="37"/>
      <c r="KSL677" s="37"/>
      <c r="KSM677" s="37"/>
      <c r="KSN677" s="37"/>
      <c r="KSO677" s="37"/>
      <c r="KSP677" s="37"/>
      <c r="KSQ677" s="37"/>
      <c r="KSR677" s="37"/>
      <c r="KSS677" s="37"/>
      <c r="KST677" s="37"/>
      <c r="KSU677" s="37"/>
      <c r="KSV677" s="37"/>
      <c r="KSW677" s="37"/>
      <c r="KSX677" s="37"/>
      <c r="KSY677" s="37"/>
      <c r="KSZ677" s="37"/>
      <c r="KTA677" s="37"/>
      <c r="KTB677" s="37"/>
      <c r="KTC677" s="37"/>
      <c r="KTD677" s="37"/>
      <c r="KTE677" s="37"/>
      <c r="KTF677" s="37"/>
      <c r="KTG677" s="37"/>
      <c r="KTH677" s="37"/>
      <c r="KTI677" s="37"/>
      <c r="KTJ677" s="37"/>
      <c r="KTK677" s="37"/>
      <c r="KTL677" s="37"/>
      <c r="KTM677" s="37"/>
      <c r="KTN677" s="37"/>
      <c r="KTO677" s="37"/>
      <c r="KTP677" s="37"/>
      <c r="KTQ677" s="37"/>
      <c r="KTR677" s="37"/>
      <c r="KTS677" s="37"/>
      <c r="KTT677" s="37"/>
      <c r="KTU677" s="37"/>
      <c r="KTV677" s="37"/>
      <c r="KTW677" s="37"/>
      <c r="KTX677" s="37"/>
      <c r="KTY677" s="37"/>
      <c r="KTZ677" s="37"/>
      <c r="KUA677" s="37"/>
      <c r="KUB677" s="37"/>
      <c r="KUC677" s="37"/>
      <c r="KUD677" s="37"/>
      <c r="KUE677" s="37"/>
      <c r="KUF677" s="37"/>
      <c r="KUG677" s="37"/>
      <c r="KUH677" s="37"/>
      <c r="KUI677" s="37"/>
      <c r="KUJ677" s="37"/>
      <c r="KUK677" s="37"/>
      <c r="KUL677" s="37"/>
      <c r="KUM677" s="37"/>
      <c r="KUN677" s="37"/>
      <c r="KUO677" s="37"/>
      <c r="KUP677" s="37"/>
      <c r="KUQ677" s="37"/>
      <c r="KUR677" s="37"/>
      <c r="KUS677" s="37"/>
      <c r="KUT677" s="37"/>
      <c r="KUU677" s="37"/>
      <c r="KUV677" s="37"/>
      <c r="KUW677" s="37"/>
      <c r="KUX677" s="37"/>
      <c r="KUY677" s="37"/>
      <c r="KUZ677" s="37"/>
      <c r="KVA677" s="37"/>
      <c r="KVB677" s="37"/>
      <c r="KVC677" s="37"/>
      <c r="KVD677" s="37"/>
      <c r="KVE677" s="37"/>
      <c r="KVF677" s="37"/>
      <c r="KVG677" s="37"/>
      <c r="KVH677" s="37"/>
      <c r="KVI677" s="37"/>
      <c r="KVJ677" s="37"/>
      <c r="KVK677" s="37"/>
      <c r="KVL677" s="37"/>
      <c r="KVM677" s="37"/>
      <c r="KVN677" s="37"/>
      <c r="KVO677" s="37"/>
      <c r="KVP677" s="37"/>
      <c r="KVQ677" s="37"/>
      <c r="KVR677" s="37"/>
      <c r="KVS677" s="37"/>
      <c r="KVT677" s="37"/>
      <c r="KVU677" s="37"/>
      <c r="KVV677" s="37"/>
      <c r="KVW677" s="37"/>
      <c r="KVX677" s="37"/>
      <c r="KVY677" s="37"/>
      <c r="KVZ677" s="37"/>
      <c r="KWA677" s="37"/>
      <c r="KWB677" s="37"/>
      <c r="KWC677" s="37"/>
      <c r="KWD677" s="37"/>
      <c r="KWE677" s="37"/>
      <c r="KWF677" s="37"/>
      <c r="KWG677" s="37"/>
      <c r="KWH677" s="37"/>
      <c r="KWI677" s="37"/>
      <c r="KWJ677" s="37"/>
      <c r="KWK677" s="37"/>
      <c r="KWL677" s="37"/>
      <c r="KWM677" s="37"/>
      <c r="KWN677" s="37"/>
      <c r="KWO677" s="37"/>
      <c r="KWP677" s="37"/>
      <c r="KWQ677" s="37"/>
      <c r="KWR677" s="37"/>
      <c r="KWS677" s="37"/>
      <c r="KWT677" s="37"/>
      <c r="KWU677" s="37"/>
      <c r="KWV677" s="37"/>
      <c r="KWW677" s="37"/>
      <c r="KWX677" s="37"/>
      <c r="KWY677" s="37"/>
      <c r="KWZ677" s="37"/>
      <c r="KXA677" s="37"/>
      <c r="KXB677" s="37"/>
      <c r="KXC677" s="37"/>
      <c r="KXD677" s="37"/>
      <c r="KXE677" s="37"/>
      <c r="KXF677" s="37"/>
      <c r="KXG677" s="37"/>
      <c r="KXH677" s="37"/>
      <c r="KXI677" s="37"/>
      <c r="KXJ677" s="37"/>
      <c r="KXK677" s="37"/>
      <c r="KXL677" s="37"/>
      <c r="KXM677" s="37"/>
      <c r="KXN677" s="37"/>
      <c r="KXO677" s="37"/>
      <c r="KXP677" s="37"/>
      <c r="KXQ677" s="37"/>
      <c r="KXR677" s="37"/>
      <c r="KXS677" s="37"/>
      <c r="KXT677" s="37"/>
      <c r="KXU677" s="37"/>
      <c r="KXV677" s="37"/>
      <c r="KXW677" s="37"/>
      <c r="KXX677" s="37"/>
      <c r="KXY677" s="37"/>
      <c r="KXZ677" s="37"/>
      <c r="KYA677" s="37"/>
      <c r="KYB677" s="37"/>
      <c r="KYC677" s="37"/>
      <c r="KYD677" s="37"/>
      <c r="KYE677" s="37"/>
      <c r="KYF677" s="37"/>
      <c r="KYG677" s="37"/>
      <c r="KYH677" s="37"/>
      <c r="KYI677" s="37"/>
      <c r="KYJ677" s="37"/>
      <c r="KYK677" s="37"/>
      <c r="KYL677" s="37"/>
      <c r="KYM677" s="37"/>
      <c r="KYN677" s="37"/>
      <c r="KYO677" s="37"/>
      <c r="KYP677" s="37"/>
      <c r="KYQ677" s="37"/>
      <c r="KYR677" s="37"/>
      <c r="KYS677" s="37"/>
      <c r="KYT677" s="37"/>
      <c r="KYU677" s="37"/>
      <c r="KYV677" s="37"/>
      <c r="KYW677" s="37"/>
      <c r="KYX677" s="37"/>
      <c r="KYY677" s="37"/>
      <c r="KYZ677" s="37"/>
      <c r="KZA677" s="37"/>
      <c r="KZB677" s="37"/>
      <c r="KZC677" s="37"/>
      <c r="KZD677" s="37"/>
      <c r="KZE677" s="37"/>
      <c r="KZF677" s="37"/>
      <c r="KZG677" s="37"/>
      <c r="KZH677" s="37"/>
      <c r="KZI677" s="37"/>
      <c r="KZJ677" s="37"/>
      <c r="KZK677" s="37"/>
      <c r="KZL677" s="37"/>
      <c r="KZM677" s="37"/>
      <c r="KZN677" s="37"/>
      <c r="KZO677" s="37"/>
      <c r="KZP677" s="37"/>
      <c r="KZQ677" s="37"/>
      <c r="KZR677" s="37"/>
      <c r="KZS677" s="37"/>
      <c r="KZT677" s="37"/>
      <c r="KZU677" s="37"/>
      <c r="KZV677" s="37"/>
      <c r="KZW677" s="37"/>
      <c r="KZX677" s="37"/>
      <c r="KZY677" s="37"/>
      <c r="KZZ677" s="37"/>
      <c r="LAA677" s="37"/>
      <c r="LAB677" s="37"/>
      <c r="LAC677" s="37"/>
      <c r="LAD677" s="37"/>
      <c r="LAE677" s="37"/>
      <c r="LAF677" s="37"/>
      <c r="LAG677" s="37"/>
      <c r="LAH677" s="37"/>
      <c r="LAI677" s="37"/>
      <c r="LAJ677" s="37"/>
      <c r="LAK677" s="37"/>
      <c r="LAL677" s="37"/>
      <c r="LAM677" s="37"/>
      <c r="LAN677" s="37"/>
      <c r="LAO677" s="37"/>
      <c r="LAP677" s="37"/>
      <c r="LAQ677" s="37"/>
      <c r="LAR677" s="37"/>
      <c r="LAS677" s="37"/>
      <c r="LAT677" s="37"/>
      <c r="LAU677" s="37"/>
      <c r="LAV677" s="37"/>
      <c r="LAW677" s="37"/>
      <c r="LAX677" s="37"/>
      <c r="LAY677" s="37"/>
      <c r="LAZ677" s="37"/>
      <c r="LBA677" s="37"/>
      <c r="LBB677" s="37"/>
      <c r="LBC677" s="37"/>
      <c r="LBD677" s="37"/>
      <c r="LBE677" s="37"/>
      <c r="LBF677" s="37"/>
      <c r="LBG677" s="37"/>
      <c r="LBH677" s="37"/>
      <c r="LBI677" s="37"/>
      <c r="LBJ677" s="37"/>
      <c r="LBK677" s="37"/>
      <c r="LBL677" s="37"/>
      <c r="LBM677" s="37"/>
      <c r="LBN677" s="37"/>
      <c r="LBO677" s="37"/>
      <c r="LBP677" s="37"/>
      <c r="LBQ677" s="37"/>
      <c r="LBR677" s="37"/>
      <c r="LBS677" s="37"/>
      <c r="LBT677" s="37"/>
      <c r="LBU677" s="37"/>
      <c r="LBV677" s="37"/>
      <c r="LBW677" s="37"/>
      <c r="LBX677" s="37"/>
      <c r="LBY677" s="37"/>
      <c r="LBZ677" s="37"/>
      <c r="LCA677" s="37"/>
      <c r="LCB677" s="37"/>
      <c r="LCC677" s="37"/>
      <c r="LCD677" s="37"/>
      <c r="LCE677" s="37"/>
      <c r="LCF677" s="37"/>
      <c r="LCG677" s="37"/>
      <c r="LCH677" s="37"/>
      <c r="LCI677" s="37"/>
      <c r="LCJ677" s="37"/>
      <c r="LCK677" s="37"/>
      <c r="LCL677" s="37"/>
      <c r="LCM677" s="37"/>
      <c r="LCN677" s="37"/>
      <c r="LCO677" s="37"/>
      <c r="LCP677" s="37"/>
      <c r="LCQ677" s="37"/>
      <c r="LCR677" s="37"/>
      <c r="LCS677" s="37"/>
      <c r="LCT677" s="37"/>
      <c r="LCU677" s="37"/>
      <c r="LCV677" s="37"/>
      <c r="LCW677" s="37"/>
      <c r="LCX677" s="37"/>
      <c r="LCY677" s="37"/>
      <c r="LCZ677" s="37"/>
      <c r="LDA677" s="37"/>
      <c r="LDB677" s="37"/>
      <c r="LDC677" s="37"/>
      <c r="LDD677" s="37"/>
      <c r="LDE677" s="37"/>
      <c r="LDF677" s="37"/>
      <c r="LDG677" s="37"/>
      <c r="LDH677" s="37"/>
      <c r="LDI677" s="37"/>
      <c r="LDJ677" s="37"/>
      <c r="LDK677" s="37"/>
      <c r="LDL677" s="37"/>
      <c r="LDM677" s="37"/>
      <c r="LDN677" s="37"/>
      <c r="LDO677" s="37"/>
      <c r="LDP677" s="37"/>
      <c r="LDQ677" s="37"/>
      <c r="LDR677" s="37"/>
      <c r="LDS677" s="37"/>
      <c r="LDT677" s="37"/>
      <c r="LDU677" s="37"/>
      <c r="LDV677" s="37"/>
      <c r="LDW677" s="37"/>
      <c r="LDX677" s="37"/>
      <c r="LDY677" s="37"/>
      <c r="LDZ677" s="37"/>
      <c r="LEA677" s="37"/>
      <c r="LEB677" s="37"/>
      <c r="LEC677" s="37"/>
      <c r="LED677" s="37"/>
      <c r="LEE677" s="37"/>
      <c r="LEF677" s="37"/>
      <c r="LEG677" s="37"/>
      <c r="LEH677" s="37"/>
      <c r="LEI677" s="37"/>
      <c r="LEJ677" s="37"/>
      <c r="LEK677" s="37"/>
      <c r="LEL677" s="37"/>
      <c r="LEM677" s="37"/>
      <c r="LEN677" s="37"/>
      <c r="LEO677" s="37"/>
      <c r="LEP677" s="37"/>
      <c r="LEQ677" s="37"/>
      <c r="LER677" s="37"/>
      <c r="LES677" s="37"/>
      <c r="LET677" s="37"/>
      <c r="LEU677" s="37"/>
      <c r="LEV677" s="37"/>
      <c r="LEW677" s="37"/>
      <c r="LEX677" s="37"/>
      <c r="LEY677" s="37"/>
      <c r="LEZ677" s="37"/>
      <c r="LFA677" s="37"/>
      <c r="LFB677" s="37"/>
      <c r="LFC677" s="37"/>
      <c r="LFD677" s="37"/>
      <c r="LFE677" s="37"/>
      <c r="LFF677" s="37"/>
      <c r="LFG677" s="37"/>
      <c r="LFH677" s="37"/>
      <c r="LFI677" s="37"/>
      <c r="LFJ677" s="37"/>
      <c r="LFK677" s="37"/>
      <c r="LFL677" s="37"/>
      <c r="LFM677" s="37"/>
      <c r="LFN677" s="37"/>
      <c r="LFO677" s="37"/>
      <c r="LFP677" s="37"/>
      <c r="LFQ677" s="37"/>
      <c r="LFR677" s="37"/>
      <c r="LFS677" s="37"/>
      <c r="LFT677" s="37"/>
      <c r="LFU677" s="37"/>
      <c r="LFV677" s="37"/>
      <c r="LFW677" s="37"/>
      <c r="LFX677" s="37"/>
      <c r="LFY677" s="37"/>
      <c r="LFZ677" s="37"/>
      <c r="LGA677" s="37"/>
      <c r="LGB677" s="37"/>
      <c r="LGC677" s="37"/>
      <c r="LGD677" s="37"/>
      <c r="LGE677" s="37"/>
      <c r="LGF677" s="37"/>
      <c r="LGG677" s="37"/>
      <c r="LGH677" s="37"/>
      <c r="LGI677" s="37"/>
      <c r="LGJ677" s="37"/>
      <c r="LGK677" s="37"/>
      <c r="LGL677" s="37"/>
      <c r="LGM677" s="37"/>
      <c r="LGN677" s="37"/>
      <c r="LGO677" s="37"/>
      <c r="LGP677" s="37"/>
      <c r="LGQ677" s="37"/>
      <c r="LGR677" s="37"/>
      <c r="LGS677" s="37"/>
      <c r="LGT677" s="37"/>
      <c r="LGU677" s="37"/>
      <c r="LGV677" s="37"/>
      <c r="LGW677" s="37"/>
      <c r="LGX677" s="37"/>
      <c r="LGY677" s="37"/>
      <c r="LGZ677" s="37"/>
      <c r="LHA677" s="37"/>
      <c r="LHB677" s="37"/>
      <c r="LHC677" s="37"/>
      <c r="LHD677" s="37"/>
      <c r="LHE677" s="37"/>
      <c r="LHF677" s="37"/>
      <c r="LHG677" s="37"/>
      <c r="LHH677" s="37"/>
      <c r="LHI677" s="37"/>
      <c r="LHJ677" s="37"/>
      <c r="LHK677" s="37"/>
      <c r="LHL677" s="37"/>
      <c r="LHM677" s="37"/>
      <c r="LHN677" s="37"/>
      <c r="LHO677" s="37"/>
      <c r="LHP677" s="37"/>
      <c r="LHQ677" s="37"/>
      <c r="LHR677" s="37"/>
      <c r="LHS677" s="37"/>
      <c r="LHT677" s="37"/>
      <c r="LHU677" s="37"/>
      <c r="LHV677" s="37"/>
      <c r="LHW677" s="37"/>
      <c r="LHX677" s="37"/>
      <c r="LHY677" s="37"/>
      <c r="LHZ677" s="37"/>
      <c r="LIA677" s="37"/>
      <c r="LIB677" s="37"/>
      <c r="LIC677" s="37"/>
      <c r="LID677" s="37"/>
      <c r="LIE677" s="37"/>
      <c r="LIF677" s="37"/>
      <c r="LIG677" s="37"/>
      <c r="LIH677" s="37"/>
      <c r="LII677" s="37"/>
      <c r="LIJ677" s="37"/>
      <c r="LIK677" s="37"/>
      <c r="LIL677" s="37"/>
      <c r="LIM677" s="37"/>
      <c r="LIN677" s="37"/>
      <c r="LIO677" s="37"/>
      <c r="LIP677" s="37"/>
      <c r="LIQ677" s="37"/>
      <c r="LIR677" s="37"/>
      <c r="LIS677" s="37"/>
      <c r="LIT677" s="37"/>
      <c r="LIU677" s="37"/>
      <c r="LIV677" s="37"/>
      <c r="LIW677" s="37"/>
      <c r="LIX677" s="37"/>
      <c r="LIY677" s="37"/>
      <c r="LIZ677" s="37"/>
      <c r="LJA677" s="37"/>
      <c r="LJB677" s="37"/>
      <c r="LJC677" s="37"/>
      <c r="LJD677" s="37"/>
      <c r="LJE677" s="37"/>
      <c r="LJF677" s="37"/>
      <c r="LJG677" s="37"/>
      <c r="LJH677" s="37"/>
      <c r="LJI677" s="37"/>
      <c r="LJJ677" s="37"/>
      <c r="LJK677" s="37"/>
      <c r="LJL677" s="37"/>
      <c r="LJM677" s="37"/>
      <c r="LJN677" s="37"/>
      <c r="LJO677" s="37"/>
      <c r="LJP677" s="37"/>
      <c r="LJQ677" s="37"/>
      <c r="LJR677" s="37"/>
      <c r="LJS677" s="37"/>
      <c r="LJT677" s="37"/>
      <c r="LJU677" s="37"/>
      <c r="LJV677" s="37"/>
      <c r="LJW677" s="37"/>
      <c r="LJX677" s="37"/>
      <c r="LJY677" s="37"/>
      <c r="LJZ677" s="37"/>
      <c r="LKA677" s="37"/>
      <c r="LKB677" s="37"/>
      <c r="LKC677" s="37"/>
      <c r="LKD677" s="37"/>
      <c r="LKE677" s="37"/>
      <c r="LKF677" s="37"/>
      <c r="LKG677" s="37"/>
      <c r="LKH677" s="37"/>
      <c r="LKI677" s="37"/>
      <c r="LKJ677" s="37"/>
      <c r="LKK677" s="37"/>
      <c r="LKL677" s="37"/>
      <c r="LKM677" s="37"/>
      <c r="LKN677" s="37"/>
      <c r="LKO677" s="37"/>
      <c r="LKP677" s="37"/>
      <c r="LKQ677" s="37"/>
      <c r="LKR677" s="37"/>
      <c r="LKS677" s="37"/>
      <c r="LKT677" s="37"/>
      <c r="LKU677" s="37"/>
      <c r="LKV677" s="37"/>
      <c r="LKW677" s="37"/>
      <c r="LKX677" s="37"/>
      <c r="LKY677" s="37"/>
      <c r="LKZ677" s="37"/>
      <c r="LLA677" s="37"/>
      <c r="LLB677" s="37"/>
      <c r="LLC677" s="37"/>
      <c r="LLD677" s="37"/>
      <c r="LLE677" s="37"/>
      <c r="LLF677" s="37"/>
      <c r="LLG677" s="37"/>
      <c r="LLH677" s="37"/>
      <c r="LLI677" s="37"/>
      <c r="LLJ677" s="37"/>
      <c r="LLK677" s="37"/>
      <c r="LLL677" s="37"/>
      <c r="LLM677" s="37"/>
      <c r="LLN677" s="37"/>
      <c r="LLO677" s="37"/>
      <c r="LLP677" s="37"/>
      <c r="LLQ677" s="37"/>
      <c r="LLR677" s="37"/>
      <c r="LLS677" s="37"/>
      <c r="LLT677" s="37"/>
      <c r="LLU677" s="37"/>
      <c r="LLV677" s="37"/>
      <c r="LLW677" s="37"/>
      <c r="LLX677" s="37"/>
      <c r="LLY677" s="37"/>
      <c r="LLZ677" s="37"/>
      <c r="LMA677" s="37"/>
      <c r="LMB677" s="37"/>
      <c r="LMC677" s="37"/>
      <c r="LMD677" s="37"/>
      <c r="LME677" s="37"/>
      <c r="LMF677" s="37"/>
      <c r="LMG677" s="37"/>
      <c r="LMH677" s="37"/>
      <c r="LMI677" s="37"/>
      <c r="LMJ677" s="37"/>
      <c r="LMK677" s="37"/>
      <c r="LML677" s="37"/>
      <c r="LMM677" s="37"/>
      <c r="LMN677" s="37"/>
      <c r="LMO677" s="37"/>
      <c r="LMP677" s="37"/>
      <c r="LMQ677" s="37"/>
      <c r="LMR677" s="37"/>
      <c r="LMS677" s="37"/>
      <c r="LMT677" s="37"/>
      <c r="LMU677" s="37"/>
      <c r="LMV677" s="37"/>
      <c r="LMW677" s="37"/>
      <c r="LMX677" s="37"/>
      <c r="LMY677" s="37"/>
      <c r="LMZ677" s="37"/>
      <c r="LNA677" s="37"/>
      <c r="LNB677" s="37"/>
      <c r="LNC677" s="37"/>
      <c r="LND677" s="37"/>
      <c r="LNE677" s="37"/>
      <c r="LNF677" s="37"/>
      <c r="LNG677" s="37"/>
      <c r="LNH677" s="37"/>
      <c r="LNI677" s="37"/>
      <c r="LNJ677" s="37"/>
      <c r="LNK677" s="37"/>
      <c r="LNL677" s="37"/>
      <c r="LNM677" s="37"/>
      <c r="LNN677" s="37"/>
      <c r="LNO677" s="37"/>
      <c r="LNP677" s="37"/>
      <c r="LNQ677" s="37"/>
      <c r="LNR677" s="37"/>
      <c r="LNS677" s="37"/>
      <c r="LNT677" s="37"/>
      <c r="LNU677" s="37"/>
      <c r="LNV677" s="37"/>
      <c r="LNW677" s="37"/>
      <c r="LNX677" s="37"/>
      <c r="LNY677" s="37"/>
      <c r="LNZ677" s="37"/>
      <c r="LOA677" s="37"/>
      <c r="LOB677" s="37"/>
      <c r="LOC677" s="37"/>
      <c r="LOD677" s="37"/>
      <c r="LOE677" s="37"/>
      <c r="LOF677" s="37"/>
      <c r="LOG677" s="37"/>
      <c r="LOH677" s="37"/>
      <c r="LOI677" s="37"/>
      <c r="LOJ677" s="37"/>
      <c r="LOK677" s="37"/>
      <c r="LOL677" s="37"/>
      <c r="LOM677" s="37"/>
      <c r="LON677" s="37"/>
      <c r="LOO677" s="37"/>
      <c r="LOP677" s="37"/>
      <c r="LOQ677" s="37"/>
      <c r="LOR677" s="37"/>
      <c r="LOS677" s="37"/>
      <c r="LOT677" s="37"/>
      <c r="LOU677" s="37"/>
      <c r="LOV677" s="37"/>
      <c r="LOW677" s="37"/>
      <c r="LOX677" s="37"/>
      <c r="LOY677" s="37"/>
      <c r="LOZ677" s="37"/>
      <c r="LPA677" s="37"/>
      <c r="LPB677" s="37"/>
      <c r="LPC677" s="37"/>
      <c r="LPD677" s="37"/>
      <c r="LPE677" s="37"/>
      <c r="LPF677" s="37"/>
      <c r="LPG677" s="37"/>
      <c r="LPH677" s="37"/>
      <c r="LPI677" s="37"/>
      <c r="LPJ677" s="37"/>
      <c r="LPK677" s="37"/>
      <c r="LPL677" s="37"/>
      <c r="LPM677" s="37"/>
      <c r="LPN677" s="37"/>
      <c r="LPO677" s="37"/>
      <c r="LPP677" s="37"/>
      <c r="LPQ677" s="37"/>
      <c r="LPR677" s="37"/>
      <c r="LPS677" s="37"/>
      <c r="LPT677" s="37"/>
      <c r="LPU677" s="37"/>
      <c r="LPV677" s="37"/>
      <c r="LPW677" s="37"/>
      <c r="LPX677" s="37"/>
      <c r="LPY677" s="37"/>
      <c r="LPZ677" s="37"/>
      <c r="LQA677" s="37"/>
      <c r="LQB677" s="37"/>
      <c r="LQC677" s="37"/>
      <c r="LQD677" s="37"/>
      <c r="LQE677" s="37"/>
      <c r="LQF677" s="37"/>
      <c r="LQG677" s="37"/>
      <c r="LQH677" s="37"/>
      <c r="LQI677" s="37"/>
      <c r="LQJ677" s="37"/>
      <c r="LQK677" s="37"/>
      <c r="LQL677" s="37"/>
      <c r="LQM677" s="37"/>
      <c r="LQN677" s="37"/>
      <c r="LQO677" s="37"/>
      <c r="LQP677" s="37"/>
      <c r="LQQ677" s="37"/>
      <c r="LQR677" s="37"/>
      <c r="LQS677" s="37"/>
      <c r="LQT677" s="37"/>
      <c r="LQU677" s="37"/>
      <c r="LQV677" s="37"/>
      <c r="LQW677" s="37"/>
      <c r="LQX677" s="37"/>
      <c r="LQY677" s="37"/>
      <c r="LQZ677" s="37"/>
      <c r="LRA677" s="37"/>
      <c r="LRB677" s="37"/>
      <c r="LRC677" s="37"/>
      <c r="LRD677" s="37"/>
      <c r="LRE677" s="37"/>
      <c r="LRF677" s="37"/>
      <c r="LRG677" s="37"/>
      <c r="LRH677" s="37"/>
      <c r="LRI677" s="37"/>
      <c r="LRJ677" s="37"/>
      <c r="LRK677" s="37"/>
      <c r="LRL677" s="37"/>
      <c r="LRM677" s="37"/>
      <c r="LRN677" s="37"/>
      <c r="LRO677" s="37"/>
      <c r="LRP677" s="37"/>
      <c r="LRQ677" s="37"/>
      <c r="LRR677" s="37"/>
      <c r="LRS677" s="37"/>
      <c r="LRT677" s="37"/>
      <c r="LRU677" s="37"/>
      <c r="LRV677" s="37"/>
      <c r="LRW677" s="37"/>
      <c r="LRX677" s="37"/>
      <c r="LRY677" s="37"/>
      <c r="LRZ677" s="37"/>
      <c r="LSA677" s="37"/>
      <c r="LSB677" s="37"/>
      <c r="LSC677" s="37"/>
      <c r="LSD677" s="37"/>
      <c r="LSE677" s="37"/>
      <c r="LSF677" s="37"/>
      <c r="LSG677" s="37"/>
      <c r="LSH677" s="37"/>
      <c r="LSI677" s="37"/>
      <c r="LSJ677" s="37"/>
      <c r="LSK677" s="37"/>
      <c r="LSL677" s="37"/>
      <c r="LSM677" s="37"/>
      <c r="LSN677" s="37"/>
      <c r="LSO677" s="37"/>
      <c r="LSP677" s="37"/>
      <c r="LSQ677" s="37"/>
      <c r="LSR677" s="37"/>
      <c r="LSS677" s="37"/>
      <c r="LST677" s="37"/>
      <c r="LSU677" s="37"/>
      <c r="LSV677" s="37"/>
      <c r="LSW677" s="37"/>
      <c r="LSX677" s="37"/>
      <c r="LSY677" s="37"/>
      <c r="LSZ677" s="37"/>
      <c r="LTA677" s="37"/>
      <c r="LTB677" s="37"/>
      <c r="LTC677" s="37"/>
      <c r="LTD677" s="37"/>
      <c r="LTE677" s="37"/>
      <c r="LTF677" s="37"/>
      <c r="LTG677" s="37"/>
      <c r="LTH677" s="37"/>
      <c r="LTI677" s="37"/>
      <c r="LTJ677" s="37"/>
      <c r="LTK677" s="37"/>
      <c r="LTL677" s="37"/>
      <c r="LTM677" s="37"/>
      <c r="LTN677" s="37"/>
      <c r="LTO677" s="37"/>
      <c r="LTP677" s="37"/>
      <c r="LTQ677" s="37"/>
      <c r="LTR677" s="37"/>
      <c r="LTS677" s="37"/>
      <c r="LTT677" s="37"/>
      <c r="LTU677" s="37"/>
      <c r="LTV677" s="37"/>
      <c r="LTW677" s="37"/>
      <c r="LTX677" s="37"/>
      <c r="LTY677" s="37"/>
      <c r="LTZ677" s="37"/>
      <c r="LUA677" s="37"/>
      <c r="LUB677" s="37"/>
      <c r="LUC677" s="37"/>
      <c r="LUD677" s="37"/>
      <c r="LUE677" s="37"/>
      <c r="LUF677" s="37"/>
      <c r="LUG677" s="37"/>
      <c r="LUH677" s="37"/>
      <c r="LUI677" s="37"/>
      <c r="LUJ677" s="37"/>
      <c r="LUK677" s="37"/>
      <c r="LUL677" s="37"/>
      <c r="LUM677" s="37"/>
      <c r="LUN677" s="37"/>
      <c r="LUO677" s="37"/>
      <c r="LUP677" s="37"/>
      <c r="LUQ677" s="37"/>
      <c r="LUR677" s="37"/>
      <c r="LUS677" s="37"/>
      <c r="LUT677" s="37"/>
      <c r="LUU677" s="37"/>
      <c r="LUV677" s="37"/>
      <c r="LUW677" s="37"/>
      <c r="LUX677" s="37"/>
      <c r="LUY677" s="37"/>
      <c r="LUZ677" s="37"/>
      <c r="LVA677" s="37"/>
      <c r="LVB677" s="37"/>
      <c r="LVC677" s="37"/>
      <c r="LVD677" s="37"/>
      <c r="LVE677" s="37"/>
      <c r="LVF677" s="37"/>
      <c r="LVG677" s="37"/>
      <c r="LVH677" s="37"/>
      <c r="LVI677" s="37"/>
      <c r="LVJ677" s="37"/>
      <c r="LVK677" s="37"/>
      <c r="LVL677" s="37"/>
      <c r="LVM677" s="37"/>
      <c r="LVN677" s="37"/>
      <c r="LVO677" s="37"/>
      <c r="LVP677" s="37"/>
      <c r="LVQ677" s="37"/>
      <c r="LVR677" s="37"/>
      <c r="LVS677" s="37"/>
      <c r="LVT677" s="37"/>
      <c r="LVU677" s="37"/>
      <c r="LVV677" s="37"/>
      <c r="LVW677" s="37"/>
      <c r="LVX677" s="37"/>
      <c r="LVY677" s="37"/>
      <c r="LVZ677" s="37"/>
      <c r="LWA677" s="37"/>
      <c r="LWB677" s="37"/>
      <c r="LWC677" s="37"/>
      <c r="LWD677" s="37"/>
      <c r="LWE677" s="37"/>
      <c r="LWF677" s="37"/>
      <c r="LWG677" s="37"/>
      <c r="LWH677" s="37"/>
      <c r="LWI677" s="37"/>
      <c r="LWJ677" s="37"/>
      <c r="LWK677" s="37"/>
      <c r="LWL677" s="37"/>
      <c r="LWM677" s="37"/>
      <c r="LWN677" s="37"/>
      <c r="LWO677" s="37"/>
      <c r="LWP677" s="37"/>
      <c r="LWQ677" s="37"/>
      <c r="LWR677" s="37"/>
      <c r="LWS677" s="37"/>
      <c r="LWT677" s="37"/>
      <c r="LWU677" s="37"/>
      <c r="LWV677" s="37"/>
      <c r="LWW677" s="37"/>
      <c r="LWX677" s="37"/>
      <c r="LWY677" s="37"/>
      <c r="LWZ677" s="37"/>
      <c r="LXA677" s="37"/>
      <c r="LXB677" s="37"/>
      <c r="LXC677" s="37"/>
      <c r="LXD677" s="37"/>
      <c r="LXE677" s="37"/>
      <c r="LXF677" s="37"/>
      <c r="LXG677" s="37"/>
      <c r="LXH677" s="37"/>
      <c r="LXI677" s="37"/>
      <c r="LXJ677" s="37"/>
      <c r="LXK677" s="37"/>
      <c r="LXL677" s="37"/>
      <c r="LXM677" s="37"/>
      <c r="LXN677" s="37"/>
      <c r="LXO677" s="37"/>
      <c r="LXP677" s="37"/>
      <c r="LXQ677" s="37"/>
      <c r="LXR677" s="37"/>
      <c r="LXS677" s="37"/>
      <c r="LXT677" s="37"/>
      <c r="LXU677" s="37"/>
      <c r="LXV677" s="37"/>
      <c r="LXW677" s="37"/>
      <c r="LXX677" s="37"/>
      <c r="LXY677" s="37"/>
      <c r="LXZ677" s="37"/>
      <c r="LYA677" s="37"/>
      <c r="LYB677" s="37"/>
      <c r="LYC677" s="37"/>
      <c r="LYD677" s="37"/>
      <c r="LYE677" s="37"/>
      <c r="LYF677" s="37"/>
      <c r="LYG677" s="37"/>
      <c r="LYH677" s="37"/>
      <c r="LYI677" s="37"/>
      <c r="LYJ677" s="37"/>
      <c r="LYK677" s="37"/>
      <c r="LYL677" s="37"/>
      <c r="LYM677" s="37"/>
      <c r="LYN677" s="37"/>
      <c r="LYO677" s="37"/>
      <c r="LYP677" s="37"/>
      <c r="LYQ677" s="37"/>
      <c r="LYR677" s="37"/>
      <c r="LYS677" s="37"/>
      <c r="LYT677" s="37"/>
      <c r="LYU677" s="37"/>
      <c r="LYV677" s="37"/>
      <c r="LYW677" s="37"/>
      <c r="LYX677" s="37"/>
      <c r="LYY677" s="37"/>
      <c r="LYZ677" s="37"/>
      <c r="LZA677" s="37"/>
      <c r="LZB677" s="37"/>
      <c r="LZC677" s="37"/>
      <c r="LZD677" s="37"/>
      <c r="LZE677" s="37"/>
      <c r="LZF677" s="37"/>
      <c r="LZG677" s="37"/>
      <c r="LZH677" s="37"/>
      <c r="LZI677" s="37"/>
      <c r="LZJ677" s="37"/>
      <c r="LZK677" s="37"/>
      <c r="LZL677" s="37"/>
      <c r="LZM677" s="37"/>
      <c r="LZN677" s="37"/>
      <c r="LZO677" s="37"/>
      <c r="LZP677" s="37"/>
      <c r="LZQ677" s="37"/>
      <c r="LZR677" s="37"/>
      <c r="LZS677" s="37"/>
      <c r="LZT677" s="37"/>
      <c r="LZU677" s="37"/>
      <c r="LZV677" s="37"/>
      <c r="LZW677" s="37"/>
      <c r="LZX677" s="37"/>
      <c r="LZY677" s="37"/>
      <c r="LZZ677" s="37"/>
      <c r="MAA677" s="37"/>
      <c r="MAB677" s="37"/>
      <c r="MAC677" s="37"/>
      <c r="MAD677" s="37"/>
      <c r="MAE677" s="37"/>
      <c r="MAF677" s="37"/>
      <c r="MAG677" s="37"/>
      <c r="MAH677" s="37"/>
      <c r="MAI677" s="37"/>
      <c r="MAJ677" s="37"/>
      <c r="MAK677" s="37"/>
      <c r="MAL677" s="37"/>
      <c r="MAM677" s="37"/>
      <c r="MAN677" s="37"/>
      <c r="MAO677" s="37"/>
      <c r="MAP677" s="37"/>
      <c r="MAQ677" s="37"/>
      <c r="MAR677" s="37"/>
      <c r="MAS677" s="37"/>
      <c r="MAT677" s="37"/>
      <c r="MAU677" s="37"/>
      <c r="MAV677" s="37"/>
      <c r="MAW677" s="37"/>
      <c r="MAX677" s="37"/>
      <c r="MAY677" s="37"/>
      <c r="MAZ677" s="37"/>
      <c r="MBA677" s="37"/>
      <c r="MBB677" s="37"/>
      <c r="MBC677" s="37"/>
      <c r="MBD677" s="37"/>
      <c r="MBE677" s="37"/>
      <c r="MBF677" s="37"/>
      <c r="MBG677" s="37"/>
      <c r="MBH677" s="37"/>
      <c r="MBI677" s="37"/>
      <c r="MBJ677" s="37"/>
      <c r="MBK677" s="37"/>
      <c r="MBL677" s="37"/>
      <c r="MBM677" s="37"/>
      <c r="MBN677" s="37"/>
      <c r="MBO677" s="37"/>
      <c r="MBP677" s="37"/>
      <c r="MBQ677" s="37"/>
      <c r="MBR677" s="37"/>
      <c r="MBS677" s="37"/>
      <c r="MBT677" s="37"/>
      <c r="MBU677" s="37"/>
      <c r="MBV677" s="37"/>
      <c r="MBW677" s="37"/>
      <c r="MBX677" s="37"/>
      <c r="MBY677" s="37"/>
      <c r="MBZ677" s="37"/>
      <c r="MCA677" s="37"/>
      <c r="MCB677" s="37"/>
      <c r="MCC677" s="37"/>
      <c r="MCD677" s="37"/>
      <c r="MCE677" s="37"/>
      <c r="MCF677" s="37"/>
      <c r="MCG677" s="37"/>
      <c r="MCH677" s="37"/>
      <c r="MCI677" s="37"/>
      <c r="MCJ677" s="37"/>
      <c r="MCK677" s="37"/>
      <c r="MCL677" s="37"/>
      <c r="MCM677" s="37"/>
      <c r="MCN677" s="37"/>
      <c r="MCO677" s="37"/>
      <c r="MCP677" s="37"/>
      <c r="MCQ677" s="37"/>
      <c r="MCR677" s="37"/>
      <c r="MCS677" s="37"/>
      <c r="MCT677" s="37"/>
      <c r="MCU677" s="37"/>
      <c r="MCV677" s="37"/>
      <c r="MCW677" s="37"/>
      <c r="MCX677" s="37"/>
      <c r="MCY677" s="37"/>
      <c r="MCZ677" s="37"/>
      <c r="MDA677" s="37"/>
      <c r="MDB677" s="37"/>
      <c r="MDC677" s="37"/>
      <c r="MDD677" s="37"/>
      <c r="MDE677" s="37"/>
      <c r="MDF677" s="37"/>
      <c r="MDG677" s="37"/>
      <c r="MDH677" s="37"/>
      <c r="MDI677" s="37"/>
      <c r="MDJ677" s="37"/>
      <c r="MDK677" s="37"/>
      <c r="MDL677" s="37"/>
      <c r="MDM677" s="37"/>
      <c r="MDN677" s="37"/>
      <c r="MDO677" s="37"/>
      <c r="MDP677" s="37"/>
      <c r="MDQ677" s="37"/>
      <c r="MDR677" s="37"/>
      <c r="MDS677" s="37"/>
      <c r="MDT677" s="37"/>
      <c r="MDU677" s="37"/>
      <c r="MDV677" s="37"/>
      <c r="MDW677" s="37"/>
      <c r="MDX677" s="37"/>
      <c r="MDY677" s="37"/>
      <c r="MDZ677" s="37"/>
      <c r="MEA677" s="37"/>
      <c r="MEB677" s="37"/>
      <c r="MEC677" s="37"/>
      <c r="MED677" s="37"/>
      <c r="MEE677" s="37"/>
      <c r="MEF677" s="37"/>
      <c r="MEG677" s="37"/>
      <c r="MEH677" s="37"/>
      <c r="MEI677" s="37"/>
      <c r="MEJ677" s="37"/>
      <c r="MEK677" s="37"/>
      <c r="MEL677" s="37"/>
      <c r="MEM677" s="37"/>
      <c r="MEN677" s="37"/>
      <c r="MEO677" s="37"/>
      <c r="MEP677" s="37"/>
      <c r="MEQ677" s="37"/>
      <c r="MER677" s="37"/>
      <c r="MES677" s="37"/>
      <c r="MET677" s="37"/>
      <c r="MEU677" s="37"/>
      <c r="MEV677" s="37"/>
      <c r="MEW677" s="37"/>
      <c r="MEX677" s="37"/>
      <c r="MEY677" s="37"/>
      <c r="MEZ677" s="37"/>
      <c r="MFA677" s="37"/>
      <c r="MFB677" s="37"/>
      <c r="MFC677" s="37"/>
      <c r="MFD677" s="37"/>
      <c r="MFE677" s="37"/>
      <c r="MFF677" s="37"/>
      <c r="MFG677" s="37"/>
      <c r="MFH677" s="37"/>
      <c r="MFI677" s="37"/>
      <c r="MFJ677" s="37"/>
      <c r="MFK677" s="37"/>
      <c r="MFL677" s="37"/>
      <c r="MFM677" s="37"/>
      <c r="MFN677" s="37"/>
      <c r="MFO677" s="37"/>
      <c r="MFP677" s="37"/>
      <c r="MFQ677" s="37"/>
      <c r="MFR677" s="37"/>
      <c r="MFS677" s="37"/>
      <c r="MFT677" s="37"/>
      <c r="MFU677" s="37"/>
      <c r="MFV677" s="37"/>
      <c r="MFW677" s="37"/>
      <c r="MFX677" s="37"/>
      <c r="MFY677" s="37"/>
      <c r="MFZ677" s="37"/>
      <c r="MGA677" s="37"/>
      <c r="MGB677" s="37"/>
      <c r="MGC677" s="37"/>
      <c r="MGD677" s="37"/>
      <c r="MGE677" s="37"/>
      <c r="MGF677" s="37"/>
      <c r="MGG677" s="37"/>
      <c r="MGH677" s="37"/>
      <c r="MGI677" s="37"/>
      <c r="MGJ677" s="37"/>
      <c r="MGK677" s="37"/>
      <c r="MGL677" s="37"/>
      <c r="MGM677" s="37"/>
      <c r="MGN677" s="37"/>
      <c r="MGO677" s="37"/>
      <c r="MGP677" s="37"/>
      <c r="MGQ677" s="37"/>
      <c r="MGR677" s="37"/>
      <c r="MGS677" s="37"/>
      <c r="MGT677" s="37"/>
      <c r="MGU677" s="37"/>
      <c r="MGV677" s="37"/>
      <c r="MGW677" s="37"/>
      <c r="MGX677" s="37"/>
      <c r="MGY677" s="37"/>
      <c r="MGZ677" s="37"/>
      <c r="MHA677" s="37"/>
      <c r="MHB677" s="37"/>
      <c r="MHC677" s="37"/>
      <c r="MHD677" s="37"/>
      <c r="MHE677" s="37"/>
      <c r="MHF677" s="37"/>
      <c r="MHG677" s="37"/>
      <c r="MHH677" s="37"/>
      <c r="MHI677" s="37"/>
      <c r="MHJ677" s="37"/>
      <c r="MHK677" s="37"/>
      <c r="MHL677" s="37"/>
      <c r="MHM677" s="37"/>
      <c r="MHN677" s="37"/>
      <c r="MHO677" s="37"/>
      <c r="MHP677" s="37"/>
      <c r="MHQ677" s="37"/>
      <c r="MHR677" s="37"/>
      <c r="MHS677" s="37"/>
      <c r="MHT677" s="37"/>
      <c r="MHU677" s="37"/>
      <c r="MHV677" s="37"/>
      <c r="MHW677" s="37"/>
      <c r="MHX677" s="37"/>
      <c r="MHY677" s="37"/>
      <c r="MHZ677" s="37"/>
      <c r="MIA677" s="37"/>
      <c r="MIB677" s="37"/>
      <c r="MIC677" s="37"/>
      <c r="MID677" s="37"/>
      <c r="MIE677" s="37"/>
      <c r="MIF677" s="37"/>
      <c r="MIG677" s="37"/>
      <c r="MIH677" s="37"/>
      <c r="MII677" s="37"/>
      <c r="MIJ677" s="37"/>
      <c r="MIK677" s="37"/>
      <c r="MIL677" s="37"/>
      <c r="MIM677" s="37"/>
      <c r="MIN677" s="37"/>
      <c r="MIO677" s="37"/>
      <c r="MIP677" s="37"/>
      <c r="MIQ677" s="37"/>
      <c r="MIR677" s="37"/>
      <c r="MIS677" s="37"/>
      <c r="MIT677" s="37"/>
      <c r="MIU677" s="37"/>
      <c r="MIV677" s="37"/>
      <c r="MIW677" s="37"/>
      <c r="MIX677" s="37"/>
      <c r="MIY677" s="37"/>
      <c r="MIZ677" s="37"/>
      <c r="MJA677" s="37"/>
      <c r="MJB677" s="37"/>
      <c r="MJC677" s="37"/>
      <c r="MJD677" s="37"/>
      <c r="MJE677" s="37"/>
      <c r="MJF677" s="37"/>
      <c r="MJG677" s="37"/>
      <c r="MJH677" s="37"/>
      <c r="MJI677" s="37"/>
      <c r="MJJ677" s="37"/>
      <c r="MJK677" s="37"/>
      <c r="MJL677" s="37"/>
      <c r="MJM677" s="37"/>
      <c r="MJN677" s="37"/>
      <c r="MJO677" s="37"/>
      <c r="MJP677" s="37"/>
      <c r="MJQ677" s="37"/>
      <c r="MJR677" s="37"/>
      <c r="MJS677" s="37"/>
      <c r="MJT677" s="37"/>
      <c r="MJU677" s="37"/>
      <c r="MJV677" s="37"/>
      <c r="MJW677" s="37"/>
      <c r="MJX677" s="37"/>
      <c r="MJY677" s="37"/>
      <c r="MJZ677" s="37"/>
      <c r="MKA677" s="37"/>
      <c r="MKB677" s="37"/>
      <c r="MKC677" s="37"/>
      <c r="MKD677" s="37"/>
      <c r="MKE677" s="37"/>
      <c r="MKF677" s="37"/>
      <c r="MKG677" s="37"/>
      <c r="MKH677" s="37"/>
      <c r="MKI677" s="37"/>
      <c r="MKJ677" s="37"/>
      <c r="MKK677" s="37"/>
      <c r="MKL677" s="37"/>
      <c r="MKM677" s="37"/>
      <c r="MKN677" s="37"/>
      <c r="MKO677" s="37"/>
      <c r="MKP677" s="37"/>
      <c r="MKQ677" s="37"/>
      <c r="MKR677" s="37"/>
      <c r="MKS677" s="37"/>
      <c r="MKT677" s="37"/>
      <c r="MKU677" s="37"/>
      <c r="MKV677" s="37"/>
      <c r="MKW677" s="37"/>
      <c r="MKX677" s="37"/>
      <c r="MKY677" s="37"/>
      <c r="MKZ677" s="37"/>
      <c r="MLA677" s="37"/>
      <c r="MLB677" s="37"/>
      <c r="MLC677" s="37"/>
      <c r="MLD677" s="37"/>
      <c r="MLE677" s="37"/>
      <c r="MLF677" s="37"/>
      <c r="MLG677" s="37"/>
      <c r="MLH677" s="37"/>
      <c r="MLI677" s="37"/>
      <c r="MLJ677" s="37"/>
      <c r="MLK677" s="37"/>
      <c r="MLL677" s="37"/>
      <c r="MLM677" s="37"/>
      <c r="MLN677" s="37"/>
      <c r="MLO677" s="37"/>
      <c r="MLP677" s="37"/>
      <c r="MLQ677" s="37"/>
      <c r="MLR677" s="37"/>
      <c r="MLS677" s="37"/>
      <c r="MLT677" s="37"/>
      <c r="MLU677" s="37"/>
      <c r="MLV677" s="37"/>
      <c r="MLW677" s="37"/>
      <c r="MLX677" s="37"/>
      <c r="MLY677" s="37"/>
      <c r="MLZ677" s="37"/>
      <c r="MMA677" s="37"/>
      <c r="MMB677" s="37"/>
      <c r="MMC677" s="37"/>
      <c r="MMD677" s="37"/>
      <c r="MME677" s="37"/>
      <c r="MMF677" s="37"/>
      <c r="MMG677" s="37"/>
      <c r="MMH677" s="37"/>
      <c r="MMI677" s="37"/>
      <c r="MMJ677" s="37"/>
      <c r="MMK677" s="37"/>
      <c r="MML677" s="37"/>
      <c r="MMM677" s="37"/>
      <c r="MMN677" s="37"/>
      <c r="MMO677" s="37"/>
      <c r="MMP677" s="37"/>
      <c r="MMQ677" s="37"/>
      <c r="MMR677" s="37"/>
      <c r="MMS677" s="37"/>
      <c r="MMT677" s="37"/>
      <c r="MMU677" s="37"/>
      <c r="MMV677" s="37"/>
      <c r="MMW677" s="37"/>
      <c r="MMX677" s="37"/>
      <c r="MMY677" s="37"/>
      <c r="MMZ677" s="37"/>
      <c r="MNA677" s="37"/>
      <c r="MNB677" s="37"/>
      <c r="MNC677" s="37"/>
      <c r="MND677" s="37"/>
      <c r="MNE677" s="37"/>
      <c r="MNF677" s="37"/>
      <c r="MNG677" s="37"/>
      <c r="MNH677" s="37"/>
      <c r="MNI677" s="37"/>
      <c r="MNJ677" s="37"/>
      <c r="MNK677" s="37"/>
      <c r="MNL677" s="37"/>
      <c r="MNM677" s="37"/>
      <c r="MNN677" s="37"/>
      <c r="MNO677" s="37"/>
      <c r="MNP677" s="37"/>
      <c r="MNQ677" s="37"/>
      <c r="MNR677" s="37"/>
      <c r="MNS677" s="37"/>
      <c r="MNT677" s="37"/>
      <c r="MNU677" s="37"/>
      <c r="MNV677" s="37"/>
      <c r="MNW677" s="37"/>
      <c r="MNX677" s="37"/>
      <c r="MNY677" s="37"/>
      <c r="MNZ677" s="37"/>
      <c r="MOA677" s="37"/>
      <c r="MOB677" s="37"/>
      <c r="MOC677" s="37"/>
      <c r="MOD677" s="37"/>
      <c r="MOE677" s="37"/>
      <c r="MOF677" s="37"/>
      <c r="MOG677" s="37"/>
      <c r="MOH677" s="37"/>
      <c r="MOI677" s="37"/>
      <c r="MOJ677" s="37"/>
      <c r="MOK677" s="37"/>
      <c r="MOL677" s="37"/>
      <c r="MOM677" s="37"/>
      <c r="MON677" s="37"/>
      <c r="MOO677" s="37"/>
      <c r="MOP677" s="37"/>
      <c r="MOQ677" s="37"/>
      <c r="MOR677" s="37"/>
      <c r="MOS677" s="37"/>
      <c r="MOT677" s="37"/>
      <c r="MOU677" s="37"/>
      <c r="MOV677" s="37"/>
      <c r="MOW677" s="37"/>
      <c r="MOX677" s="37"/>
      <c r="MOY677" s="37"/>
      <c r="MOZ677" s="37"/>
      <c r="MPA677" s="37"/>
      <c r="MPB677" s="37"/>
      <c r="MPC677" s="37"/>
      <c r="MPD677" s="37"/>
      <c r="MPE677" s="37"/>
      <c r="MPF677" s="37"/>
      <c r="MPG677" s="37"/>
      <c r="MPH677" s="37"/>
      <c r="MPI677" s="37"/>
      <c r="MPJ677" s="37"/>
      <c r="MPK677" s="37"/>
      <c r="MPL677" s="37"/>
      <c r="MPM677" s="37"/>
      <c r="MPN677" s="37"/>
      <c r="MPO677" s="37"/>
      <c r="MPP677" s="37"/>
      <c r="MPQ677" s="37"/>
      <c r="MPR677" s="37"/>
      <c r="MPS677" s="37"/>
      <c r="MPT677" s="37"/>
      <c r="MPU677" s="37"/>
      <c r="MPV677" s="37"/>
      <c r="MPW677" s="37"/>
      <c r="MPX677" s="37"/>
      <c r="MPY677" s="37"/>
      <c r="MPZ677" s="37"/>
      <c r="MQA677" s="37"/>
      <c r="MQB677" s="37"/>
      <c r="MQC677" s="37"/>
      <c r="MQD677" s="37"/>
      <c r="MQE677" s="37"/>
      <c r="MQF677" s="37"/>
      <c r="MQG677" s="37"/>
      <c r="MQH677" s="37"/>
      <c r="MQI677" s="37"/>
      <c r="MQJ677" s="37"/>
      <c r="MQK677" s="37"/>
      <c r="MQL677" s="37"/>
      <c r="MQM677" s="37"/>
      <c r="MQN677" s="37"/>
      <c r="MQO677" s="37"/>
      <c r="MQP677" s="37"/>
      <c r="MQQ677" s="37"/>
      <c r="MQR677" s="37"/>
      <c r="MQS677" s="37"/>
      <c r="MQT677" s="37"/>
      <c r="MQU677" s="37"/>
      <c r="MQV677" s="37"/>
      <c r="MQW677" s="37"/>
      <c r="MQX677" s="37"/>
      <c r="MQY677" s="37"/>
      <c r="MQZ677" s="37"/>
      <c r="MRA677" s="37"/>
      <c r="MRB677" s="37"/>
      <c r="MRC677" s="37"/>
      <c r="MRD677" s="37"/>
      <c r="MRE677" s="37"/>
      <c r="MRF677" s="37"/>
      <c r="MRG677" s="37"/>
      <c r="MRH677" s="37"/>
      <c r="MRI677" s="37"/>
      <c r="MRJ677" s="37"/>
      <c r="MRK677" s="37"/>
      <c r="MRL677" s="37"/>
      <c r="MRM677" s="37"/>
      <c r="MRN677" s="37"/>
      <c r="MRO677" s="37"/>
      <c r="MRP677" s="37"/>
      <c r="MRQ677" s="37"/>
      <c r="MRR677" s="37"/>
      <c r="MRS677" s="37"/>
      <c r="MRT677" s="37"/>
      <c r="MRU677" s="37"/>
      <c r="MRV677" s="37"/>
      <c r="MRW677" s="37"/>
      <c r="MRX677" s="37"/>
      <c r="MRY677" s="37"/>
      <c r="MRZ677" s="37"/>
      <c r="MSA677" s="37"/>
      <c r="MSB677" s="37"/>
      <c r="MSC677" s="37"/>
      <c r="MSD677" s="37"/>
      <c r="MSE677" s="37"/>
      <c r="MSF677" s="37"/>
      <c r="MSG677" s="37"/>
      <c r="MSH677" s="37"/>
      <c r="MSI677" s="37"/>
      <c r="MSJ677" s="37"/>
      <c r="MSK677" s="37"/>
      <c r="MSL677" s="37"/>
      <c r="MSM677" s="37"/>
      <c r="MSN677" s="37"/>
      <c r="MSO677" s="37"/>
      <c r="MSP677" s="37"/>
      <c r="MSQ677" s="37"/>
      <c r="MSR677" s="37"/>
      <c r="MSS677" s="37"/>
      <c r="MST677" s="37"/>
      <c r="MSU677" s="37"/>
      <c r="MSV677" s="37"/>
      <c r="MSW677" s="37"/>
      <c r="MSX677" s="37"/>
      <c r="MSY677" s="37"/>
      <c r="MSZ677" s="37"/>
      <c r="MTA677" s="37"/>
      <c r="MTB677" s="37"/>
      <c r="MTC677" s="37"/>
      <c r="MTD677" s="37"/>
      <c r="MTE677" s="37"/>
      <c r="MTF677" s="37"/>
      <c r="MTG677" s="37"/>
      <c r="MTH677" s="37"/>
      <c r="MTI677" s="37"/>
      <c r="MTJ677" s="37"/>
      <c r="MTK677" s="37"/>
      <c r="MTL677" s="37"/>
      <c r="MTM677" s="37"/>
      <c r="MTN677" s="37"/>
      <c r="MTO677" s="37"/>
      <c r="MTP677" s="37"/>
      <c r="MTQ677" s="37"/>
      <c r="MTR677" s="37"/>
      <c r="MTS677" s="37"/>
      <c r="MTT677" s="37"/>
      <c r="MTU677" s="37"/>
      <c r="MTV677" s="37"/>
      <c r="MTW677" s="37"/>
      <c r="MTX677" s="37"/>
      <c r="MTY677" s="37"/>
      <c r="MTZ677" s="37"/>
      <c r="MUA677" s="37"/>
      <c r="MUB677" s="37"/>
      <c r="MUC677" s="37"/>
      <c r="MUD677" s="37"/>
      <c r="MUE677" s="37"/>
      <c r="MUF677" s="37"/>
      <c r="MUG677" s="37"/>
      <c r="MUH677" s="37"/>
      <c r="MUI677" s="37"/>
      <c r="MUJ677" s="37"/>
      <c r="MUK677" s="37"/>
      <c r="MUL677" s="37"/>
      <c r="MUM677" s="37"/>
      <c r="MUN677" s="37"/>
      <c r="MUO677" s="37"/>
      <c r="MUP677" s="37"/>
      <c r="MUQ677" s="37"/>
      <c r="MUR677" s="37"/>
      <c r="MUS677" s="37"/>
      <c r="MUT677" s="37"/>
      <c r="MUU677" s="37"/>
      <c r="MUV677" s="37"/>
      <c r="MUW677" s="37"/>
      <c r="MUX677" s="37"/>
      <c r="MUY677" s="37"/>
      <c r="MUZ677" s="37"/>
      <c r="MVA677" s="37"/>
      <c r="MVB677" s="37"/>
      <c r="MVC677" s="37"/>
      <c r="MVD677" s="37"/>
      <c r="MVE677" s="37"/>
      <c r="MVF677" s="37"/>
      <c r="MVG677" s="37"/>
      <c r="MVH677" s="37"/>
      <c r="MVI677" s="37"/>
      <c r="MVJ677" s="37"/>
      <c r="MVK677" s="37"/>
      <c r="MVL677" s="37"/>
      <c r="MVM677" s="37"/>
      <c r="MVN677" s="37"/>
      <c r="MVO677" s="37"/>
      <c r="MVP677" s="37"/>
      <c r="MVQ677" s="37"/>
      <c r="MVR677" s="37"/>
      <c r="MVS677" s="37"/>
      <c r="MVT677" s="37"/>
      <c r="MVU677" s="37"/>
      <c r="MVV677" s="37"/>
      <c r="MVW677" s="37"/>
      <c r="MVX677" s="37"/>
      <c r="MVY677" s="37"/>
      <c r="MVZ677" s="37"/>
      <c r="MWA677" s="37"/>
      <c r="MWB677" s="37"/>
      <c r="MWC677" s="37"/>
      <c r="MWD677" s="37"/>
      <c r="MWE677" s="37"/>
      <c r="MWF677" s="37"/>
      <c r="MWG677" s="37"/>
      <c r="MWH677" s="37"/>
      <c r="MWI677" s="37"/>
      <c r="MWJ677" s="37"/>
      <c r="MWK677" s="37"/>
      <c r="MWL677" s="37"/>
      <c r="MWM677" s="37"/>
      <c r="MWN677" s="37"/>
      <c r="MWO677" s="37"/>
      <c r="MWP677" s="37"/>
      <c r="MWQ677" s="37"/>
      <c r="MWR677" s="37"/>
      <c r="MWS677" s="37"/>
      <c r="MWT677" s="37"/>
      <c r="MWU677" s="37"/>
      <c r="MWV677" s="37"/>
      <c r="MWW677" s="37"/>
      <c r="MWX677" s="37"/>
      <c r="MWY677" s="37"/>
      <c r="MWZ677" s="37"/>
      <c r="MXA677" s="37"/>
      <c r="MXB677" s="37"/>
      <c r="MXC677" s="37"/>
      <c r="MXD677" s="37"/>
      <c r="MXE677" s="37"/>
      <c r="MXF677" s="37"/>
      <c r="MXG677" s="37"/>
      <c r="MXH677" s="37"/>
      <c r="MXI677" s="37"/>
      <c r="MXJ677" s="37"/>
      <c r="MXK677" s="37"/>
      <c r="MXL677" s="37"/>
      <c r="MXM677" s="37"/>
      <c r="MXN677" s="37"/>
      <c r="MXO677" s="37"/>
      <c r="MXP677" s="37"/>
      <c r="MXQ677" s="37"/>
      <c r="MXR677" s="37"/>
      <c r="MXS677" s="37"/>
      <c r="MXT677" s="37"/>
      <c r="MXU677" s="37"/>
      <c r="MXV677" s="37"/>
      <c r="MXW677" s="37"/>
      <c r="MXX677" s="37"/>
      <c r="MXY677" s="37"/>
      <c r="MXZ677" s="37"/>
      <c r="MYA677" s="37"/>
      <c r="MYB677" s="37"/>
      <c r="MYC677" s="37"/>
      <c r="MYD677" s="37"/>
      <c r="MYE677" s="37"/>
      <c r="MYF677" s="37"/>
      <c r="MYG677" s="37"/>
      <c r="MYH677" s="37"/>
      <c r="MYI677" s="37"/>
      <c r="MYJ677" s="37"/>
      <c r="MYK677" s="37"/>
      <c r="MYL677" s="37"/>
      <c r="MYM677" s="37"/>
      <c r="MYN677" s="37"/>
      <c r="MYO677" s="37"/>
      <c r="MYP677" s="37"/>
      <c r="MYQ677" s="37"/>
      <c r="MYR677" s="37"/>
      <c r="MYS677" s="37"/>
      <c r="MYT677" s="37"/>
      <c r="MYU677" s="37"/>
      <c r="MYV677" s="37"/>
      <c r="MYW677" s="37"/>
      <c r="MYX677" s="37"/>
      <c r="MYY677" s="37"/>
      <c r="MYZ677" s="37"/>
      <c r="MZA677" s="37"/>
      <c r="MZB677" s="37"/>
      <c r="MZC677" s="37"/>
      <c r="MZD677" s="37"/>
      <c r="MZE677" s="37"/>
      <c r="MZF677" s="37"/>
      <c r="MZG677" s="37"/>
      <c r="MZH677" s="37"/>
      <c r="MZI677" s="37"/>
      <c r="MZJ677" s="37"/>
      <c r="MZK677" s="37"/>
      <c r="MZL677" s="37"/>
      <c r="MZM677" s="37"/>
      <c r="MZN677" s="37"/>
      <c r="MZO677" s="37"/>
      <c r="MZP677" s="37"/>
      <c r="MZQ677" s="37"/>
      <c r="MZR677" s="37"/>
      <c r="MZS677" s="37"/>
      <c r="MZT677" s="37"/>
      <c r="MZU677" s="37"/>
      <c r="MZV677" s="37"/>
      <c r="MZW677" s="37"/>
      <c r="MZX677" s="37"/>
      <c r="MZY677" s="37"/>
      <c r="MZZ677" s="37"/>
      <c r="NAA677" s="37"/>
      <c r="NAB677" s="37"/>
      <c r="NAC677" s="37"/>
      <c r="NAD677" s="37"/>
      <c r="NAE677" s="37"/>
      <c r="NAF677" s="37"/>
      <c r="NAG677" s="37"/>
      <c r="NAH677" s="37"/>
      <c r="NAI677" s="37"/>
      <c r="NAJ677" s="37"/>
      <c r="NAK677" s="37"/>
      <c r="NAL677" s="37"/>
      <c r="NAM677" s="37"/>
      <c r="NAN677" s="37"/>
      <c r="NAO677" s="37"/>
      <c r="NAP677" s="37"/>
      <c r="NAQ677" s="37"/>
      <c r="NAR677" s="37"/>
      <c r="NAS677" s="37"/>
      <c r="NAT677" s="37"/>
      <c r="NAU677" s="37"/>
      <c r="NAV677" s="37"/>
      <c r="NAW677" s="37"/>
      <c r="NAX677" s="37"/>
      <c r="NAY677" s="37"/>
      <c r="NAZ677" s="37"/>
      <c r="NBA677" s="37"/>
      <c r="NBB677" s="37"/>
      <c r="NBC677" s="37"/>
      <c r="NBD677" s="37"/>
      <c r="NBE677" s="37"/>
      <c r="NBF677" s="37"/>
      <c r="NBG677" s="37"/>
      <c r="NBH677" s="37"/>
      <c r="NBI677" s="37"/>
      <c r="NBJ677" s="37"/>
      <c r="NBK677" s="37"/>
      <c r="NBL677" s="37"/>
      <c r="NBM677" s="37"/>
      <c r="NBN677" s="37"/>
      <c r="NBO677" s="37"/>
      <c r="NBP677" s="37"/>
      <c r="NBQ677" s="37"/>
      <c r="NBR677" s="37"/>
      <c r="NBS677" s="37"/>
      <c r="NBT677" s="37"/>
      <c r="NBU677" s="37"/>
      <c r="NBV677" s="37"/>
      <c r="NBW677" s="37"/>
      <c r="NBX677" s="37"/>
      <c r="NBY677" s="37"/>
      <c r="NBZ677" s="37"/>
      <c r="NCA677" s="37"/>
      <c r="NCB677" s="37"/>
      <c r="NCC677" s="37"/>
      <c r="NCD677" s="37"/>
      <c r="NCE677" s="37"/>
      <c r="NCF677" s="37"/>
      <c r="NCG677" s="37"/>
      <c r="NCH677" s="37"/>
      <c r="NCI677" s="37"/>
      <c r="NCJ677" s="37"/>
      <c r="NCK677" s="37"/>
      <c r="NCL677" s="37"/>
      <c r="NCM677" s="37"/>
      <c r="NCN677" s="37"/>
      <c r="NCO677" s="37"/>
      <c r="NCP677" s="37"/>
      <c r="NCQ677" s="37"/>
      <c r="NCR677" s="37"/>
      <c r="NCS677" s="37"/>
      <c r="NCT677" s="37"/>
      <c r="NCU677" s="37"/>
      <c r="NCV677" s="37"/>
      <c r="NCW677" s="37"/>
      <c r="NCX677" s="37"/>
      <c r="NCY677" s="37"/>
      <c r="NCZ677" s="37"/>
      <c r="NDA677" s="37"/>
      <c r="NDB677" s="37"/>
      <c r="NDC677" s="37"/>
      <c r="NDD677" s="37"/>
      <c r="NDE677" s="37"/>
      <c r="NDF677" s="37"/>
      <c r="NDG677" s="37"/>
      <c r="NDH677" s="37"/>
      <c r="NDI677" s="37"/>
      <c r="NDJ677" s="37"/>
      <c r="NDK677" s="37"/>
      <c r="NDL677" s="37"/>
      <c r="NDM677" s="37"/>
      <c r="NDN677" s="37"/>
      <c r="NDO677" s="37"/>
      <c r="NDP677" s="37"/>
      <c r="NDQ677" s="37"/>
      <c r="NDR677" s="37"/>
      <c r="NDS677" s="37"/>
      <c r="NDT677" s="37"/>
      <c r="NDU677" s="37"/>
      <c r="NDV677" s="37"/>
      <c r="NDW677" s="37"/>
      <c r="NDX677" s="37"/>
      <c r="NDY677" s="37"/>
      <c r="NDZ677" s="37"/>
      <c r="NEA677" s="37"/>
      <c r="NEB677" s="37"/>
      <c r="NEC677" s="37"/>
      <c r="NED677" s="37"/>
      <c r="NEE677" s="37"/>
      <c r="NEF677" s="37"/>
      <c r="NEG677" s="37"/>
      <c r="NEH677" s="37"/>
      <c r="NEI677" s="37"/>
      <c r="NEJ677" s="37"/>
      <c r="NEK677" s="37"/>
      <c r="NEL677" s="37"/>
      <c r="NEM677" s="37"/>
      <c r="NEN677" s="37"/>
      <c r="NEO677" s="37"/>
      <c r="NEP677" s="37"/>
      <c r="NEQ677" s="37"/>
      <c r="NER677" s="37"/>
      <c r="NES677" s="37"/>
      <c r="NET677" s="37"/>
      <c r="NEU677" s="37"/>
      <c r="NEV677" s="37"/>
      <c r="NEW677" s="37"/>
      <c r="NEX677" s="37"/>
      <c r="NEY677" s="37"/>
      <c r="NEZ677" s="37"/>
      <c r="NFA677" s="37"/>
      <c r="NFB677" s="37"/>
      <c r="NFC677" s="37"/>
      <c r="NFD677" s="37"/>
      <c r="NFE677" s="37"/>
      <c r="NFF677" s="37"/>
      <c r="NFG677" s="37"/>
      <c r="NFH677" s="37"/>
      <c r="NFI677" s="37"/>
      <c r="NFJ677" s="37"/>
      <c r="NFK677" s="37"/>
      <c r="NFL677" s="37"/>
      <c r="NFM677" s="37"/>
      <c r="NFN677" s="37"/>
      <c r="NFO677" s="37"/>
      <c r="NFP677" s="37"/>
      <c r="NFQ677" s="37"/>
      <c r="NFR677" s="37"/>
      <c r="NFS677" s="37"/>
      <c r="NFT677" s="37"/>
      <c r="NFU677" s="37"/>
      <c r="NFV677" s="37"/>
      <c r="NFW677" s="37"/>
      <c r="NFX677" s="37"/>
      <c r="NFY677" s="37"/>
      <c r="NFZ677" s="37"/>
      <c r="NGA677" s="37"/>
      <c r="NGB677" s="37"/>
      <c r="NGC677" s="37"/>
      <c r="NGD677" s="37"/>
      <c r="NGE677" s="37"/>
      <c r="NGF677" s="37"/>
      <c r="NGG677" s="37"/>
      <c r="NGH677" s="37"/>
      <c r="NGI677" s="37"/>
      <c r="NGJ677" s="37"/>
      <c r="NGK677" s="37"/>
      <c r="NGL677" s="37"/>
      <c r="NGM677" s="37"/>
      <c r="NGN677" s="37"/>
      <c r="NGO677" s="37"/>
      <c r="NGP677" s="37"/>
      <c r="NGQ677" s="37"/>
      <c r="NGR677" s="37"/>
      <c r="NGS677" s="37"/>
      <c r="NGT677" s="37"/>
      <c r="NGU677" s="37"/>
      <c r="NGV677" s="37"/>
      <c r="NGW677" s="37"/>
      <c r="NGX677" s="37"/>
      <c r="NGY677" s="37"/>
      <c r="NGZ677" s="37"/>
      <c r="NHA677" s="37"/>
      <c r="NHB677" s="37"/>
      <c r="NHC677" s="37"/>
      <c r="NHD677" s="37"/>
      <c r="NHE677" s="37"/>
      <c r="NHF677" s="37"/>
      <c r="NHG677" s="37"/>
      <c r="NHH677" s="37"/>
      <c r="NHI677" s="37"/>
      <c r="NHJ677" s="37"/>
      <c r="NHK677" s="37"/>
      <c r="NHL677" s="37"/>
      <c r="NHM677" s="37"/>
      <c r="NHN677" s="37"/>
      <c r="NHO677" s="37"/>
      <c r="NHP677" s="37"/>
      <c r="NHQ677" s="37"/>
      <c r="NHR677" s="37"/>
      <c r="NHS677" s="37"/>
      <c r="NHT677" s="37"/>
      <c r="NHU677" s="37"/>
      <c r="NHV677" s="37"/>
      <c r="NHW677" s="37"/>
      <c r="NHX677" s="37"/>
      <c r="NHY677" s="37"/>
      <c r="NHZ677" s="37"/>
      <c r="NIA677" s="37"/>
      <c r="NIB677" s="37"/>
      <c r="NIC677" s="37"/>
      <c r="NID677" s="37"/>
      <c r="NIE677" s="37"/>
      <c r="NIF677" s="37"/>
      <c r="NIG677" s="37"/>
      <c r="NIH677" s="37"/>
      <c r="NII677" s="37"/>
      <c r="NIJ677" s="37"/>
      <c r="NIK677" s="37"/>
      <c r="NIL677" s="37"/>
      <c r="NIM677" s="37"/>
      <c r="NIN677" s="37"/>
      <c r="NIO677" s="37"/>
      <c r="NIP677" s="37"/>
      <c r="NIQ677" s="37"/>
      <c r="NIR677" s="37"/>
      <c r="NIS677" s="37"/>
      <c r="NIT677" s="37"/>
      <c r="NIU677" s="37"/>
      <c r="NIV677" s="37"/>
      <c r="NIW677" s="37"/>
      <c r="NIX677" s="37"/>
      <c r="NIY677" s="37"/>
      <c r="NIZ677" s="37"/>
      <c r="NJA677" s="37"/>
      <c r="NJB677" s="37"/>
      <c r="NJC677" s="37"/>
      <c r="NJD677" s="37"/>
      <c r="NJE677" s="37"/>
      <c r="NJF677" s="37"/>
      <c r="NJG677" s="37"/>
      <c r="NJH677" s="37"/>
      <c r="NJI677" s="37"/>
      <c r="NJJ677" s="37"/>
      <c r="NJK677" s="37"/>
      <c r="NJL677" s="37"/>
      <c r="NJM677" s="37"/>
      <c r="NJN677" s="37"/>
      <c r="NJO677" s="37"/>
      <c r="NJP677" s="37"/>
      <c r="NJQ677" s="37"/>
      <c r="NJR677" s="37"/>
      <c r="NJS677" s="37"/>
      <c r="NJT677" s="37"/>
      <c r="NJU677" s="37"/>
      <c r="NJV677" s="37"/>
      <c r="NJW677" s="37"/>
      <c r="NJX677" s="37"/>
      <c r="NJY677" s="37"/>
      <c r="NJZ677" s="37"/>
      <c r="NKA677" s="37"/>
      <c r="NKB677" s="37"/>
      <c r="NKC677" s="37"/>
      <c r="NKD677" s="37"/>
      <c r="NKE677" s="37"/>
      <c r="NKF677" s="37"/>
      <c r="NKG677" s="37"/>
      <c r="NKH677" s="37"/>
      <c r="NKI677" s="37"/>
      <c r="NKJ677" s="37"/>
      <c r="NKK677" s="37"/>
      <c r="NKL677" s="37"/>
      <c r="NKM677" s="37"/>
      <c r="NKN677" s="37"/>
      <c r="NKO677" s="37"/>
      <c r="NKP677" s="37"/>
      <c r="NKQ677" s="37"/>
      <c r="NKR677" s="37"/>
      <c r="NKS677" s="37"/>
      <c r="NKT677" s="37"/>
      <c r="NKU677" s="37"/>
      <c r="NKV677" s="37"/>
      <c r="NKW677" s="37"/>
      <c r="NKX677" s="37"/>
      <c r="NKY677" s="37"/>
      <c r="NKZ677" s="37"/>
      <c r="NLA677" s="37"/>
      <c r="NLB677" s="37"/>
      <c r="NLC677" s="37"/>
      <c r="NLD677" s="37"/>
      <c r="NLE677" s="37"/>
      <c r="NLF677" s="37"/>
      <c r="NLG677" s="37"/>
      <c r="NLH677" s="37"/>
      <c r="NLI677" s="37"/>
      <c r="NLJ677" s="37"/>
      <c r="NLK677" s="37"/>
      <c r="NLL677" s="37"/>
      <c r="NLM677" s="37"/>
      <c r="NLN677" s="37"/>
      <c r="NLO677" s="37"/>
      <c r="NLP677" s="37"/>
      <c r="NLQ677" s="37"/>
      <c r="NLR677" s="37"/>
      <c r="NLS677" s="37"/>
      <c r="NLT677" s="37"/>
      <c r="NLU677" s="37"/>
      <c r="NLV677" s="37"/>
      <c r="NLW677" s="37"/>
      <c r="NLX677" s="37"/>
      <c r="NLY677" s="37"/>
      <c r="NLZ677" s="37"/>
      <c r="NMA677" s="37"/>
      <c r="NMB677" s="37"/>
      <c r="NMC677" s="37"/>
      <c r="NMD677" s="37"/>
      <c r="NME677" s="37"/>
      <c r="NMF677" s="37"/>
      <c r="NMG677" s="37"/>
      <c r="NMH677" s="37"/>
      <c r="NMI677" s="37"/>
      <c r="NMJ677" s="37"/>
      <c r="NMK677" s="37"/>
      <c r="NML677" s="37"/>
      <c r="NMM677" s="37"/>
      <c r="NMN677" s="37"/>
      <c r="NMO677" s="37"/>
      <c r="NMP677" s="37"/>
      <c r="NMQ677" s="37"/>
      <c r="NMR677" s="37"/>
      <c r="NMS677" s="37"/>
      <c r="NMT677" s="37"/>
      <c r="NMU677" s="37"/>
      <c r="NMV677" s="37"/>
      <c r="NMW677" s="37"/>
      <c r="NMX677" s="37"/>
      <c r="NMY677" s="37"/>
      <c r="NMZ677" s="37"/>
      <c r="NNA677" s="37"/>
      <c r="NNB677" s="37"/>
      <c r="NNC677" s="37"/>
      <c r="NND677" s="37"/>
      <c r="NNE677" s="37"/>
      <c r="NNF677" s="37"/>
      <c r="NNG677" s="37"/>
      <c r="NNH677" s="37"/>
      <c r="NNI677" s="37"/>
      <c r="NNJ677" s="37"/>
      <c r="NNK677" s="37"/>
      <c r="NNL677" s="37"/>
      <c r="NNM677" s="37"/>
      <c r="NNN677" s="37"/>
      <c r="NNO677" s="37"/>
      <c r="NNP677" s="37"/>
      <c r="NNQ677" s="37"/>
      <c r="NNR677" s="37"/>
      <c r="NNS677" s="37"/>
      <c r="NNT677" s="37"/>
      <c r="NNU677" s="37"/>
      <c r="NNV677" s="37"/>
      <c r="NNW677" s="37"/>
      <c r="NNX677" s="37"/>
      <c r="NNY677" s="37"/>
      <c r="NNZ677" s="37"/>
      <c r="NOA677" s="37"/>
      <c r="NOB677" s="37"/>
      <c r="NOC677" s="37"/>
      <c r="NOD677" s="37"/>
      <c r="NOE677" s="37"/>
      <c r="NOF677" s="37"/>
      <c r="NOG677" s="37"/>
      <c r="NOH677" s="37"/>
      <c r="NOI677" s="37"/>
      <c r="NOJ677" s="37"/>
      <c r="NOK677" s="37"/>
      <c r="NOL677" s="37"/>
      <c r="NOM677" s="37"/>
      <c r="NON677" s="37"/>
      <c r="NOO677" s="37"/>
      <c r="NOP677" s="37"/>
      <c r="NOQ677" s="37"/>
      <c r="NOR677" s="37"/>
      <c r="NOS677" s="37"/>
      <c r="NOT677" s="37"/>
      <c r="NOU677" s="37"/>
      <c r="NOV677" s="37"/>
      <c r="NOW677" s="37"/>
      <c r="NOX677" s="37"/>
      <c r="NOY677" s="37"/>
      <c r="NOZ677" s="37"/>
      <c r="NPA677" s="37"/>
      <c r="NPB677" s="37"/>
      <c r="NPC677" s="37"/>
      <c r="NPD677" s="37"/>
      <c r="NPE677" s="37"/>
      <c r="NPF677" s="37"/>
      <c r="NPG677" s="37"/>
      <c r="NPH677" s="37"/>
      <c r="NPI677" s="37"/>
      <c r="NPJ677" s="37"/>
      <c r="NPK677" s="37"/>
      <c r="NPL677" s="37"/>
      <c r="NPM677" s="37"/>
      <c r="NPN677" s="37"/>
      <c r="NPO677" s="37"/>
      <c r="NPP677" s="37"/>
      <c r="NPQ677" s="37"/>
      <c r="NPR677" s="37"/>
      <c r="NPS677" s="37"/>
      <c r="NPT677" s="37"/>
      <c r="NPU677" s="37"/>
      <c r="NPV677" s="37"/>
      <c r="NPW677" s="37"/>
      <c r="NPX677" s="37"/>
      <c r="NPY677" s="37"/>
      <c r="NPZ677" s="37"/>
      <c r="NQA677" s="37"/>
      <c r="NQB677" s="37"/>
      <c r="NQC677" s="37"/>
      <c r="NQD677" s="37"/>
      <c r="NQE677" s="37"/>
      <c r="NQF677" s="37"/>
      <c r="NQG677" s="37"/>
      <c r="NQH677" s="37"/>
      <c r="NQI677" s="37"/>
      <c r="NQJ677" s="37"/>
      <c r="NQK677" s="37"/>
      <c r="NQL677" s="37"/>
      <c r="NQM677" s="37"/>
      <c r="NQN677" s="37"/>
      <c r="NQO677" s="37"/>
      <c r="NQP677" s="37"/>
      <c r="NQQ677" s="37"/>
      <c r="NQR677" s="37"/>
      <c r="NQS677" s="37"/>
      <c r="NQT677" s="37"/>
      <c r="NQU677" s="37"/>
      <c r="NQV677" s="37"/>
      <c r="NQW677" s="37"/>
      <c r="NQX677" s="37"/>
      <c r="NQY677" s="37"/>
      <c r="NQZ677" s="37"/>
      <c r="NRA677" s="37"/>
      <c r="NRB677" s="37"/>
      <c r="NRC677" s="37"/>
      <c r="NRD677" s="37"/>
      <c r="NRE677" s="37"/>
      <c r="NRF677" s="37"/>
      <c r="NRG677" s="37"/>
      <c r="NRH677" s="37"/>
      <c r="NRI677" s="37"/>
      <c r="NRJ677" s="37"/>
      <c r="NRK677" s="37"/>
      <c r="NRL677" s="37"/>
      <c r="NRM677" s="37"/>
      <c r="NRN677" s="37"/>
      <c r="NRO677" s="37"/>
      <c r="NRP677" s="37"/>
      <c r="NRQ677" s="37"/>
      <c r="NRR677" s="37"/>
      <c r="NRS677" s="37"/>
      <c r="NRT677" s="37"/>
      <c r="NRU677" s="37"/>
      <c r="NRV677" s="37"/>
      <c r="NRW677" s="37"/>
      <c r="NRX677" s="37"/>
      <c r="NRY677" s="37"/>
      <c r="NRZ677" s="37"/>
      <c r="NSA677" s="37"/>
      <c r="NSB677" s="37"/>
      <c r="NSC677" s="37"/>
      <c r="NSD677" s="37"/>
      <c r="NSE677" s="37"/>
      <c r="NSF677" s="37"/>
      <c r="NSG677" s="37"/>
      <c r="NSH677" s="37"/>
      <c r="NSI677" s="37"/>
      <c r="NSJ677" s="37"/>
      <c r="NSK677" s="37"/>
      <c r="NSL677" s="37"/>
      <c r="NSM677" s="37"/>
      <c r="NSN677" s="37"/>
      <c r="NSO677" s="37"/>
      <c r="NSP677" s="37"/>
      <c r="NSQ677" s="37"/>
      <c r="NSR677" s="37"/>
      <c r="NSS677" s="37"/>
      <c r="NST677" s="37"/>
      <c r="NSU677" s="37"/>
      <c r="NSV677" s="37"/>
      <c r="NSW677" s="37"/>
      <c r="NSX677" s="37"/>
      <c r="NSY677" s="37"/>
      <c r="NSZ677" s="37"/>
      <c r="NTA677" s="37"/>
      <c r="NTB677" s="37"/>
      <c r="NTC677" s="37"/>
      <c r="NTD677" s="37"/>
      <c r="NTE677" s="37"/>
      <c r="NTF677" s="37"/>
      <c r="NTG677" s="37"/>
      <c r="NTH677" s="37"/>
      <c r="NTI677" s="37"/>
      <c r="NTJ677" s="37"/>
      <c r="NTK677" s="37"/>
      <c r="NTL677" s="37"/>
      <c r="NTM677" s="37"/>
      <c r="NTN677" s="37"/>
      <c r="NTO677" s="37"/>
      <c r="NTP677" s="37"/>
      <c r="NTQ677" s="37"/>
      <c r="NTR677" s="37"/>
      <c r="NTS677" s="37"/>
      <c r="NTT677" s="37"/>
      <c r="NTU677" s="37"/>
      <c r="NTV677" s="37"/>
      <c r="NTW677" s="37"/>
      <c r="NTX677" s="37"/>
      <c r="NTY677" s="37"/>
      <c r="NTZ677" s="37"/>
      <c r="NUA677" s="37"/>
      <c r="NUB677" s="37"/>
      <c r="NUC677" s="37"/>
      <c r="NUD677" s="37"/>
      <c r="NUE677" s="37"/>
      <c r="NUF677" s="37"/>
      <c r="NUG677" s="37"/>
      <c r="NUH677" s="37"/>
      <c r="NUI677" s="37"/>
      <c r="NUJ677" s="37"/>
      <c r="NUK677" s="37"/>
      <c r="NUL677" s="37"/>
      <c r="NUM677" s="37"/>
      <c r="NUN677" s="37"/>
      <c r="NUO677" s="37"/>
      <c r="NUP677" s="37"/>
      <c r="NUQ677" s="37"/>
      <c r="NUR677" s="37"/>
      <c r="NUS677" s="37"/>
      <c r="NUT677" s="37"/>
      <c r="NUU677" s="37"/>
      <c r="NUV677" s="37"/>
      <c r="NUW677" s="37"/>
      <c r="NUX677" s="37"/>
      <c r="NUY677" s="37"/>
      <c r="NUZ677" s="37"/>
      <c r="NVA677" s="37"/>
      <c r="NVB677" s="37"/>
      <c r="NVC677" s="37"/>
      <c r="NVD677" s="37"/>
      <c r="NVE677" s="37"/>
      <c r="NVF677" s="37"/>
      <c r="NVG677" s="37"/>
      <c r="NVH677" s="37"/>
      <c r="NVI677" s="37"/>
      <c r="NVJ677" s="37"/>
      <c r="NVK677" s="37"/>
      <c r="NVL677" s="37"/>
      <c r="NVM677" s="37"/>
      <c r="NVN677" s="37"/>
      <c r="NVO677" s="37"/>
      <c r="NVP677" s="37"/>
      <c r="NVQ677" s="37"/>
      <c r="NVR677" s="37"/>
      <c r="NVS677" s="37"/>
      <c r="NVT677" s="37"/>
      <c r="NVU677" s="37"/>
      <c r="NVV677" s="37"/>
      <c r="NVW677" s="37"/>
      <c r="NVX677" s="37"/>
      <c r="NVY677" s="37"/>
      <c r="NVZ677" s="37"/>
      <c r="NWA677" s="37"/>
      <c r="NWB677" s="37"/>
      <c r="NWC677" s="37"/>
      <c r="NWD677" s="37"/>
      <c r="NWE677" s="37"/>
      <c r="NWF677" s="37"/>
      <c r="NWG677" s="37"/>
      <c r="NWH677" s="37"/>
      <c r="NWI677" s="37"/>
      <c r="NWJ677" s="37"/>
      <c r="NWK677" s="37"/>
      <c r="NWL677" s="37"/>
      <c r="NWM677" s="37"/>
      <c r="NWN677" s="37"/>
      <c r="NWO677" s="37"/>
      <c r="NWP677" s="37"/>
      <c r="NWQ677" s="37"/>
      <c r="NWR677" s="37"/>
      <c r="NWS677" s="37"/>
      <c r="NWT677" s="37"/>
      <c r="NWU677" s="37"/>
      <c r="NWV677" s="37"/>
      <c r="NWW677" s="37"/>
      <c r="NWX677" s="37"/>
      <c r="NWY677" s="37"/>
      <c r="NWZ677" s="37"/>
      <c r="NXA677" s="37"/>
      <c r="NXB677" s="37"/>
      <c r="NXC677" s="37"/>
      <c r="NXD677" s="37"/>
      <c r="NXE677" s="37"/>
      <c r="NXF677" s="37"/>
      <c r="NXG677" s="37"/>
      <c r="NXH677" s="37"/>
      <c r="NXI677" s="37"/>
      <c r="NXJ677" s="37"/>
      <c r="NXK677" s="37"/>
      <c r="NXL677" s="37"/>
      <c r="NXM677" s="37"/>
      <c r="NXN677" s="37"/>
      <c r="NXO677" s="37"/>
      <c r="NXP677" s="37"/>
      <c r="NXQ677" s="37"/>
      <c r="NXR677" s="37"/>
      <c r="NXS677" s="37"/>
      <c r="NXT677" s="37"/>
      <c r="NXU677" s="37"/>
      <c r="NXV677" s="37"/>
      <c r="NXW677" s="37"/>
      <c r="NXX677" s="37"/>
      <c r="NXY677" s="37"/>
      <c r="NXZ677" s="37"/>
      <c r="NYA677" s="37"/>
      <c r="NYB677" s="37"/>
      <c r="NYC677" s="37"/>
      <c r="NYD677" s="37"/>
      <c r="NYE677" s="37"/>
      <c r="NYF677" s="37"/>
      <c r="NYG677" s="37"/>
      <c r="NYH677" s="37"/>
      <c r="NYI677" s="37"/>
      <c r="NYJ677" s="37"/>
      <c r="NYK677" s="37"/>
      <c r="NYL677" s="37"/>
      <c r="NYM677" s="37"/>
      <c r="NYN677" s="37"/>
      <c r="NYO677" s="37"/>
      <c r="NYP677" s="37"/>
      <c r="NYQ677" s="37"/>
      <c r="NYR677" s="37"/>
      <c r="NYS677" s="37"/>
      <c r="NYT677" s="37"/>
      <c r="NYU677" s="37"/>
      <c r="NYV677" s="37"/>
      <c r="NYW677" s="37"/>
      <c r="NYX677" s="37"/>
      <c r="NYY677" s="37"/>
      <c r="NYZ677" s="37"/>
      <c r="NZA677" s="37"/>
      <c r="NZB677" s="37"/>
      <c r="NZC677" s="37"/>
      <c r="NZD677" s="37"/>
      <c r="NZE677" s="37"/>
      <c r="NZF677" s="37"/>
      <c r="NZG677" s="37"/>
      <c r="NZH677" s="37"/>
      <c r="NZI677" s="37"/>
      <c r="NZJ677" s="37"/>
      <c r="NZK677" s="37"/>
      <c r="NZL677" s="37"/>
      <c r="NZM677" s="37"/>
      <c r="NZN677" s="37"/>
      <c r="NZO677" s="37"/>
      <c r="NZP677" s="37"/>
      <c r="NZQ677" s="37"/>
      <c r="NZR677" s="37"/>
      <c r="NZS677" s="37"/>
      <c r="NZT677" s="37"/>
      <c r="NZU677" s="37"/>
      <c r="NZV677" s="37"/>
      <c r="NZW677" s="37"/>
      <c r="NZX677" s="37"/>
      <c r="NZY677" s="37"/>
      <c r="NZZ677" s="37"/>
      <c r="OAA677" s="37"/>
      <c r="OAB677" s="37"/>
      <c r="OAC677" s="37"/>
      <c r="OAD677" s="37"/>
      <c r="OAE677" s="37"/>
      <c r="OAF677" s="37"/>
      <c r="OAG677" s="37"/>
      <c r="OAH677" s="37"/>
      <c r="OAI677" s="37"/>
      <c r="OAJ677" s="37"/>
      <c r="OAK677" s="37"/>
      <c r="OAL677" s="37"/>
      <c r="OAM677" s="37"/>
      <c r="OAN677" s="37"/>
      <c r="OAO677" s="37"/>
      <c r="OAP677" s="37"/>
      <c r="OAQ677" s="37"/>
      <c r="OAR677" s="37"/>
      <c r="OAS677" s="37"/>
      <c r="OAT677" s="37"/>
      <c r="OAU677" s="37"/>
      <c r="OAV677" s="37"/>
      <c r="OAW677" s="37"/>
      <c r="OAX677" s="37"/>
      <c r="OAY677" s="37"/>
      <c r="OAZ677" s="37"/>
      <c r="OBA677" s="37"/>
      <c r="OBB677" s="37"/>
      <c r="OBC677" s="37"/>
      <c r="OBD677" s="37"/>
      <c r="OBE677" s="37"/>
      <c r="OBF677" s="37"/>
      <c r="OBG677" s="37"/>
      <c r="OBH677" s="37"/>
      <c r="OBI677" s="37"/>
      <c r="OBJ677" s="37"/>
      <c r="OBK677" s="37"/>
      <c r="OBL677" s="37"/>
      <c r="OBM677" s="37"/>
      <c r="OBN677" s="37"/>
      <c r="OBO677" s="37"/>
      <c r="OBP677" s="37"/>
      <c r="OBQ677" s="37"/>
      <c r="OBR677" s="37"/>
      <c r="OBS677" s="37"/>
      <c r="OBT677" s="37"/>
      <c r="OBU677" s="37"/>
      <c r="OBV677" s="37"/>
      <c r="OBW677" s="37"/>
      <c r="OBX677" s="37"/>
      <c r="OBY677" s="37"/>
      <c r="OBZ677" s="37"/>
      <c r="OCA677" s="37"/>
      <c r="OCB677" s="37"/>
      <c r="OCC677" s="37"/>
      <c r="OCD677" s="37"/>
      <c r="OCE677" s="37"/>
      <c r="OCF677" s="37"/>
      <c r="OCG677" s="37"/>
      <c r="OCH677" s="37"/>
      <c r="OCI677" s="37"/>
      <c r="OCJ677" s="37"/>
      <c r="OCK677" s="37"/>
      <c r="OCL677" s="37"/>
      <c r="OCM677" s="37"/>
      <c r="OCN677" s="37"/>
      <c r="OCO677" s="37"/>
      <c r="OCP677" s="37"/>
      <c r="OCQ677" s="37"/>
      <c r="OCR677" s="37"/>
      <c r="OCS677" s="37"/>
      <c r="OCT677" s="37"/>
      <c r="OCU677" s="37"/>
      <c r="OCV677" s="37"/>
      <c r="OCW677" s="37"/>
      <c r="OCX677" s="37"/>
      <c r="OCY677" s="37"/>
      <c r="OCZ677" s="37"/>
      <c r="ODA677" s="37"/>
      <c r="ODB677" s="37"/>
      <c r="ODC677" s="37"/>
      <c r="ODD677" s="37"/>
      <c r="ODE677" s="37"/>
      <c r="ODF677" s="37"/>
      <c r="ODG677" s="37"/>
      <c r="ODH677" s="37"/>
      <c r="ODI677" s="37"/>
      <c r="ODJ677" s="37"/>
      <c r="ODK677" s="37"/>
      <c r="ODL677" s="37"/>
      <c r="ODM677" s="37"/>
      <c r="ODN677" s="37"/>
      <c r="ODO677" s="37"/>
      <c r="ODP677" s="37"/>
      <c r="ODQ677" s="37"/>
      <c r="ODR677" s="37"/>
      <c r="ODS677" s="37"/>
      <c r="ODT677" s="37"/>
      <c r="ODU677" s="37"/>
      <c r="ODV677" s="37"/>
      <c r="ODW677" s="37"/>
      <c r="ODX677" s="37"/>
      <c r="ODY677" s="37"/>
      <c r="ODZ677" s="37"/>
      <c r="OEA677" s="37"/>
      <c r="OEB677" s="37"/>
      <c r="OEC677" s="37"/>
      <c r="OED677" s="37"/>
      <c r="OEE677" s="37"/>
      <c r="OEF677" s="37"/>
      <c r="OEG677" s="37"/>
      <c r="OEH677" s="37"/>
      <c r="OEI677" s="37"/>
      <c r="OEJ677" s="37"/>
      <c r="OEK677" s="37"/>
      <c r="OEL677" s="37"/>
      <c r="OEM677" s="37"/>
      <c r="OEN677" s="37"/>
      <c r="OEO677" s="37"/>
      <c r="OEP677" s="37"/>
      <c r="OEQ677" s="37"/>
      <c r="OER677" s="37"/>
      <c r="OES677" s="37"/>
      <c r="OET677" s="37"/>
      <c r="OEU677" s="37"/>
      <c r="OEV677" s="37"/>
      <c r="OEW677" s="37"/>
      <c r="OEX677" s="37"/>
      <c r="OEY677" s="37"/>
      <c r="OEZ677" s="37"/>
      <c r="OFA677" s="37"/>
      <c r="OFB677" s="37"/>
      <c r="OFC677" s="37"/>
      <c r="OFD677" s="37"/>
      <c r="OFE677" s="37"/>
      <c r="OFF677" s="37"/>
      <c r="OFG677" s="37"/>
      <c r="OFH677" s="37"/>
      <c r="OFI677" s="37"/>
      <c r="OFJ677" s="37"/>
      <c r="OFK677" s="37"/>
      <c r="OFL677" s="37"/>
      <c r="OFM677" s="37"/>
      <c r="OFN677" s="37"/>
      <c r="OFO677" s="37"/>
      <c r="OFP677" s="37"/>
      <c r="OFQ677" s="37"/>
      <c r="OFR677" s="37"/>
      <c r="OFS677" s="37"/>
      <c r="OFT677" s="37"/>
      <c r="OFU677" s="37"/>
      <c r="OFV677" s="37"/>
      <c r="OFW677" s="37"/>
      <c r="OFX677" s="37"/>
      <c r="OFY677" s="37"/>
      <c r="OFZ677" s="37"/>
      <c r="OGA677" s="37"/>
      <c r="OGB677" s="37"/>
      <c r="OGC677" s="37"/>
      <c r="OGD677" s="37"/>
      <c r="OGE677" s="37"/>
      <c r="OGF677" s="37"/>
      <c r="OGG677" s="37"/>
      <c r="OGH677" s="37"/>
      <c r="OGI677" s="37"/>
      <c r="OGJ677" s="37"/>
      <c r="OGK677" s="37"/>
      <c r="OGL677" s="37"/>
      <c r="OGM677" s="37"/>
      <c r="OGN677" s="37"/>
      <c r="OGO677" s="37"/>
      <c r="OGP677" s="37"/>
      <c r="OGQ677" s="37"/>
      <c r="OGR677" s="37"/>
      <c r="OGS677" s="37"/>
      <c r="OGT677" s="37"/>
      <c r="OGU677" s="37"/>
      <c r="OGV677" s="37"/>
      <c r="OGW677" s="37"/>
      <c r="OGX677" s="37"/>
      <c r="OGY677" s="37"/>
      <c r="OGZ677" s="37"/>
      <c r="OHA677" s="37"/>
      <c r="OHB677" s="37"/>
      <c r="OHC677" s="37"/>
      <c r="OHD677" s="37"/>
      <c r="OHE677" s="37"/>
      <c r="OHF677" s="37"/>
      <c r="OHG677" s="37"/>
      <c r="OHH677" s="37"/>
      <c r="OHI677" s="37"/>
      <c r="OHJ677" s="37"/>
      <c r="OHK677" s="37"/>
      <c r="OHL677" s="37"/>
      <c r="OHM677" s="37"/>
      <c r="OHN677" s="37"/>
      <c r="OHO677" s="37"/>
      <c r="OHP677" s="37"/>
      <c r="OHQ677" s="37"/>
      <c r="OHR677" s="37"/>
      <c r="OHS677" s="37"/>
      <c r="OHT677" s="37"/>
      <c r="OHU677" s="37"/>
      <c r="OHV677" s="37"/>
      <c r="OHW677" s="37"/>
      <c r="OHX677" s="37"/>
      <c r="OHY677" s="37"/>
      <c r="OHZ677" s="37"/>
      <c r="OIA677" s="37"/>
      <c r="OIB677" s="37"/>
      <c r="OIC677" s="37"/>
      <c r="OID677" s="37"/>
      <c r="OIE677" s="37"/>
      <c r="OIF677" s="37"/>
      <c r="OIG677" s="37"/>
      <c r="OIH677" s="37"/>
      <c r="OII677" s="37"/>
      <c r="OIJ677" s="37"/>
      <c r="OIK677" s="37"/>
      <c r="OIL677" s="37"/>
      <c r="OIM677" s="37"/>
      <c r="OIN677" s="37"/>
      <c r="OIO677" s="37"/>
      <c r="OIP677" s="37"/>
      <c r="OIQ677" s="37"/>
      <c r="OIR677" s="37"/>
      <c r="OIS677" s="37"/>
      <c r="OIT677" s="37"/>
      <c r="OIU677" s="37"/>
      <c r="OIV677" s="37"/>
      <c r="OIW677" s="37"/>
      <c r="OIX677" s="37"/>
      <c r="OIY677" s="37"/>
      <c r="OIZ677" s="37"/>
      <c r="OJA677" s="37"/>
      <c r="OJB677" s="37"/>
      <c r="OJC677" s="37"/>
      <c r="OJD677" s="37"/>
      <c r="OJE677" s="37"/>
      <c r="OJF677" s="37"/>
      <c r="OJG677" s="37"/>
      <c r="OJH677" s="37"/>
      <c r="OJI677" s="37"/>
      <c r="OJJ677" s="37"/>
      <c r="OJK677" s="37"/>
      <c r="OJL677" s="37"/>
      <c r="OJM677" s="37"/>
      <c r="OJN677" s="37"/>
      <c r="OJO677" s="37"/>
      <c r="OJP677" s="37"/>
      <c r="OJQ677" s="37"/>
      <c r="OJR677" s="37"/>
      <c r="OJS677" s="37"/>
      <c r="OJT677" s="37"/>
      <c r="OJU677" s="37"/>
      <c r="OJV677" s="37"/>
      <c r="OJW677" s="37"/>
      <c r="OJX677" s="37"/>
      <c r="OJY677" s="37"/>
      <c r="OJZ677" s="37"/>
      <c r="OKA677" s="37"/>
      <c r="OKB677" s="37"/>
      <c r="OKC677" s="37"/>
      <c r="OKD677" s="37"/>
      <c r="OKE677" s="37"/>
      <c r="OKF677" s="37"/>
      <c r="OKG677" s="37"/>
      <c r="OKH677" s="37"/>
      <c r="OKI677" s="37"/>
      <c r="OKJ677" s="37"/>
      <c r="OKK677" s="37"/>
      <c r="OKL677" s="37"/>
      <c r="OKM677" s="37"/>
      <c r="OKN677" s="37"/>
      <c r="OKO677" s="37"/>
      <c r="OKP677" s="37"/>
      <c r="OKQ677" s="37"/>
      <c r="OKR677" s="37"/>
      <c r="OKS677" s="37"/>
      <c r="OKT677" s="37"/>
      <c r="OKU677" s="37"/>
      <c r="OKV677" s="37"/>
      <c r="OKW677" s="37"/>
      <c r="OKX677" s="37"/>
      <c r="OKY677" s="37"/>
      <c r="OKZ677" s="37"/>
      <c r="OLA677" s="37"/>
      <c r="OLB677" s="37"/>
      <c r="OLC677" s="37"/>
      <c r="OLD677" s="37"/>
      <c r="OLE677" s="37"/>
      <c r="OLF677" s="37"/>
      <c r="OLG677" s="37"/>
      <c r="OLH677" s="37"/>
      <c r="OLI677" s="37"/>
      <c r="OLJ677" s="37"/>
      <c r="OLK677" s="37"/>
      <c r="OLL677" s="37"/>
      <c r="OLM677" s="37"/>
      <c r="OLN677" s="37"/>
      <c r="OLO677" s="37"/>
      <c r="OLP677" s="37"/>
      <c r="OLQ677" s="37"/>
      <c r="OLR677" s="37"/>
      <c r="OLS677" s="37"/>
      <c r="OLT677" s="37"/>
      <c r="OLU677" s="37"/>
      <c r="OLV677" s="37"/>
      <c r="OLW677" s="37"/>
      <c r="OLX677" s="37"/>
      <c r="OLY677" s="37"/>
      <c r="OLZ677" s="37"/>
      <c r="OMA677" s="37"/>
      <c r="OMB677" s="37"/>
      <c r="OMC677" s="37"/>
      <c r="OMD677" s="37"/>
      <c r="OME677" s="37"/>
      <c r="OMF677" s="37"/>
      <c r="OMG677" s="37"/>
      <c r="OMH677" s="37"/>
      <c r="OMI677" s="37"/>
      <c r="OMJ677" s="37"/>
      <c r="OMK677" s="37"/>
      <c r="OML677" s="37"/>
      <c r="OMM677" s="37"/>
      <c r="OMN677" s="37"/>
      <c r="OMO677" s="37"/>
      <c r="OMP677" s="37"/>
      <c r="OMQ677" s="37"/>
      <c r="OMR677" s="37"/>
      <c r="OMS677" s="37"/>
      <c r="OMT677" s="37"/>
      <c r="OMU677" s="37"/>
      <c r="OMV677" s="37"/>
      <c r="OMW677" s="37"/>
      <c r="OMX677" s="37"/>
      <c r="OMY677" s="37"/>
      <c r="OMZ677" s="37"/>
      <c r="ONA677" s="37"/>
      <c r="ONB677" s="37"/>
      <c r="ONC677" s="37"/>
      <c r="OND677" s="37"/>
      <c r="ONE677" s="37"/>
      <c r="ONF677" s="37"/>
      <c r="ONG677" s="37"/>
      <c r="ONH677" s="37"/>
      <c r="ONI677" s="37"/>
      <c r="ONJ677" s="37"/>
      <c r="ONK677" s="37"/>
      <c r="ONL677" s="37"/>
      <c r="ONM677" s="37"/>
      <c r="ONN677" s="37"/>
      <c r="ONO677" s="37"/>
      <c r="ONP677" s="37"/>
      <c r="ONQ677" s="37"/>
      <c r="ONR677" s="37"/>
      <c r="ONS677" s="37"/>
      <c r="ONT677" s="37"/>
      <c r="ONU677" s="37"/>
      <c r="ONV677" s="37"/>
      <c r="ONW677" s="37"/>
      <c r="ONX677" s="37"/>
      <c r="ONY677" s="37"/>
      <c r="ONZ677" s="37"/>
      <c r="OOA677" s="37"/>
      <c r="OOB677" s="37"/>
      <c r="OOC677" s="37"/>
      <c r="OOD677" s="37"/>
      <c r="OOE677" s="37"/>
      <c r="OOF677" s="37"/>
      <c r="OOG677" s="37"/>
      <c r="OOH677" s="37"/>
      <c r="OOI677" s="37"/>
      <c r="OOJ677" s="37"/>
      <c r="OOK677" s="37"/>
      <c r="OOL677" s="37"/>
      <c r="OOM677" s="37"/>
      <c r="OON677" s="37"/>
      <c r="OOO677" s="37"/>
      <c r="OOP677" s="37"/>
      <c r="OOQ677" s="37"/>
      <c r="OOR677" s="37"/>
      <c r="OOS677" s="37"/>
      <c r="OOT677" s="37"/>
      <c r="OOU677" s="37"/>
      <c r="OOV677" s="37"/>
      <c r="OOW677" s="37"/>
      <c r="OOX677" s="37"/>
      <c r="OOY677" s="37"/>
      <c r="OOZ677" s="37"/>
      <c r="OPA677" s="37"/>
      <c r="OPB677" s="37"/>
      <c r="OPC677" s="37"/>
      <c r="OPD677" s="37"/>
      <c r="OPE677" s="37"/>
      <c r="OPF677" s="37"/>
      <c r="OPG677" s="37"/>
      <c r="OPH677" s="37"/>
      <c r="OPI677" s="37"/>
      <c r="OPJ677" s="37"/>
      <c r="OPK677" s="37"/>
      <c r="OPL677" s="37"/>
      <c r="OPM677" s="37"/>
      <c r="OPN677" s="37"/>
      <c r="OPO677" s="37"/>
      <c r="OPP677" s="37"/>
      <c r="OPQ677" s="37"/>
      <c r="OPR677" s="37"/>
      <c r="OPS677" s="37"/>
      <c r="OPT677" s="37"/>
      <c r="OPU677" s="37"/>
      <c r="OPV677" s="37"/>
      <c r="OPW677" s="37"/>
      <c r="OPX677" s="37"/>
      <c r="OPY677" s="37"/>
      <c r="OPZ677" s="37"/>
      <c r="OQA677" s="37"/>
      <c r="OQB677" s="37"/>
      <c r="OQC677" s="37"/>
      <c r="OQD677" s="37"/>
      <c r="OQE677" s="37"/>
      <c r="OQF677" s="37"/>
      <c r="OQG677" s="37"/>
      <c r="OQH677" s="37"/>
      <c r="OQI677" s="37"/>
      <c r="OQJ677" s="37"/>
      <c r="OQK677" s="37"/>
      <c r="OQL677" s="37"/>
      <c r="OQM677" s="37"/>
      <c r="OQN677" s="37"/>
      <c r="OQO677" s="37"/>
      <c r="OQP677" s="37"/>
      <c r="OQQ677" s="37"/>
      <c r="OQR677" s="37"/>
      <c r="OQS677" s="37"/>
      <c r="OQT677" s="37"/>
      <c r="OQU677" s="37"/>
      <c r="OQV677" s="37"/>
      <c r="OQW677" s="37"/>
      <c r="OQX677" s="37"/>
      <c r="OQY677" s="37"/>
      <c r="OQZ677" s="37"/>
      <c r="ORA677" s="37"/>
      <c r="ORB677" s="37"/>
      <c r="ORC677" s="37"/>
      <c r="ORD677" s="37"/>
      <c r="ORE677" s="37"/>
      <c r="ORF677" s="37"/>
      <c r="ORG677" s="37"/>
      <c r="ORH677" s="37"/>
      <c r="ORI677" s="37"/>
      <c r="ORJ677" s="37"/>
      <c r="ORK677" s="37"/>
      <c r="ORL677" s="37"/>
      <c r="ORM677" s="37"/>
      <c r="ORN677" s="37"/>
      <c r="ORO677" s="37"/>
      <c r="ORP677" s="37"/>
      <c r="ORQ677" s="37"/>
      <c r="ORR677" s="37"/>
      <c r="ORS677" s="37"/>
      <c r="ORT677" s="37"/>
      <c r="ORU677" s="37"/>
      <c r="ORV677" s="37"/>
      <c r="ORW677" s="37"/>
      <c r="ORX677" s="37"/>
      <c r="ORY677" s="37"/>
      <c r="ORZ677" s="37"/>
      <c r="OSA677" s="37"/>
      <c r="OSB677" s="37"/>
      <c r="OSC677" s="37"/>
      <c r="OSD677" s="37"/>
      <c r="OSE677" s="37"/>
      <c r="OSF677" s="37"/>
      <c r="OSG677" s="37"/>
      <c r="OSH677" s="37"/>
      <c r="OSI677" s="37"/>
      <c r="OSJ677" s="37"/>
      <c r="OSK677" s="37"/>
      <c r="OSL677" s="37"/>
      <c r="OSM677" s="37"/>
      <c r="OSN677" s="37"/>
      <c r="OSO677" s="37"/>
      <c r="OSP677" s="37"/>
      <c r="OSQ677" s="37"/>
      <c r="OSR677" s="37"/>
      <c r="OSS677" s="37"/>
      <c r="OST677" s="37"/>
      <c r="OSU677" s="37"/>
      <c r="OSV677" s="37"/>
      <c r="OSW677" s="37"/>
      <c r="OSX677" s="37"/>
      <c r="OSY677" s="37"/>
      <c r="OSZ677" s="37"/>
      <c r="OTA677" s="37"/>
      <c r="OTB677" s="37"/>
      <c r="OTC677" s="37"/>
      <c r="OTD677" s="37"/>
      <c r="OTE677" s="37"/>
      <c r="OTF677" s="37"/>
      <c r="OTG677" s="37"/>
      <c r="OTH677" s="37"/>
      <c r="OTI677" s="37"/>
      <c r="OTJ677" s="37"/>
      <c r="OTK677" s="37"/>
      <c r="OTL677" s="37"/>
      <c r="OTM677" s="37"/>
      <c r="OTN677" s="37"/>
      <c r="OTO677" s="37"/>
      <c r="OTP677" s="37"/>
      <c r="OTQ677" s="37"/>
      <c r="OTR677" s="37"/>
      <c r="OTS677" s="37"/>
      <c r="OTT677" s="37"/>
      <c r="OTU677" s="37"/>
      <c r="OTV677" s="37"/>
      <c r="OTW677" s="37"/>
      <c r="OTX677" s="37"/>
      <c r="OTY677" s="37"/>
      <c r="OTZ677" s="37"/>
      <c r="OUA677" s="37"/>
      <c r="OUB677" s="37"/>
      <c r="OUC677" s="37"/>
      <c r="OUD677" s="37"/>
      <c r="OUE677" s="37"/>
      <c r="OUF677" s="37"/>
      <c r="OUG677" s="37"/>
      <c r="OUH677" s="37"/>
      <c r="OUI677" s="37"/>
      <c r="OUJ677" s="37"/>
      <c r="OUK677" s="37"/>
      <c r="OUL677" s="37"/>
      <c r="OUM677" s="37"/>
      <c r="OUN677" s="37"/>
      <c r="OUO677" s="37"/>
      <c r="OUP677" s="37"/>
      <c r="OUQ677" s="37"/>
      <c r="OUR677" s="37"/>
      <c r="OUS677" s="37"/>
      <c r="OUT677" s="37"/>
      <c r="OUU677" s="37"/>
      <c r="OUV677" s="37"/>
      <c r="OUW677" s="37"/>
      <c r="OUX677" s="37"/>
      <c r="OUY677" s="37"/>
      <c r="OUZ677" s="37"/>
      <c r="OVA677" s="37"/>
      <c r="OVB677" s="37"/>
      <c r="OVC677" s="37"/>
      <c r="OVD677" s="37"/>
      <c r="OVE677" s="37"/>
      <c r="OVF677" s="37"/>
      <c r="OVG677" s="37"/>
      <c r="OVH677" s="37"/>
      <c r="OVI677" s="37"/>
      <c r="OVJ677" s="37"/>
      <c r="OVK677" s="37"/>
      <c r="OVL677" s="37"/>
      <c r="OVM677" s="37"/>
      <c r="OVN677" s="37"/>
      <c r="OVO677" s="37"/>
      <c r="OVP677" s="37"/>
      <c r="OVQ677" s="37"/>
      <c r="OVR677" s="37"/>
      <c r="OVS677" s="37"/>
      <c r="OVT677" s="37"/>
      <c r="OVU677" s="37"/>
      <c r="OVV677" s="37"/>
      <c r="OVW677" s="37"/>
      <c r="OVX677" s="37"/>
      <c r="OVY677" s="37"/>
      <c r="OVZ677" s="37"/>
      <c r="OWA677" s="37"/>
      <c r="OWB677" s="37"/>
      <c r="OWC677" s="37"/>
      <c r="OWD677" s="37"/>
      <c r="OWE677" s="37"/>
      <c r="OWF677" s="37"/>
      <c r="OWG677" s="37"/>
      <c r="OWH677" s="37"/>
      <c r="OWI677" s="37"/>
      <c r="OWJ677" s="37"/>
      <c r="OWK677" s="37"/>
      <c r="OWL677" s="37"/>
      <c r="OWM677" s="37"/>
      <c r="OWN677" s="37"/>
      <c r="OWO677" s="37"/>
      <c r="OWP677" s="37"/>
      <c r="OWQ677" s="37"/>
      <c r="OWR677" s="37"/>
      <c r="OWS677" s="37"/>
      <c r="OWT677" s="37"/>
      <c r="OWU677" s="37"/>
      <c r="OWV677" s="37"/>
      <c r="OWW677" s="37"/>
      <c r="OWX677" s="37"/>
      <c r="OWY677" s="37"/>
      <c r="OWZ677" s="37"/>
      <c r="OXA677" s="37"/>
      <c r="OXB677" s="37"/>
      <c r="OXC677" s="37"/>
      <c r="OXD677" s="37"/>
      <c r="OXE677" s="37"/>
      <c r="OXF677" s="37"/>
      <c r="OXG677" s="37"/>
      <c r="OXH677" s="37"/>
      <c r="OXI677" s="37"/>
      <c r="OXJ677" s="37"/>
      <c r="OXK677" s="37"/>
      <c r="OXL677" s="37"/>
      <c r="OXM677" s="37"/>
      <c r="OXN677" s="37"/>
      <c r="OXO677" s="37"/>
      <c r="OXP677" s="37"/>
      <c r="OXQ677" s="37"/>
      <c r="OXR677" s="37"/>
      <c r="OXS677" s="37"/>
      <c r="OXT677" s="37"/>
      <c r="OXU677" s="37"/>
      <c r="OXV677" s="37"/>
      <c r="OXW677" s="37"/>
      <c r="OXX677" s="37"/>
      <c r="OXY677" s="37"/>
      <c r="OXZ677" s="37"/>
      <c r="OYA677" s="37"/>
      <c r="OYB677" s="37"/>
      <c r="OYC677" s="37"/>
      <c r="OYD677" s="37"/>
      <c r="OYE677" s="37"/>
      <c r="OYF677" s="37"/>
      <c r="OYG677" s="37"/>
      <c r="OYH677" s="37"/>
      <c r="OYI677" s="37"/>
      <c r="OYJ677" s="37"/>
      <c r="OYK677" s="37"/>
      <c r="OYL677" s="37"/>
      <c r="OYM677" s="37"/>
      <c r="OYN677" s="37"/>
      <c r="OYO677" s="37"/>
      <c r="OYP677" s="37"/>
      <c r="OYQ677" s="37"/>
      <c r="OYR677" s="37"/>
      <c r="OYS677" s="37"/>
      <c r="OYT677" s="37"/>
      <c r="OYU677" s="37"/>
      <c r="OYV677" s="37"/>
      <c r="OYW677" s="37"/>
      <c r="OYX677" s="37"/>
      <c r="OYY677" s="37"/>
      <c r="OYZ677" s="37"/>
      <c r="OZA677" s="37"/>
      <c r="OZB677" s="37"/>
      <c r="OZC677" s="37"/>
      <c r="OZD677" s="37"/>
      <c r="OZE677" s="37"/>
      <c r="OZF677" s="37"/>
      <c r="OZG677" s="37"/>
      <c r="OZH677" s="37"/>
      <c r="OZI677" s="37"/>
      <c r="OZJ677" s="37"/>
      <c r="OZK677" s="37"/>
      <c r="OZL677" s="37"/>
      <c r="OZM677" s="37"/>
      <c r="OZN677" s="37"/>
      <c r="OZO677" s="37"/>
      <c r="OZP677" s="37"/>
      <c r="OZQ677" s="37"/>
      <c r="OZR677" s="37"/>
      <c r="OZS677" s="37"/>
      <c r="OZT677" s="37"/>
      <c r="OZU677" s="37"/>
      <c r="OZV677" s="37"/>
      <c r="OZW677" s="37"/>
      <c r="OZX677" s="37"/>
      <c r="OZY677" s="37"/>
      <c r="OZZ677" s="37"/>
      <c r="PAA677" s="37"/>
      <c r="PAB677" s="37"/>
      <c r="PAC677" s="37"/>
      <c r="PAD677" s="37"/>
      <c r="PAE677" s="37"/>
      <c r="PAF677" s="37"/>
      <c r="PAG677" s="37"/>
      <c r="PAH677" s="37"/>
      <c r="PAI677" s="37"/>
      <c r="PAJ677" s="37"/>
      <c r="PAK677" s="37"/>
      <c r="PAL677" s="37"/>
      <c r="PAM677" s="37"/>
      <c r="PAN677" s="37"/>
      <c r="PAO677" s="37"/>
      <c r="PAP677" s="37"/>
      <c r="PAQ677" s="37"/>
      <c r="PAR677" s="37"/>
      <c r="PAS677" s="37"/>
      <c r="PAT677" s="37"/>
      <c r="PAU677" s="37"/>
      <c r="PAV677" s="37"/>
      <c r="PAW677" s="37"/>
      <c r="PAX677" s="37"/>
      <c r="PAY677" s="37"/>
      <c r="PAZ677" s="37"/>
      <c r="PBA677" s="37"/>
      <c r="PBB677" s="37"/>
      <c r="PBC677" s="37"/>
      <c r="PBD677" s="37"/>
      <c r="PBE677" s="37"/>
      <c r="PBF677" s="37"/>
      <c r="PBG677" s="37"/>
      <c r="PBH677" s="37"/>
      <c r="PBI677" s="37"/>
      <c r="PBJ677" s="37"/>
      <c r="PBK677" s="37"/>
      <c r="PBL677" s="37"/>
      <c r="PBM677" s="37"/>
      <c r="PBN677" s="37"/>
      <c r="PBO677" s="37"/>
      <c r="PBP677" s="37"/>
      <c r="PBQ677" s="37"/>
      <c r="PBR677" s="37"/>
      <c r="PBS677" s="37"/>
      <c r="PBT677" s="37"/>
      <c r="PBU677" s="37"/>
      <c r="PBV677" s="37"/>
      <c r="PBW677" s="37"/>
      <c r="PBX677" s="37"/>
      <c r="PBY677" s="37"/>
      <c r="PBZ677" s="37"/>
      <c r="PCA677" s="37"/>
      <c r="PCB677" s="37"/>
      <c r="PCC677" s="37"/>
      <c r="PCD677" s="37"/>
      <c r="PCE677" s="37"/>
      <c r="PCF677" s="37"/>
      <c r="PCG677" s="37"/>
      <c r="PCH677" s="37"/>
      <c r="PCI677" s="37"/>
      <c r="PCJ677" s="37"/>
      <c r="PCK677" s="37"/>
      <c r="PCL677" s="37"/>
      <c r="PCM677" s="37"/>
      <c r="PCN677" s="37"/>
      <c r="PCO677" s="37"/>
      <c r="PCP677" s="37"/>
      <c r="PCQ677" s="37"/>
      <c r="PCR677" s="37"/>
      <c r="PCS677" s="37"/>
      <c r="PCT677" s="37"/>
      <c r="PCU677" s="37"/>
      <c r="PCV677" s="37"/>
      <c r="PCW677" s="37"/>
      <c r="PCX677" s="37"/>
      <c r="PCY677" s="37"/>
      <c r="PCZ677" s="37"/>
      <c r="PDA677" s="37"/>
      <c r="PDB677" s="37"/>
      <c r="PDC677" s="37"/>
      <c r="PDD677" s="37"/>
      <c r="PDE677" s="37"/>
      <c r="PDF677" s="37"/>
      <c r="PDG677" s="37"/>
      <c r="PDH677" s="37"/>
      <c r="PDI677" s="37"/>
      <c r="PDJ677" s="37"/>
      <c r="PDK677" s="37"/>
      <c r="PDL677" s="37"/>
      <c r="PDM677" s="37"/>
      <c r="PDN677" s="37"/>
      <c r="PDO677" s="37"/>
      <c r="PDP677" s="37"/>
      <c r="PDQ677" s="37"/>
      <c r="PDR677" s="37"/>
      <c r="PDS677" s="37"/>
      <c r="PDT677" s="37"/>
      <c r="PDU677" s="37"/>
      <c r="PDV677" s="37"/>
      <c r="PDW677" s="37"/>
      <c r="PDX677" s="37"/>
      <c r="PDY677" s="37"/>
      <c r="PDZ677" s="37"/>
      <c r="PEA677" s="37"/>
      <c r="PEB677" s="37"/>
      <c r="PEC677" s="37"/>
      <c r="PED677" s="37"/>
      <c r="PEE677" s="37"/>
      <c r="PEF677" s="37"/>
      <c r="PEG677" s="37"/>
      <c r="PEH677" s="37"/>
      <c r="PEI677" s="37"/>
      <c r="PEJ677" s="37"/>
      <c r="PEK677" s="37"/>
      <c r="PEL677" s="37"/>
      <c r="PEM677" s="37"/>
      <c r="PEN677" s="37"/>
      <c r="PEO677" s="37"/>
      <c r="PEP677" s="37"/>
      <c r="PEQ677" s="37"/>
      <c r="PER677" s="37"/>
      <c r="PES677" s="37"/>
      <c r="PET677" s="37"/>
      <c r="PEU677" s="37"/>
      <c r="PEV677" s="37"/>
      <c r="PEW677" s="37"/>
      <c r="PEX677" s="37"/>
      <c r="PEY677" s="37"/>
      <c r="PEZ677" s="37"/>
      <c r="PFA677" s="37"/>
      <c r="PFB677" s="37"/>
      <c r="PFC677" s="37"/>
      <c r="PFD677" s="37"/>
      <c r="PFE677" s="37"/>
      <c r="PFF677" s="37"/>
      <c r="PFG677" s="37"/>
      <c r="PFH677" s="37"/>
      <c r="PFI677" s="37"/>
      <c r="PFJ677" s="37"/>
      <c r="PFK677" s="37"/>
      <c r="PFL677" s="37"/>
      <c r="PFM677" s="37"/>
      <c r="PFN677" s="37"/>
      <c r="PFO677" s="37"/>
      <c r="PFP677" s="37"/>
      <c r="PFQ677" s="37"/>
      <c r="PFR677" s="37"/>
      <c r="PFS677" s="37"/>
      <c r="PFT677" s="37"/>
      <c r="PFU677" s="37"/>
      <c r="PFV677" s="37"/>
      <c r="PFW677" s="37"/>
      <c r="PFX677" s="37"/>
      <c r="PFY677" s="37"/>
      <c r="PFZ677" s="37"/>
      <c r="PGA677" s="37"/>
      <c r="PGB677" s="37"/>
      <c r="PGC677" s="37"/>
      <c r="PGD677" s="37"/>
      <c r="PGE677" s="37"/>
      <c r="PGF677" s="37"/>
      <c r="PGG677" s="37"/>
      <c r="PGH677" s="37"/>
      <c r="PGI677" s="37"/>
      <c r="PGJ677" s="37"/>
      <c r="PGK677" s="37"/>
      <c r="PGL677" s="37"/>
      <c r="PGM677" s="37"/>
      <c r="PGN677" s="37"/>
      <c r="PGO677" s="37"/>
      <c r="PGP677" s="37"/>
      <c r="PGQ677" s="37"/>
      <c r="PGR677" s="37"/>
      <c r="PGS677" s="37"/>
      <c r="PGT677" s="37"/>
      <c r="PGU677" s="37"/>
      <c r="PGV677" s="37"/>
      <c r="PGW677" s="37"/>
      <c r="PGX677" s="37"/>
      <c r="PGY677" s="37"/>
      <c r="PGZ677" s="37"/>
      <c r="PHA677" s="37"/>
      <c r="PHB677" s="37"/>
      <c r="PHC677" s="37"/>
      <c r="PHD677" s="37"/>
      <c r="PHE677" s="37"/>
      <c r="PHF677" s="37"/>
      <c r="PHG677" s="37"/>
      <c r="PHH677" s="37"/>
      <c r="PHI677" s="37"/>
      <c r="PHJ677" s="37"/>
      <c r="PHK677" s="37"/>
      <c r="PHL677" s="37"/>
      <c r="PHM677" s="37"/>
      <c r="PHN677" s="37"/>
      <c r="PHO677" s="37"/>
      <c r="PHP677" s="37"/>
      <c r="PHQ677" s="37"/>
      <c r="PHR677" s="37"/>
      <c r="PHS677" s="37"/>
      <c r="PHT677" s="37"/>
      <c r="PHU677" s="37"/>
      <c r="PHV677" s="37"/>
      <c r="PHW677" s="37"/>
      <c r="PHX677" s="37"/>
      <c r="PHY677" s="37"/>
      <c r="PHZ677" s="37"/>
      <c r="PIA677" s="37"/>
      <c r="PIB677" s="37"/>
      <c r="PIC677" s="37"/>
      <c r="PID677" s="37"/>
      <c r="PIE677" s="37"/>
      <c r="PIF677" s="37"/>
      <c r="PIG677" s="37"/>
      <c r="PIH677" s="37"/>
      <c r="PII677" s="37"/>
      <c r="PIJ677" s="37"/>
      <c r="PIK677" s="37"/>
      <c r="PIL677" s="37"/>
      <c r="PIM677" s="37"/>
      <c r="PIN677" s="37"/>
      <c r="PIO677" s="37"/>
      <c r="PIP677" s="37"/>
      <c r="PIQ677" s="37"/>
      <c r="PIR677" s="37"/>
      <c r="PIS677" s="37"/>
      <c r="PIT677" s="37"/>
      <c r="PIU677" s="37"/>
      <c r="PIV677" s="37"/>
      <c r="PIW677" s="37"/>
      <c r="PIX677" s="37"/>
      <c r="PIY677" s="37"/>
      <c r="PIZ677" s="37"/>
      <c r="PJA677" s="37"/>
      <c r="PJB677" s="37"/>
      <c r="PJC677" s="37"/>
      <c r="PJD677" s="37"/>
      <c r="PJE677" s="37"/>
      <c r="PJF677" s="37"/>
      <c r="PJG677" s="37"/>
      <c r="PJH677" s="37"/>
      <c r="PJI677" s="37"/>
      <c r="PJJ677" s="37"/>
      <c r="PJK677" s="37"/>
      <c r="PJL677" s="37"/>
      <c r="PJM677" s="37"/>
      <c r="PJN677" s="37"/>
      <c r="PJO677" s="37"/>
      <c r="PJP677" s="37"/>
      <c r="PJQ677" s="37"/>
      <c r="PJR677" s="37"/>
      <c r="PJS677" s="37"/>
      <c r="PJT677" s="37"/>
      <c r="PJU677" s="37"/>
      <c r="PJV677" s="37"/>
      <c r="PJW677" s="37"/>
      <c r="PJX677" s="37"/>
      <c r="PJY677" s="37"/>
      <c r="PJZ677" s="37"/>
      <c r="PKA677" s="37"/>
      <c r="PKB677" s="37"/>
      <c r="PKC677" s="37"/>
      <c r="PKD677" s="37"/>
      <c r="PKE677" s="37"/>
      <c r="PKF677" s="37"/>
      <c r="PKG677" s="37"/>
      <c r="PKH677" s="37"/>
      <c r="PKI677" s="37"/>
      <c r="PKJ677" s="37"/>
      <c r="PKK677" s="37"/>
      <c r="PKL677" s="37"/>
      <c r="PKM677" s="37"/>
      <c r="PKN677" s="37"/>
      <c r="PKO677" s="37"/>
      <c r="PKP677" s="37"/>
      <c r="PKQ677" s="37"/>
      <c r="PKR677" s="37"/>
      <c r="PKS677" s="37"/>
      <c r="PKT677" s="37"/>
      <c r="PKU677" s="37"/>
      <c r="PKV677" s="37"/>
      <c r="PKW677" s="37"/>
      <c r="PKX677" s="37"/>
      <c r="PKY677" s="37"/>
      <c r="PKZ677" s="37"/>
      <c r="PLA677" s="37"/>
      <c r="PLB677" s="37"/>
      <c r="PLC677" s="37"/>
      <c r="PLD677" s="37"/>
      <c r="PLE677" s="37"/>
      <c r="PLF677" s="37"/>
      <c r="PLG677" s="37"/>
      <c r="PLH677" s="37"/>
      <c r="PLI677" s="37"/>
      <c r="PLJ677" s="37"/>
      <c r="PLK677" s="37"/>
      <c r="PLL677" s="37"/>
      <c r="PLM677" s="37"/>
      <c r="PLN677" s="37"/>
      <c r="PLO677" s="37"/>
      <c r="PLP677" s="37"/>
      <c r="PLQ677" s="37"/>
      <c r="PLR677" s="37"/>
      <c r="PLS677" s="37"/>
      <c r="PLT677" s="37"/>
      <c r="PLU677" s="37"/>
      <c r="PLV677" s="37"/>
      <c r="PLW677" s="37"/>
      <c r="PLX677" s="37"/>
      <c r="PLY677" s="37"/>
      <c r="PLZ677" s="37"/>
      <c r="PMA677" s="37"/>
      <c r="PMB677" s="37"/>
      <c r="PMC677" s="37"/>
      <c r="PMD677" s="37"/>
      <c r="PME677" s="37"/>
      <c r="PMF677" s="37"/>
      <c r="PMG677" s="37"/>
      <c r="PMH677" s="37"/>
      <c r="PMI677" s="37"/>
      <c r="PMJ677" s="37"/>
      <c r="PMK677" s="37"/>
      <c r="PML677" s="37"/>
      <c r="PMM677" s="37"/>
      <c r="PMN677" s="37"/>
      <c r="PMO677" s="37"/>
      <c r="PMP677" s="37"/>
      <c r="PMQ677" s="37"/>
      <c r="PMR677" s="37"/>
      <c r="PMS677" s="37"/>
      <c r="PMT677" s="37"/>
      <c r="PMU677" s="37"/>
      <c r="PMV677" s="37"/>
      <c r="PMW677" s="37"/>
      <c r="PMX677" s="37"/>
      <c r="PMY677" s="37"/>
      <c r="PMZ677" s="37"/>
      <c r="PNA677" s="37"/>
      <c r="PNB677" s="37"/>
      <c r="PNC677" s="37"/>
      <c r="PND677" s="37"/>
      <c r="PNE677" s="37"/>
      <c r="PNF677" s="37"/>
      <c r="PNG677" s="37"/>
      <c r="PNH677" s="37"/>
      <c r="PNI677" s="37"/>
      <c r="PNJ677" s="37"/>
      <c r="PNK677" s="37"/>
      <c r="PNL677" s="37"/>
      <c r="PNM677" s="37"/>
      <c r="PNN677" s="37"/>
      <c r="PNO677" s="37"/>
      <c r="PNP677" s="37"/>
      <c r="PNQ677" s="37"/>
      <c r="PNR677" s="37"/>
      <c r="PNS677" s="37"/>
      <c r="PNT677" s="37"/>
      <c r="PNU677" s="37"/>
      <c r="PNV677" s="37"/>
      <c r="PNW677" s="37"/>
      <c r="PNX677" s="37"/>
      <c r="PNY677" s="37"/>
      <c r="PNZ677" s="37"/>
      <c r="POA677" s="37"/>
      <c r="POB677" s="37"/>
      <c r="POC677" s="37"/>
      <c r="POD677" s="37"/>
      <c r="POE677" s="37"/>
      <c r="POF677" s="37"/>
      <c r="POG677" s="37"/>
      <c r="POH677" s="37"/>
      <c r="POI677" s="37"/>
      <c r="POJ677" s="37"/>
      <c r="POK677" s="37"/>
      <c r="POL677" s="37"/>
      <c r="POM677" s="37"/>
      <c r="PON677" s="37"/>
      <c r="POO677" s="37"/>
      <c r="POP677" s="37"/>
      <c r="POQ677" s="37"/>
      <c r="POR677" s="37"/>
      <c r="POS677" s="37"/>
      <c r="POT677" s="37"/>
      <c r="POU677" s="37"/>
      <c r="POV677" s="37"/>
      <c r="POW677" s="37"/>
      <c r="POX677" s="37"/>
      <c r="POY677" s="37"/>
      <c r="POZ677" s="37"/>
      <c r="PPA677" s="37"/>
      <c r="PPB677" s="37"/>
      <c r="PPC677" s="37"/>
      <c r="PPD677" s="37"/>
      <c r="PPE677" s="37"/>
      <c r="PPF677" s="37"/>
      <c r="PPG677" s="37"/>
      <c r="PPH677" s="37"/>
      <c r="PPI677" s="37"/>
      <c r="PPJ677" s="37"/>
      <c r="PPK677" s="37"/>
      <c r="PPL677" s="37"/>
      <c r="PPM677" s="37"/>
      <c r="PPN677" s="37"/>
      <c r="PPO677" s="37"/>
      <c r="PPP677" s="37"/>
      <c r="PPQ677" s="37"/>
      <c r="PPR677" s="37"/>
      <c r="PPS677" s="37"/>
      <c r="PPT677" s="37"/>
      <c r="PPU677" s="37"/>
      <c r="PPV677" s="37"/>
      <c r="PPW677" s="37"/>
      <c r="PPX677" s="37"/>
      <c r="PPY677" s="37"/>
      <c r="PPZ677" s="37"/>
      <c r="PQA677" s="37"/>
      <c r="PQB677" s="37"/>
      <c r="PQC677" s="37"/>
      <c r="PQD677" s="37"/>
      <c r="PQE677" s="37"/>
      <c r="PQF677" s="37"/>
      <c r="PQG677" s="37"/>
      <c r="PQH677" s="37"/>
      <c r="PQI677" s="37"/>
      <c r="PQJ677" s="37"/>
      <c r="PQK677" s="37"/>
      <c r="PQL677" s="37"/>
      <c r="PQM677" s="37"/>
      <c r="PQN677" s="37"/>
      <c r="PQO677" s="37"/>
      <c r="PQP677" s="37"/>
      <c r="PQQ677" s="37"/>
      <c r="PQR677" s="37"/>
      <c r="PQS677" s="37"/>
      <c r="PQT677" s="37"/>
      <c r="PQU677" s="37"/>
      <c r="PQV677" s="37"/>
      <c r="PQW677" s="37"/>
      <c r="PQX677" s="37"/>
      <c r="PQY677" s="37"/>
      <c r="PQZ677" s="37"/>
      <c r="PRA677" s="37"/>
      <c r="PRB677" s="37"/>
      <c r="PRC677" s="37"/>
      <c r="PRD677" s="37"/>
      <c r="PRE677" s="37"/>
      <c r="PRF677" s="37"/>
      <c r="PRG677" s="37"/>
      <c r="PRH677" s="37"/>
      <c r="PRI677" s="37"/>
      <c r="PRJ677" s="37"/>
      <c r="PRK677" s="37"/>
      <c r="PRL677" s="37"/>
      <c r="PRM677" s="37"/>
      <c r="PRN677" s="37"/>
      <c r="PRO677" s="37"/>
      <c r="PRP677" s="37"/>
      <c r="PRQ677" s="37"/>
      <c r="PRR677" s="37"/>
      <c r="PRS677" s="37"/>
      <c r="PRT677" s="37"/>
      <c r="PRU677" s="37"/>
      <c r="PRV677" s="37"/>
      <c r="PRW677" s="37"/>
      <c r="PRX677" s="37"/>
      <c r="PRY677" s="37"/>
      <c r="PRZ677" s="37"/>
      <c r="PSA677" s="37"/>
      <c r="PSB677" s="37"/>
      <c r="PSC677" s="37"/>
      <c r="PSD677" s="37"/>
      <c r="PSE677" s="37"/>
      <c r="PSF677" s="37"/>
      <c r="PSG677" s="37"/>
      <c r="PSH677" s="37"/>
      <c r="PSI677" s="37"/>
      <c r="PSJ677" s="37"/>
      <c r="PSK677" s="37"/>
      <c r="PSL677" s="37"/>
      <c r="PSM677" s="37"/>
      <c r="PSN677" s="37"/>
      <c r="PSO677" s="37"/>
      <c r="PSP677" s="37"/>
      <c r="PSQ677" s="37"/>
      <c r="PSR677" s="37"/>
      <c r="PSS677" s="37"/>
      <c r="PST677" s="37"/>
      <c r="PSU677" s="37"/>
      <c r="PSV677" s="37"/>
      <c r="PSW677" s="37"/>
      <c r="PSX677" s="37"/>
      <c r="PSY677" s="37"/>
      <c r="PSZ677" s="37"/>
      <c r="PTA677" s="37"/>
      <c r="PTB677" s="37"/>
      <c r="PTC677" s="37"/>
      <c r="PTD677" s="37"/>
      <c r="PTE677" s="37"/>
      <c r="PTF677" s="37"/>
      <c r="PTG677" s="37"/>
      <c r="PTH677" s="37"/>
      <c r="PTI677" s="37"/>
      <c r="PTJ677" s="37"/>
      <c r="PTK677" s="37"/>
      <c r="PTL677" s="37"/>
      <c r="PTM677" s="37"/>
      <c r="PTN677" s="37"/>
      <c r="PTO677" s="37"/>
      <c r="PTP677" s="37"/>
      <c r="PTQ677" s="37"/>
      <c r="PTR677" s="37"/>
      <c r="PTS677" s="37"/>
      <c r="PTT677" s="37"/>
      <c r="PTU677" s="37"/>
      <c r="PTV677" s="37"/>
      <c r="PTW677" s="37"/>
      <c r="PTX677" s="37"/>
      <c r="PTY677" s="37"/>
      <c r="PTZ677" s="37"/>
      <c r="PUA677" s="37"/>
      <c r="PUB677" s="37"/>
      <c r="PUC677" s="37"/>
      <c r="PUD677" s="37"/>
      <c r="PUE677" s="37"/>
      <c r="PUF677" s="37"/>
      <c r="PUG677" s="37"/>
      <c r="PUH677" s="37"/>
      <c r="PUI677" s="37"/>
      <c r="PUJ677" s="37"/>
      <c r="PUK677" s="37"/>
      <c r="PUL677" s="37"/>
      <c r="PUM677" s="37"/>
      <c r="PUN677" s="37"/>
      <c r="PUO677" s="37"/>
      <c r="PUP677" s="37"/>
      <c r="PUQ677" s="37"/>
      <c r="PUR677" s="37"/>
      <c r="PUS677" s="37"/>
      <c r="PUT677" s="37"/>
      <c r="PUU677" s="37"/>
      <c r="PUV677" s="37"/>
      <c r="PUW677" s="37"/>
      <c r="PUX677" s="37"/>
      <c r="PUY677" s="37"/>
      <c r="PUZ677" s="37"/>
      <c r="PVA677" s="37"/>
      <c r="PVB677" s="37"/>
      <c r="PVC677" s="37"/>
      <c r="PVD677" s="37"/>
      <c r="PVE677" s="37"/>
      <c r="PVF677" s="37"/>
      <c r="PVG677" s="37"/>
      <c r="PVH677" s="37"/>
      <c r="PVI677" s="37"/>
      <c r="PVJ677" s="37"/>
      <c r="PVK677" s="37"/>
      <c r="PVL677" s="37"/>
      <c r="PVM677" s="37"/>
      <c r="PVN677" s="37"/>
      <c r="PVO677" s="37"/>
      <c r="PVP677" s="37"/>
      <c r="PVQ677" s="37"/>
      <c r="PVR677" s="37"/>
      <c r="PVS677" s="37"/>
      <c r="PVT677" s="37"/>
      <c r="PVU677" s="37"/>
      <c r="PVV677" s="37"/>
      <c r="PVW677" s="37"/>
      <c r="PVX677" s="37"/>
      <c r="PVY677" s="37"/>
      <c r="PVZ677" s="37"/>
      <c r="PWA677" s="37"/>
      <c r="PWB677" s="37"/>
      <c r="PWC677" s="37"/>
      <c r="PWD677" s="37"/>
      <c r="PWE677" s="37"/>
      <c r="PWF677" s="37"/>
      <c r="PWG677" s="37"/>
      <c r="PWH677" s="37"/>
      <c r="PWI677" s="37"/>
      <c r="PWJ677" s="37"/>
      <c r="PWK677" s="37"/>
      <c r="PWL677" s="37"/>
      <c r="PWM677" s="37"/>
      <c r="PWN677" s="37"/>
      <c r="PWO677" s="37"/>
      <c r="PWP677" s="37"/>
      <c r="PWQ677" s="37"/>
      <c r="PWR677" s="37"/>
      <c r="PWS677" s="37"/>
      <c r="PWT677" s="37"/>
      <c r="PWU677" s="37"/>
      <c r="PWV677" s="37"/>
      <c r="PWW677" s="37"/>
      <c r="PWX677" s="37"/>
      <c r="PWY677" s="37"/>
      <c r="PWZ677" s="37"/>
      <c r="PXA677" s="37"/>
      <c r="PXB677" s="37"/>
      <c r="PXC677" s="37"/>
      <c r="PXD677" s="37"/>
      <c r="PXE677" s="37"/>
      <c r="PXF677" s="37"/>
      <c r="PXG677" s="37"/>
      <c r="PXH677" s="37"/>
      <c r="PXI677" s="37"/>
      <c r="PXJ677" s="37"/>
      <c r="PXK677" s="37"/>
      <c r="PXL677" s="37"/>
      <c r="PXM677" s="37"/>
      <c r="PXN677" s="37"/>
      <c r="PXO677" s="37"/>
      <c r="PXP677" s="37"/>
      <c r="PXQ677" s="37"/>
      <c r="PXR677" s="37"/>
      <c r="PXS677" s="37"/>
      <c r="PXT677" s="37"/>
      <c r="PXU677" s="37"/>
      <c r="PXV677" s="37"/>
      <c r="PXW677" s="37"/>
      <c r="PXX677" s="37"/>
      <c r="PXY677" s="37"/>
      <c r="PXZ677" s="37"/>
      <c r="PYA677" s="37"/>
      <c r="PYB677" s="37"/>
      <c r="PYC677" s="37"/>
      <c r="PYD677" s="37"/>
      <c r="PYE677" s="37"/>
      <c r="PYF677" s="37"/>
      <c r="PYG677" s="37"/>
      <c r="PYH677" s="37"/>
      <c r="PYI677" s="37"/>
      <c r="PYJ677" s="37"/>
      <c r="PYK677" s="37"/>
      <c r="PYL677" s="37"/>
      <c r="PYM677" s="37"/>
      <c r="PYN677" s="37"/>
      <c r="PYO677" s="37"/>
      <c r="PYP677" s="37"/>
      <c r="PYQ677" s="37"/>
      <c r="PYR677" s="37"/>
      <c r="PYS677" s="37"/>
      <c r="PYT677" s="37"/>
      <c r="PYU677" s="37"/>
      <c r="PYV677" s="37"/>
      <c r="PYW677" s="37"/>
      <c r="PYX677" s="37"/>
      <c r="PYY677" s="37"/>
      <c r="PYZ677" s="37"/>
      <c r="PZA677" s="37"/>
      <c r="PZB677" s="37"/>
      <c r="PZC677" s="37"/>
      <c r="PZD677" s="37"/>
      <c r="PZE677" s="37"/>
      <c r="PZF677" s="37"/>
      <c r="PZG677" s="37"/>
      <c r="PZH677" s="37"/>
      <c r="PZI677" s="37"/>
      <c r="PZJ677" s="37"/>
      <c r="PZK677" s="37"/>
      <c r="PZL677" s="37"/>
      <c r="PZM677" s="37"/>
      <c r="PZN677" s="37"/>
      <c r="PZO677" s="37"/>
      <c r="PZP677" s="37"/>
      <c r="PZQ677" s="37"/>
      <c r="PZR677" s="37"/>
      <c r="PZS677" s="37"/>
      <c r="PZT677" s="37"/>
      <c r="PZU677" s="37"/>
      <c r="PZV677" s="37"/>
      <c r="PZW677" s="37"/>
      <c r="PZX677" s="37"/>
      <c r="PZY677" s="37"/>
      <c r="PZZ677" s="37"/>
      <c r="QAA677" s="37"/>
      <c r="QAB677" s="37"/>
      <c r="QAC677" s="37"/>
      <c r="QAD677" s="37"/>
      <c r="QAE677" s="37"/>
      <c r="QAF677" s="37"/>
      <c r="QAG677" s="37"/>
      <c r="QAH677" s="37"/>
      <c r="QAI677" s="37"/>
      <c r="QAJ677" s="37"/>
      <c r="QAK677" s="37"/>
      <c r="QAL677" s="37"/>
      <c r="QAM677" s="37"/>
      <c r="QAN677" s="37"/>
      <c r="QAO677" s="37"/>
      <c r="QAP677" s="37"/>
      <c r="QAQ677" s="37"/>
      <c r="QAR677" s="37"/>
      <c r="QAS677" s="37"/>
      <c r="QAT677" s="37"/>
      <c r="QAU677" s="37"/>
      <c r="QAV677" s="37"/>
      <c r="QAW677" s="37"/>
      <c r="QAX677" s="37"/>
      <c r="QAY677" s="37"/>
      <c r="QAZ677" s="37"/>
      <c r="QBA677" s="37"/>
      <c r="QBB677" s="37"/>
      <c r="QBC677" s="37"/>
      <c r="QBD677" s="37"/>
      <c r="QBE677" s="37"/>
      <c r="QBF677" s="37"/>
      <c r="QBG677" s="37"/>
      <c r="QBH677" s="37"/>
      <c r="QBI677" s="37"/>
      <c r="QBJ677" s="37"/>
      <c r="QBK677" s="37"/>
      <c r="QBL677" s="37"/>
      <c r="QBM677" s="37"/>
      <c r="QBN677" s="37"/>
      <c r="QBO677" s="37"/>
      <c r="QBP677" s="37"/>
      <c r="QBQ677" s="37"/>
      <c r="QBR677" s="37"/>
      <c r="QBS677" s="37"/>
      <c r="QBT677" s="37"/>
      <c r="QBU677" s="37"/>
      <c r="QBV677" s="37"/>
      <c r="QBW677" s="37"/>
      <c r="QBX677" s="37"/>
      <c r="QBY677" s="37"/>
      <c r="QBZ677" s="37"/>
      <c r="QCA677" s="37"/>
      <c r="QCB677" s="37"/>
      <c r="QCC677" s="37"/>
      <c r="QCD677" s="37"/>
      <c r="QCE677" s="37"/>
      <c r="QCF677" s="37"/>
      <c r="QCG677" s="37"/>
      <c r="QCH677" s="37"/>
      <c r="QCI677" s="37"/>
      <c r="QCJ677" s="37"/>
      <c r="QCK677" s="37"/>
      <c r="QCL677" s="37"/>
      <c r="QCM677" s="37"/>
      <c r="QCN677" s="37"/>
      <c r="QCO677" s="37"/>
      <c r="QCP677" s="37"/>
      <c r="QCQ677" s="37"/>
      <c r="QCR677" s="37"/>
      <c r="QCS677" s="37"/>
      <c r="QCT677" s="37"/>
      <c r="QCU677" s="37"/>
      <c r="QCV677" s="37"/>
      <c r="QCW677" s="37"/>
      <c r="QCX677" s="37"/>
      <c r="QCY677" s="37"/>
      <c r="QCZ677" s="37"/>
      <c r="QDA677" s="37"/>
      <c r="QDB677" s="37"/>
      <c r="QDC677" s="37"/>
      <c r="QDD677" s="37"/>
      <c r="QDE677" s="37"/>
      <c r="QDF677" s="37"/>
      <c r="QDG677" s="37"/>
      <c r="QDH677" s="37"/>
      <c r="QDI677" s="37"/>
      <c r="QDJ677" s="37"/>
      <c r="QDK677" s="37"/>
      <c r="QDL677" s="37"/>
      <c r="QDM677" s="37"/>
      <c r="QDN677" s="37"/>
      <c r="QDO677" s="37"/>
      <c r="QDP677" s="37"/>
      <c r="QDQ677" s="37"/>
      <c r="QDR677" s="37"/>
      <c r="QDS677" s="37"/>
      <c r="QDT677" s="37"/>
      <c r="QDU677" s="37"/>
      <c r="QDV677" s="37"/>
      <c r="QDW677" s="37"/>
      <c r="QDX677" s="37"/>
      <c r="QDY677" s="37"/>
      <c r="QDZ677" s="37"/>
      <c r="QEA677" s="37"/>
      <c r="QEB677" s="37"/>
      <c r="QEC677" s="37"/>
      <c r="QED677" s="37"/>
      <c r="QEE677" s="37"/>
      <c r="QEF677" s="37"/>
      <c r="QEG677" s="37"/>
      <c r="QEH677" s="37"/>
      <c r="QEI677" s="37"/>
      <c r="QEJ677" s="37"/>
      <c r="QEK677" s="37"/>
      <c r="QEL677" s="37"/>
      <c r="QEM677" s="37"/>
      <c r="QEN677" s="37"/>
      <c r="QEO677" s="37"/>
      <c r="QEP677" s="37"/>
      <c r="QEQ677" s="37"/>
      <c r="QER677" s="37"/>
      <c r="QES677" s="37"/>
      <c r="QET677" s="37"/>
      <c r="QEU677" s="37"/>
      <c r="QEV677" s="37"/>
      <c r="QEW677" s="37"/>
      <c r="QEX677" s="37"/>
      <c r="QEY677" s="37"/>
      <c r="QEZ677" s="37"/>
      <c r="QFA677" s="37"/>
      <c r="QFB677" s="37"/>
      <c r="QFC677" s="37"/>
      <c r="QFD677" s="37"/>
      <c r="QFE677" s="37"/>
      <c r="QFF677" s="37"/>
      <c r="QFG677" s="37"/>
      <c r="QFH677" s="37"/>
      <c r="QFI677" s="37"/>
      <c r="QFJ677" s="37"/>
      <c r="QFK677" s="37"/>
      <c r="QFL677" s="37"/>
      <c r="QFM677" s="37"/>
      <c r="QFN677" s="37"/>
      <c r="QFO677" s="37"/>
      <c r="QFP677" s="37"/>
      <c r="QFQ677" s="37"/>
      <c r="QFR677" s="37"/>
      <c r="QFS677" s="37"/>
      <c r="QFT677" s="37"/>
      <c r="QFU677" s="37"/>
      <c r="QFV677" s="37"/>
      <c r="QFW677" s="37"/>
      <c r="QFX677" s="37"/>
      <c r="QFY677" s="37"/>
      <c r="QFZ677" s="37"/>
      <c r="QGA677" s="37"/>
      <c r="QGB677" s="37"/>
      <c r="QGC677" s="37"/>
      <c r="QGD677" s="37"/>
      <c r="QGE677" s="37"/>
      <c r="QGF677" s="37"/>
      <c r="QGG677" s="37"/>
      <c r="QGH677" s="37"/>
      <c r="QGI677" s="37"/>
      <c r="QGJ677" s="37"/>
      <c r="QGK677" s="37"/>
      <c r="QGL677" s="37"/>
      <c r="QGM677" s="37"/>
      <c r="QGN677" s="37"/>
      <c r="QGO677" s="37"/>
      <c r="QGP677" s="37"/>
      <c r="QGQ677" s="37"/>
      <c r="QGR677" s="37"/>
      <c r="QGS677" s="37"/>
      <c r="QGT677" s="37"/>
      <c r="QGU677" s="37"/>
      <c r="QGV677" s="37"/>
      <c r="QGW677" s="37"/>
      <c r="QGX677" s="37"/>
      <c r="QGY677" s="37"/>
      <c r="QGZ677" s="37"/>
      <c r="QHA677" s="37"/>
      <c r="QHB677" s="37"/>
      <c r="QHC677" s="37"/>
      <c r="QHD677" s="37"/>
      <c r="QHE677" s="37"/>
      <c r="QHF677" s="37"/>
      <c r="QHG677" s="37"/>
      <c r="QHH677" s="37"/>
      <c r="QHI677" s="37"/>
      <c r="QHJ677" s="37"/>
      <c r="QHK677" s="37"/>
      <c r="QHL677" s="37"/>
      <c r="QHM677" s="37"/>
      <c r="QHN677" s="37"/>
      <c r="QHO677" s="37"/>
      <c r="QHP677" s="37"/>
      <c r="QHQ677" s="37"/>
      <c r="QHR677" s="37"/>
      <c r="QHS677" s="37"/>
      <c r="QHT677" s="37"/>
      <c r="QHU677" s="37"/>
      <c r="QHV677" s="37"/>
      <c r="QHW677" s="37"/>
      <c r="QHX677" s="37"/>
      <c r="QHY677" s="37"/>
      <c r="QHZ677" s="37"/>
      <c r="QIA677" s="37"/>
      <c r="QIB677" s="37"/>
      <c r="QIC677" s="37"/>
      <c r="QID677" s="37"/>
      <c r="QIE677" s="37"/>
      <c r="QIF677" s="37"/>
      <c r="QIG677" s="37"/>
      <c r="QIH677" s="37"/>
      <c r="QII677" s="37"/>
      <c r="QIJ677" s="37"/>
      <c r="QIK677" s="37"/>
      <c r="QIL677" s="37"/>
      <c r="QIM677" s="37"/>
      <c r="QIN677" s="37"/>
      <c r="QIO677" s="37"/>
      <c r="QIP677" s="37"/>
      <c r="QIQ677" s="37"/>
      <c r="QIR677" s="37"/>
      <c r="QIS677" s="37"/>
      <c r="QIT677" s="37"/>
      <c r="QIU677" s="37"/>
      <c r="QIV677" s="37"/>
      <c r="QIW677" s="37"/>
      <c r="QIX677" s="37"/>
      <c r="QIY677" s="37"/>
      <c r="QIZ677" s="37"/>
      <c r="QJA677" s="37"/>
      <c r="QJB677" s="37"/>
      <c r="QJC677" s="37"/>
      <c r="QJD677" s="37"/>
      <c r="QJE677" s="37"/>
      <c r="QJF677" s="37"/>
      <c r="QJG677" s="37"/>
      <c r="QJH677" s="37"/>
      <c r="QJI677" s="37"/>
      <c r="QJJ677" s="37"/>
      <c r="QJK677" s="37"/>
      <c r="QJL677" s="37"/>
      <c r="QJM677" s="37"/>
      <c r="QJN677" s="37"/>
      <c r="QJO677" s="37"/>
      <c r="QJP677" s="37"/>
      <c r="QJQ677" s="37"/>
      <c r="QJR677" s="37"/>
      <c r="QJS677" s="37"/>
      <c r="QJT677" s="37"/>
      <c r="QJU677" s="37"/>
      <c r="QJV677" s="37"/>
      <c r="QJW677" s="37"/>
      <c r="QJX677" s="37"/>
      <c r="QJY677" s="37"/>
      <c r="QJZ677" s="37"/>
      <c r="QKA677" s="37"/>
      <c r="QKB677" s="37"/>
      <c r="QKC677" s="37"/>
      <c r="QKD677" s="37"/>
      <c r="QKE677" s="37"/>
      <c r="QKF677" s="37"/>
      <c r="QKG677" s="37"/>
      <c r="QKH677" s="37"/>
      <c r="QKI677" s="37"/>
      <c r="QKJ677" s="37"/>
      <c r="QKK677" s="37"/>
      <c r="QKL677" s="37"/>
      <c r="QKM677" s="37"/>
      <c r="QKN677" s="37"/>
      <c r="QKO677" s="37"/>
      <c r="QKP677" s="37"/>
      <c r="QKQ677" s="37"/>
      <c r="QKR677" s="37"/>
      <c r="QKS677" s="37"/>
      <c r="QKT677" s="37"/>
      <c r="QKU677" s="37"/>
      <c r="QKV677" s="37"/>
      <c r="QKW677" s="37"/>
      <c r="QKX677" s="37"/>
      <c r="QKY677" s="37"/>
      <c r="QKZ677" s="37"/>
      <c r="QLA677" s="37"/>
      <c r="QLB677" s="37"/>
      <c r="QLC677" s="37"/>
      <c r="QLD677" s="37"/>
      <c r="QLE677" s="37"/>
      <c r="QLF677" s="37"/>
      <c r="QLG677" s="37"/>
      <c r="QLH677" s="37"/>
      <c r="QLI677" s="37"/>
      <c r="QLJ677" s="37"/>
      <c r="QLK677" s="37"/>
      <c r="QLL677" s="37"/>
      <c r="QLM677" s="37"/>
      <c r="QLN677" s="37"/>
      <c r="QLO677" s="37"/>
      <c r="QLP677" s="37"/>
      <c r="QLQ677" s="37"/>
      <c r="QLR677" s="37"/>
      <c r="QLS677" s="37"/>
      <c r="QLT677" s="37"/>
      <c r="QLU677" s="37"/>
      <c r="QLV677" s="37"/>
      <c r="QLW677" s="37"/>
      <c r="QLX677" s="37"/>
      <c r="QLY677" s="37"/>
      <c r="QLZ677" s="37"/>
      <c r="QMA677" s="37"/>
      <c r="QMB677" s="37"/>
      <c r="QMC677" s="37"/>
      <c r="QMD677" s="37"/>
      <c r="QME677" s="37"/>
      <c r="QMF677" s="37"/>
      <c r="QMG677" s="37"/>
      <c r="QMH677" s="37"/>
      <c r="QMI677" s="37"/>
      <c r="QMJ677" s="37"/>
      <c r="QMK677" s="37"/>
      <c r="QML677" s="37"/>
      <c r="QMM677" s="37"/>
      <c r="QMN677" s="37"/>
      <c r="QMO677" s="37"/>
      <c r="QMP677" s="37"/>
      <c r="QMQ677" s="37"/>
      <c r="QMR677" s="37"/>
      <c r="QMS677" s="37"/>
      <c r="QMT677" s="37"/>
      <c r="QMU677" s="37"/>
      <c r="QMV677" s="37"/>
      <c r="QMW677" s="37"/>
      <c r="QMX677" s="37"/>
      <c r="QMY677" s="37"/>
      <c r="QMZ677" s="37"/>
      <c r="QNA677" s="37"/>
      <c r="QNB677" s="37"/>
      <c r="QNC677" s="37"/>
      <c r="QND677" s="37"/>
      <c r="QNE677" s="37"/>
      <c r="QNF677" s="37"/>
      <c r="QNG677" s="37"/>
      <c r="QNH677" s="37"/>
      <c r="QNI677" s="37"/>
      <c r="QNJ677" s="37"/>
      <c r="QNK677" s="37"/>
      <c r="QNL677" s="37"/>
      <c r="QNM677" s="37"/>
      <c r="QNN677" s="37"/>
      <c r="QNO677" s="37"/>
      <c r="QNP677" s="37"/>
      <c r="QNQ677" s="37"/>
      <c r="QNR677" s="37"/>
      <c r="QNS677" s="37"/>
      <c r="QNT677" s="37"/>
      <c r="QNU677" s="37"/>
      <c r="QNV677" s="37"/>
      <c r="QNW677" s="37"/>
      <c r="QNX677" s="37"/>
      <c r="QNY677" s="37"/>
      <c r="QNZ677" s="37"/>
      <c r="QOA677" s="37"/>
      <c r="QOB677" s="37"/>
      <c r="QOC677" s="37"/>
      <c r="QOD677" s="37"/>
      <c r="QOE677" s="37"/>
      <c r="QOF677" s="37"/>
      <c r="QOG677" s="37"/>
      <c r="QOH677" s="37"/>
      <c r="QOI677" s="37"/>
      <c r="QOJ677" s="37"/>
      <c r="QOK677" s="37"/>
      <c r="QOL677" s="37"/>
      <c r="QOM677" s="37"/>
      <c r="QON677" s="37"/>
      <c r="QOO677" s="37"/>
      <c r="QOP677" s="37"/>
      <c r="QOQ677" s="37"/>
      <c r="QOR677" s="37"/>
      <c r="QOS677" s="37"/>
      <c r="QOT677" s="37"/>
      <c r="QOU677" s="37"/>
      <c r="QOV677" s="37"/>
      <c r="QOW677" s="37"/>
      <c r="QOX677" s="37"/>
      <c r="QOY677" s="37"/>
      <c r="QOZ677" s="37"/>
      <c r="QPA677" s="37"/>
      <c r="QPB677" s="37"/>
      <c r="QPC677" s="37"/>
      <c r="QPD677" s="37"/>
      <c r="QPE677" s="37"/>
      <c r="QPF677" s="37"/>
      <c r="QPG677" s="37"/>
      <c r="QPH677" s="37"/>
      <c r="QPI677" s="37"/>
      <c r="QPJ677" s="37"/>
      <c r="QPK677" s="37"/>
      <c r="QPL677" s="37"/>
      <c r="QPM677" s="37"/>
      <c r="QPN677" s="37"/>
      <c r="QPO677" s="37"/>
      <c r="QPP677" s="37"/>
      <c r="QPQ677" s="37"/>
      <c r="QPR677" s="37"/>
      <c r="QPS677" s="37"/>
      <c r="QPT677" s="37"/>
      <c r="QPU677" s="37"/>
      <c r="QPV677" s="37"/>
      <c r="QPW677" s="37"/>
      <c r="QPX677" s="37"/>
      <c r="QPY677" s="37"/>
      <c r="QPZ677" s="37"/>
      <c r="QQA677" s="37"/>
      <c r="QQB677" s="37"/>
      <c r="QQC677" s="37"/>
      <c r="QQD677" s="37"/>
      <c r="QQE677" s="37"/>
      <c r="QQF677" s="37"/>
      <c r="QQG677" s="37"/>
      <c r="QQH677" s="37"/>
      <c r="QQI677" s="37"/>
      <c r="QQJ677" s="37"/>
      <c r="QQK677" s="37"/>
      <c r="QQL677" s="37"/>
      <c r="QQM677" s="37"/>
      <c r="QQN677" s="37"/>
      <c r="QQO677" s="37"/>
      <c r="QQP677" s="37"/>
      <c r="QQQ677" s="37"/>
      <c r="QQR677" s="37"/>
      <c r="QQS677" s="37"/>
      <c r="QQT677" s="37"/>
      <c r="QQU677" s="37"/>
      <c r="QQV677" s="37"/>
      <c r="QQW677" s="37"/>
      <c r="QQX677" s="37"/>
      <c r="QQY677" s="37"/>
      <c r="QQZ677" s="37"/>
      <c r="QRA677" s="37"/>
      <c r="QRB677" s="37"/>
      <c r="QRC677" s="37"/>
      <c r="QRD677" s="37"/>
      <c r="QRE677" s="37"/>
      <c r="QRF677" s="37"/>
      <c r="QRG677" s="37"/>
      <c r="QRH677" s="37"/>
      <c r="QRI677" s="37"/>
      <c r="QRJ677" s="37"/>
      <c r="QRK677" s="37"/>
      <c r="QRL677" s="37"/>
      <c r="QRM677" s="37"/>
      <c r="QRN677" s="37"/>
      <c r="QRO677" s="37"/>
      <c r="QRP677" s="37"/>
      <c r="QRQ677" s="37"/>
      <c r="QRR677" s="37"/>
      <c r="QRS677" s="37"/>
      <c r="QRT677" s="37"/>
      <c r="QRU677" s="37"/>
      <c r="QRV677" s="37"/>
      <c r="QRW677" s="37"/>
      <c r="QRX677" s="37"/>
      <c r="QRY677" s="37"/>
      <c r="QRZ677" s="37"/>
      <c r="QSA677" s="37"/>
      <c r="QSB677" s="37"/>
      <c r="QSC677" s="37"/>
      <c r="QSD677" s="37"/>
      <c r="QSE677" s="37"/>
      <c r="QSF677" s="37"/>
      <c r="QSG677" s="37"/>
      <c r="QSH677" s="37"/>
      <c r="QSI677" s="37"/>
      <c r="QSJ677" s="37"/>
      <c r="QSK677" s="37"/>
      <c r="QSL677" s="37"/>
      <c r="QSM677" s="37"/>
      <c r="QSN677" s="37"/>
      <c r="QSO677" s="37"/>
      <c r="QSP677" s="37"/>
      <c r="QSQ677" s="37"/>
      <c r="QSR677" s="37"/>
      <c r="QSS677" s="37"/>
      <c r="QST677" s="37"/>
      <c r="QSU677" s="37"/>
      <c r="QSV677" s="37"/>
      <c r="QSW677" s="37"/>
      <c r="QSX677" s="37"/>
      <c r="QSY677" s="37"/>
      <c r="QSZ677" s="37"/>
      <c r="QTA677" s="37"/>
      <c r="QTB677" s="37"/>
      <c r="QTC677" s="37"/>
      <c r="QTD677" s="37"/>
      <c r="QTE677" s="37"/>
      <c r="QTF677" s="37"/>
      <c r="QTG677" s="37"/>
      <c r="QTH677" s="37"/>
      <c r="QTI677" s="37"/>
      <c r="QTJ677" s="37"/>
      <c r="QTK677" s="37"/>
      <c r="QTL677" s="37"/>
      <c r="QTM677" s="37"/>
      <c r="QTN677" s="37"/>
      <c r="QTO677" s="37"/>
      <c r="QTP677" s="37"/>
      <c r="QTQ677" s="37"/>
      <c r="QTR677" s="37"/>
      <c r="QTS677" s="37"/>
      <c r="QTT677" s="37"/>
      <c r="QTU677" s="37"/>
      <c r="QTV677" s="37"/>
      <c r="QTW677" s="37"/>
      <c r="QTX677" s="37"/>
      <c r="QTY677" s="37"/>
      <c r="QTZ677" s="37"/>
      <c r="QUA677" s="37"/>
      <c r="QUB677" s="37"/>
      <c r="QUC677" s="37"/>
      <c r="QUD677" s="37"/>
      <c r="QUE677" s="37"/>
      <c r="QUF677" s="37"/>
      <c r="QUG677" s="37"/>
      <c r="QUH677" s="37"/>
      <c r="QUI677" s="37"/>
      <c r="QUJ677" s="37"/>
      <c r="QUK677" s="37"/>
      <c r="QUL677" s="37"/>
      <c r="QUM677" s="37"/>
      <c r="QUN677" s="37"/>
      <c r="QUO677" s="37"/>
      <c r="QUP677" s="37"/>
      <c r="QUQ677" s="37"/>
      <c r="QUR677" s="37"/>
      <c r="QUS677" s="37"/>
      <c r="QUT677" s="37"/>
      <c r="QUU677" s="37"/>
      <c r="QUV677" s="37"/>
      <c r="QUW677" s="37"/>
      <c r="QUX677" s="37"/>
      <c r="QUY677" s="37"/>
      <c r="QUZ677" s="37"/>
      <c r="QVA677" s="37"/>
      <c r="QVB677" s="37"/>
      <c r="QVC677" s="37"/>
      <c r="QVD677" s="37"/>
      <c r="QVE677" s="37"/>
      <c r="QVF677" s="37"/>
      <c r="QVG677" s="37"/>
      <c r="QVH677" s="37"/>
      <c r="QVI677" s="37"/>
      <c r="QVJ677" s="37"/>
      <c r="QVK677" s="37"/>
      <c r="QVL677" s="37"/>
      <c r="QVM677" s="37"/>
      <c r="QVN677" s="37"/>
      <c r="QVO677" s="37"/>
      <c r="QVP677" s="37"/>
      <c r="QVQ677" s="37"/>
      <c r="QVR677" s="37"/>
      <c r="QVS677" s="37"/>
      <c r="QVT677" s="37"/>
      <c r="QVU677" s="37"/>
      <c r="QVV677" s="37"/>
      <c r="QVW677" s="37"/>
      <c r="QVX677" s="37"/>
      <c r="QVY677" s="37"/>
      <c r="QVZ677" s="37"/>
      <c r="QWA677" s="37"/>
      <c r="QWB677" s="37"/>
      <c r="QWC677" s="37"/>
      <c r="QWD677" s="37"/>
      <c r="QWE677" s="37"/>
      <c r="QWF677" s="37"/>
      <c r="QWG677" s="37"/>
      <c r="QWH677" s="37"/>
      <c r="QWI677" s="37"/>
      <c r="QWJ677" s="37"/>
      <c r="QWK677" s="37"/>
      <c r="QWL677" s="37"/>
      <c r="QWM677" s="37"/>
      <c r="QWN677" s="37"/>
      <c r="QWO677" s="37"/>
      <c r="QWP677" s="37"/>
      <c r="QWQ677" s="37"/>
      <c r="QWR677" s="37"/>
      <c r="QWS677" s="37"/>
      <c r="QWT677" s="37"/>
      <c r="QWU677" s="37"/>
      <c r="QWV677" s="37"/>
      <c r="QWW677" s="37"/>
      <c r="QWX677" s="37"/>
      <c r="QWY677" s="37"/>
      <c r="QWZ677" s="37"/>
      <c r="QXA677" s="37"/>
      <c r="QXB677" s="37"/>
      <c r="QXC677" s="37"/>
      <c r="QXD677" s="37"/>
      <c r="QXE677" s="37"/>
      <c r="QXF677" s="37"/>
      <c r="QXG677" s="37"/>
      <c r="QXH677" s="37"/>
      <c r="QXI677" s="37"/>
      <c r="QXJ677" s="37"/>
      <c r="QXK677" s="37"/>
      <c r="QXL677" s="37"/>
      <c r="QXM677" s="37"/>
      <c r="QXN677" s="37"/>
      <c r="QXO677" s="37"/>
      <c r="QXP677" s="37"/>
      <c r="QXQ677" s="37"/>
      <c r="QXR677" s="37"/>
      <c r="QXS677" s="37"/>
      <c r="QXT677" s="37"/>
      <c r="QXU677" s="37"/>
      <c r="QXV677" s="37"/>
      <c r="QXW677" s="37"/>
      <c r="QXX677" s="37"/>
      <c r="QXY677" s="37"/>
      <c r="QXZ677" s="37"/>
      <c r="QYA677" s="37"/>
      <c r="QYB677" s="37"/>
      <c r="QYC677" s="37"/>
      <c r="QYD677" s="37"/>
      <c r="QYE677" s="37"/>
      <c r="QYF677" s="37"/>
      <c r="QYG677" s="37"/>
      <c r="QYH677" s="37"/>
      <c r="QYI677" s="37"/>
      <c r="QYJ677" s="37"/>
      <c r="QYK677" s="37"/>
      <c r="QYL677" s="37"/>
      <c r="QYM677" s="37"/>
      <c r="QYN677" s="37"/>
      <c r="QYO677" s="37"/>
      <c r="QYP677" s="37"/>
      <c r="QYQ677" s="37"/>
      <c r="QYR677" s="37"/>
      <c r="QYS677" s="37"/>
      <c r="QYT677" s="37"/>
      <c r="QYU677" s="37"/>
      <c r="QYV677" s="37"/>
      <c r="QYW677" s="37"/>
      <c r="QYX677" s="37"/>
      <c r="QYY677" s="37"/>
      <c r="QYZ677" s="37"/>
      <c r="QZA677" s="37"/>
      <c r="QZB677" s="37"/>
      <c r="QZC677" s="37"/>
      <c r="QZD677" s="37"/>
      <c r="QZE677" s="37"/>
      <c r="QZF677" s="37"/>
      <c r="QZG677" s="37"/>
      <c r="QZH677" s="37"/>
      <c r="QZI677" s="37"/>
      <c r="QZJ677" s="37"/>
      <c r="QZK677" s="37"/>
      <c r="QZL677" s="37"/>
      <c r="QZM677" s="37"/>
      <c r="QZN677" s="37"/>
      <c r="QZO677" s="37"/>
      <c r="QZP677" s="37"/>
      <c r="QZQ677" s="37"/>
      <c r="QZR677" s="37"/>
      <c r="QZS677" s="37"/>
      <c r="QZT677" s="37"/>
      <c r="QZU677" s="37"/>
      <c r="QZV677" s="37"/>
      <c r="QZW677" s="37"/>
      <c r="QZX677" s="37"/>
      <c r="QZY677" s="37"/>
      <c r="QZZ677" s="37"/>
      <c r="RAA677" s="37"/>
      <c r="RAB677" s="37"/>
      <c r="RAC677" s="37"/>
      <c r="RAD677" s="37"/>
      <c r="RAE677" s="37"/>
      <c r="RAF677" s="37"/>
      <c r="RAG677" s="37"/>
      <c r="RAH677" s="37"/>
      <c r="RAI677" s="37"/>
      <c r="RAJ677" s="37"/>
      <c r="RAK677" s="37"/>
      <c r="RAL677" s="37"/>
      <c r="RAM677" s="37"/>
      <c r="RAN677" s="37"/>
      <c r="RAO677" s="37"/>
      <c r="RAP677" s="37"/>
      <c r="RAQ677" s="37"/>
      <c r="RAR677" s="37"/>
      <c r="RAS677" s="37"/>
      <c r="RAT677" s="37"/>
      <c r="RAU677" s="37"/>
      <c r="RAV677" s="37"/>
      <c r="RAW677" s="37"/>
      <c r="RAX677" s="37"/>
      <c r="RAY677" s="37"/>
      <c r="RAZ677" s="37"/>
      <c r="RBA677" s="37"/>
      <c r="RBB677" s="37"/>
      <c r="RBC677" s="37"/>
      <c r="RBD677" s="37"/>
      <c r="RBE677" s="37"/>
      <c r="RBF677" s="37"/>
      <c r="RBG677" s="37"/>
      <c r="RBH677" s="37"/>
      <c r="RBI677" s="37"/>
      <c r="RBJ677" s="37"/>
      <c r="RBK677" s="37"/>
      <c r="RBL677" s="37"/>
      <c r="RBM677" s="37"/>
      <c r="RBN677" s="37"/>
      <c r="RBO677" s="37"/>
      <c r="RBP677" s="37"/>
      <c r="RBQ677" s="37"/>
      <c r="RBR677" s="37"/>
      <c r="RBS677" s="37"/>
      <c r="RBT677" s="37"/>
      <c r="RBU677" s="37"/>
      <c r="RBV677" s="37"/>
      <c r="RBW677" s="37"/>
      <c r="RBX677" s="37"/>
      <c r="RBY677" s="37"/>
      <c r="RBZ677" s="37"/>
      <c r="RCA677" s="37"/>
      <c r="RCB677" s="37"/>
      <c r="RCC677" s="37"/>
      <c r="RCD677" s="37"/>
      <c r="RCE677" s="37"/>
      <c r="RCF677" s="37"/>
      <c r="RCG677" s="37"/>
      <c r="RCH677" s="37"/>
      <c r="RCI677" s="37"/>
      <c r="RCJ677" s="37"/>
      <c r="RCK677" s="37"/>
      <c r="RCL677" s="37"/>
      <c r="RCM677" s="37"/>
      <c r="RCN677" s="37"/>
      <c r="RCO677" s="37"/>
      <c r="RCP677" s="37"/>
      <c r="RCQ677" s="37"/>
      <c r="RCR677" s="37"/>
      <c r="RCS677" s="37"/>
      <c r="RCT677" s="37"/>
      <c r="RCU677" s="37"/>
      <c r="RCV677" s="37"/>
      <c r="RCW677" s="37"/>
      <c r="RCX677" s="37"/>
      <c r="RCY677" s="37"/>
      <c r="RCZ677" s="37"/>
      <c r="RDA677" s="37"/>
      <c r="RDB677" s="37"/>
      <c r="RDC677" s="37"/>
      <c r="RDD677" s="37"/>
      <c r="RDE677" s="37"/>
      <c r="RDF677" s="37"/>
      <c r="RDG677" s="37"/>
      <c r="RDH677" s="37"/>
      <c r="RDI677" s="37"/>
      <c r="RDJ677" s="37"/>
      <c r="RDK677" s="37"/>
      <c r="RDL677" s="37"/>
      <c r="RDM677" s="37"/>
      <c r="RDN677" s="37"/>
      <c r="RDO677" s="37"/>
      <c r="RDP677" s="37"/>
      <c r="RDQ677" s="37"/>
      <c r="RDR677" s="37"/>
      <c r="RDS677" s="37"/>
      <c r="RDT677" s="37"/>
      <c r="RDU677" s="37"/>
      <c r="RDV677" s="37"/>
      <c r="RDW677" s="37"/>
      <c r="RDX677" s="37"/>
      <c r="RDY677" s="37"/>
      <c r="RDZ677" s="37"/>
      <c r="REA677" s="37"/>
      <c r="REB677" s="37"/>
      <c r="REC677" s="37"/>
      <c r="RED677" s="37"/>
      <c r="REE677" s="37"/>
      <c r="REF677" s="37"/>
      <c r="REG677" s="37"/>
      <c r="REH677" s="37"/>
      <c r="REI677" s="37"/>
      <c r="REJ677" s="37"/>
      <c r="REK677" s="37"/>
      <c r="REL677" s="37"/>
      <c r="REM677" s="37"/>
      <c r="REN677" s="37"/>
      <c r="REO677" s="37"/>
      <c r="REP677" s="37"/>
      <c r="REQ677" s="37"/>
      <c r="RER677" s="37"/>
      <c r="RES677" s="37"/>
      <c r="RET677" s="37"/>
      <c r="REU677" s="37"/>
      <c r="REV677" s="37"/>
      <c r="REW677" s="37"/>
      <c r="REX677" s="37"/>
      <c r="REY677" s="37"/>
      <c r="REZ677" s="37"/>
      <c r="RFA677" s="37"/>
      <c r="RFB677" s="37"/>
      <c r="RFC677" s="37"/>
      <c r="RFD677" s="37"/>
      <c r="RFE677" s="37"/>
      <c r="RFF677" s="37"/>
      <c r="RFG677" s="37"/>
      <c r="RFH677" s="37"/>
      <c r="RFI677" s="37"/>
      <c r="RFJ677" s="37"/>
      <c r="RFK677" s="37"/>
      <c r="RFL677" s="37"/>
      <c r="RFM677" s="37"/>
      <c r="RFN677" s="37"/>
      <c r="RFO677" s="37"/>
      <c r="RFP677" s="37"/>
      <c r="RFQ677" s="37"/>
      <c r="RFR677" s="37"/>
      <c r="RFS677" s="37"/>
      <c r="RFT677" s="37"/>
      <c r="RFU677" s="37"/>
      <c r="RFV677" s="37"/>
      <c r="RFW677" s="37"/>
      <c r="RFX677" s="37"/>
      <c r="RFY677" s="37"/>
      <c r="RFZ677" s="37"/>
      <c r="RGA677" s="37"/>
      <c r="RGB677" s="37"/>
      <c r="RGC677" s="37"/>
      <c r="RGD677" s="37"/>
      <c r="RGE677" s="37"/>
      <c r="RGF677" s="37"/>
      <c r="RGG677" s="37"/>
      <c r="RGH677" s="37"/>
      <c r="RGI677" s="37"/>
      <c r="RGJ677" s="37"/>
      <c r="RGK677" s="37"/>
      <c r="RGL677" s="37"/>
      <c r="RGM677" s="37"/>
      <c r="RGN677" s="37"/>
      <c r="RGO677" s="37"/>
      <c r="RGP677" s="37"/>
      <c r="RGQ677" s="37"/>
      <c r="RGR677" s="37"/>
      <c r="RGS677" s="37"/>
      <c r="RGT677" s="37"/>
      <c r="RGU677" s="37"/>
      <c r="RGV677" s="37"/>
      <c r="RGW677" s="37"/>
      <c r="RGX677" s="37"/>
      <c r="RGY677" s="37"/>
      <c r="RGZ677" s="37"/>
      <c r="RHA677" s="37"/>
      <c r="RHB677" s="37"/>
      <c r="RHC677" s="37"/>
      <c r="RHD677" s="37"/>
      <c r="RHE677" s="37"/>
      <c r="RHF677" s="37"/>
      <c r="RHG677" s="37"/>
      <c r="RHH677" s="37"/>
      <c r="RHI677" s="37"/>
      <c r="RHJ677" s="37"/>
      <c r="RHK677" s="37"/>
      <c r="RHL677" s="37"/>
      <c r="RHM677" s="37"/>
      <c r="RHN677" s="37"/>
      <c r="RHO677" s="37"/>
      <c r="RHP677" s="37"/>
      <c r="RHQ677" s="37"/>
      <c r="RHR677" s="37"/>
      <c r="RHS677" s="37"/>
      <c r="RHT677" s="37"/>
      <c r="RHU677" s="37"/>
      <c r="RHV677" s="37"/>
      <c r="RHW677" s="37"/>
      <c r="RHX677" s="37"/>
      <c r="RHY677" s="37"/>
      <c r="RHZ677" s="37"/>
      <c r="RIA677" s="37"/>
      <c r="RIB677" s="37"/>
      <c r="RIC677" s="37"/>
      <c r="RID677" s="37"/>
      <c r="RIE677" s="37"/>
      <c r="RIF677" s="37"/>
      <c r="RIG677" s="37"/>
      <c r="RIH677" s="37"/>
      <c r="RII677" s="37"/>
      <c r="RIJ677" s="37"/>
      <c r="RIK677" s="37"/>
      <c r="RIL677" s="37"/>
      <c r="RIM677" s="37"/>
      <c r="RIN677" s="37"/>
      <c r="RIO677" s="37"/>
      <c r="RIP677" s="37"/>
      <c r="RIQ677" s="37"/>
      <c r="RIR677" s="37"/>
      <c r="RIS677" s="37"/>
      <c r="RIT677" s="37"/>
      <c r="RIU677" s="37"/>
      <c r="RIV677" s="37"/>
      <c r="RIW677" s="37"/>
      <c r="RIX677" s="37"/>
      <c r="RIY677" s="37"/>
      <c r="RIZ677" s="37"/>
      <c r="RJA677" s="37"/>
      <c r="RJB677" s="37"/>
      <c r="RJC677" s="37"/>
      <c r="RJD677" s="37"/>
      <c r="RJE677" s="37"/>
      <c r="RJF677" s="37"/>
      <c r="RJG677" s="37"/>
      <c r="RJH677" s="37"/>
      <c r="RJI677" s="37"/>
      <c r="RJJ677" s="37"/>
      <c r="RJK677" s="37"/>
      <c r="RJL677" s="37"/>
      <c r="RJM677" s="37"/>
      <c r="RJN677" s="37"/>
      <c r="RJO677" s="37"/>
      <c r="RJP677" s="37"/>
      <c r="RJQ677" s="37"/>
      <c r="RJR677" s="37"/>
      <c r="RJS677" s="37"/>
      <c r="RJT677" s="37"/>
      <c r="RJU677" s="37"/>
      <c r="RJV677" s="37"/>
      <c r="RJW677" s="37"/>
      <c r="RJX677" s="37"/>
      <c r="RJY677" s="37"/>
      <c r="RJZ677" s="37"/>
      <c r="RKA677" s="37"/>
      <c r="RKB677" s="37"/>
      <c r="RKC677" s="37"/>
      <c r="RKD677" s="37"/>
      <c r="RKE677" s="37"/>
      <c r="RKF677" s="37"/>
      <c r="RKG677" s="37"/>
      <c r="RKH677" s="37"/>
      <c r="RKI677" s="37"/>
      <c r="RKJ677" s="37"/>
      <c r="RKK677" s="37"/>
      <c r="RKL677" s="37"/>
      <c r="RKM677" s="37"/>
      <c r="RKN677" s="37"/>
      <c r="RKO677" s="37"/>
      <c r="RKP677" s="37"/>
      <c r="RKQ677" s="37"/>
      <c r="RKR677" s="37"/>
      <c r="RKS677" s="37"/>
      <c r="RKT677" s="37"/>
      <c r="RKU677" s="37"/>
      <c r="RKV677" s="37"/>
      <c r="RKW677" s="37"/>
      <c r="RKX677" s="37"/>
      <c r="RKY677" s="37"/>
      <c r="RKZ677" s="37"/>
      <c r="RLA677" s="37"/>
      <c r="RLB677" s="37"/>
      <c r="RLC677" s="37"/>
      <c r="RLD677" s="37"/>
      <c r="RLE677" s="37"/>
      <c r="RLF677" s="37"/>
      <c r="RLG677" s="37"/>
      <c r="RLH677" s="37"/>
      <c r="RLI677" s="37"/>
      <c r="RLJ677" s="37"/>
      <c r="RLK677" s="37"/>
      <c r="RLL677" s="37"/>
      <c r="RLM677" s="37"/>
      <c r="RLN677" s="37"/>
      <c r="RLO677" s="37"/>
      <c r="RLP677" s="37"/>
      <c r="RLQ677" s="37"/>
      <c r="RLR677" s="37"/>
      <c r="RLS677" s="37"/>
      <c r="RLT677" s="37"/>
      <c r="RLU677" s="37"/>
      <c r="RLV677" s="37"/>
      <c r="RLW677" s="37"/>
      <c r="RLX677" s="37"/>
      <c r="RLY677" s="37"/>
      <c r="RLZ677" s="37"/>
      <c r="RMA677" s="37"/>
      <c r="RMB677" s="37"/>
      <c r="RMC677" s="37"/>
      <c r="RMD677" s="37"/>
      <c r="RME677" s="37"/>
      <c r="RMF677" s="37"/>
      <c r="RMG677" s="37"/>
      <c r="RMH677" s="37"/>
      <c r="RMI677" s="37"/>
      <c r="RMJ677" s="37"/>
      <c r="RMK677" s="37"/>
      <c r="RML677" s="37"/>
      <c r="RMM677" s="37"/>
      <c r="RMN677" s="37"/>
      <c r="RMO677" s="37"/>
      <c r="RMP677" s="37"/>
      <c r="RMQ677" s="37"/>
      <c r="RMR677" s="37"/>
      <c r="RMS677" s="37"/>
      <c r="RMT677" s="37"/>
      <c r="RMU677" s="37"/>
      <c r="RMV677" s="37"/>
      <c r="RMW677" s="37"/>
      <c r="RMX677" s="37"/>
      <c r="RMY677" s="37"/>
      <c r="RMZ677" s="37"/>
      <c r="RNA677" s="37"/>
      <c r="RNB677" s="37"/>
      <c r="RNC677" s="37"/>
      <c r="RND677" s="37"/>
      <c r="RNE677" s="37"/>
      <c r="RNF677" s="37"/>
      <c r="RNG677" s="37"/>
      <c r="RNH677" s="37"/>
      <c r="RNI677" s="37"/>
      <c r="RNJ677" s="37"/>
      <c r="RNK677" s="37"/>
      <c r="RNL677" s="37"/>
      <c r="RNM677" s="37"/>
      <c r="RNN677" s="37"/>
      <c r="RNO677" s="37"/>
      <c r="RNP677" s="37"/>
      <c r="RNQ677" s="37"/>
      <c r="RNR677" s="37"/>
      <c r="RNS677" s="37"/>
      <c r="RNT677" s="37"/>
      <c r="RNU677" s="37"/>
      <c r="RNV677" s="37"/>
      <c r="RNW677" s="37"/>
      <c r="RNX677" s="37"/>
      <c r="RNY677" s="37"/>
      <c r="RNZ677" s="37"/>
      <c r="ROA677" s="37"/>
      <c r="ROB677" s="37"/>
      <c r="ROC677" s="37"/>
      <c r="ROD677" s="37"/>
      <c r="ROE677" s="37"/>
      <c r="ROF677" s="37"/>
      <c r="ROG677" s="37"/>
      <c r="ROH677" s="37"/>
      <c r="ROI677" s="37"/>
      <c r="ROJ677" s="37"/>
      <c r="ROK677" s="37"/>
      <c r="ROL677" s="37"/>
      <c r="ROM677" s="37"/>
      <c r="RON677" s="37"/>
      <c r="ROO677" s="37"/>
      <c r="ROP677" s="37"/>
      <c r="ROQ677" s="37"/>
      <c r="ROR677" s="37"/>
      <c r="ROS677" s="37"/>
      <c r="ROT677" s="37"/>
      <c r="ROU677" s="37"/>
      <c r="ROV677" s="37"/>
      <c r="ROW677" s="37"/>
      <c r="ROX677" s="37"/>
      <c r="ROY677" s="37"/>
      <c r="ROZ677" s="37"/>
      <c r="RPA677" s="37"/>
      <c r="RPB677" s="37"/>
      <c r="RPC677" s="37"/>
      <c r="RPD677" s="37"/>
      <c r="RPE677" s="37"/>
      <c r="RPF677" s="37"/>
      <c r="RPG677" s="37"/>
      <c r="RPH677" s="37"/>
      <c r="RPI677" s="37"/>
      <c r="RPJ677" s="37"/>
      <c r="RPK677" s="37"/>
      <c r="RPL677" s="37"/>
      <c r="RPM677" s="37"/>
      <c r="RPN677" s="37"/>
      <c r="RPO677" s="37"/>
      <c r="RPP677" s="37"/>
      <c r="RPQ677" s="37"/>
      <c r="RPR677" s="37"/>
      <c r="RPS677" s="37"/>
      <c r="RPT677" s="37"/>
      <c r="RPU677" s="37"/>
      <c r="RPV677" s="37"/>
      <c r="RPW677" s="37"/>
      <c r="RPX677" s="37"/>
      <c r="RPY677" s="37"/>
      <c r="RPZ677" s="37"/>
      <c r="RQA677" s="37"/>
      <c r="RQB677" s="37"/>
      <c r="RQC677" s="37"/>
      <c r="RQD677" s="37"/>
      <c r="RQE677" s="37"/>
      <c r="RQF677" s="37"/>
      <c r="RQG677" s="37"/>
      <c r="RQH677" s="37"/>
      <c r="RQI677" s="37"/>
      <c r="RQJ677" s="37"/>
      <c r="RQK677" s="37"/>
      <c r="RQL677" s="37"/>
      <c r="RQM677" s="37"/>
      <c r="RQN677" s="37"/>
      <c r="RQO677" s="37"/>
      <c r="RQP677" s="37"/>
      <c r="RQQ677" s="37"/>
      <c r="RQR677" s="37"/>
      <c r="RQS677" s="37"/>
      <c r="RQT677" s="37"/>
      <c r="RQU677" s="37"/>
      <c r="RQV677" s="37"/>
      <c r="RQW677" s="37"/>
      <c r="RQX677" s="37"/>
      <c r="RQY677" s="37"/>
      <c r="RQZ677" s="37"/>
      <c r="RRA677" s="37"/>
      <c r="RRB677" s="37"/>
      <c r="RRC677" s="37"/>
      <c r="RRD677" s="37"/>
      <c r="RRE677" s="37"/>
      <c r="RRF677" s="37"/>
      <c r="RRG677" s="37"/>
      <c r="RRH677" s="37"/>
      <c r="RRI677" s="37"/>
      <c r="RRJ677" s="37"/>
      <c r="RRK677" s="37"/>
      <c r="RRL677" s="37"/>
      <c r="RRM677" s="37"/>
      <c r="RRN677" s="37"/>
      <c r="RRO677" s="37"/>
      <c r="RRP677" s="37"/>
      <c r="RRQ677" s="37"/>
      <c r="RRR677" s="37"/>
      <c r="RRS677" s="37"/>
      <c r="RRT677" s="37"/>
      <c r="RRU677" s="37"/>
      <c r="RRV677" s="37"/>
      <c r="RRW677" s="37"/>
      <c r="RRX677" s="37"/>
      <c r="RRY677" s="37"/>
      <c r="RRZ677" s="37"/>
      <c r="RSA677" s="37"/>
      <c r="RSB677" s="37"/>
      <c r="RSC677" s="37"/>
      <c r="RSD677" s="37"/>
      <c r="RSE677" s="37"/>
      <c r="RSF677" s="37"/>
      <c r="RSG677" s="37"/>
      <c r="RSH677" s="37"/>
      <c r="RSI677" s="37"/>
      <c r="RSJ677" s="37"/>
      <c r="RSK677" s="37"/>
      <c r="RSL677" s="37"/>
      <c r="RSM677" s="37"/>
      <c r="RSN677" s="37"/>
      <c r="RSO677" s="37"/>
      <c r="RSP677" s="37"/>
      <c r="RSQ677" s="37"/>
      <c r="RSR677" s="37"/>
      <c r="RSS677" s="37"/>
      <c r="RST677" s="37"/>
      <c r="RSU677" s="37"/>
      <c r="RSV677" s="37"/>
      <c r="RSW677" s="37"/>
      <c r="RSX677" s="37"/>
      <c r="RSY677" s="37"/>
      <c r="RSZ677" s="37"/>
      <c r="RTA677" s="37"/>
      <c r="RTB677" s="37"/>
      <c r="RTC677" s="37"/>
      <c r="RTD677" s="37"/>
      <c r="RTE677" s="37"/>
      <c r="RTF677" s="37"/>
      <c r="RTG677" s="37"/>
      <c r="RTH677" s="37"/>
      <c r="RTI677" s="37"/>
      <c r="RTJ677" s="37"/>
      <c r="RTK677" s="37"/>
      <c r="RTL677" s="37"/>
      <c r="RTM677" s="37"/>
      <c r="RTN677" s="37"/>
      <c r="RTO677" s="37"/>
      <c r="RTP677" s="37"/>
      <c r="RTQ677" s="37"/>
      <c r="RTR677" s="37"/>
      <c r="RTS677" s="37"/>
      <c r="RTT677" s="37"/>
      <c r="RTU677" s="37"/>
      <c r="RTV677" s="37"/>
      <c r="RTW677" s="37"/>
      <c r="RTX677" s="37"/>
      <c r="RTY677" s="37"/>
      <c r="RTZ677" s="37"/>
      <c r="RUA677" s="37"/>
      <c r="RUB677" s="37"/>
      <c r="RUC677" s="37"/>
      <c r="RUD677" s="37"/>
      <c r="RUE677" s="37"/>
      <c r="RUF677" s="37"/>
      <c r="RUG677" s="37"/>
      <c r="RUH677" s="37"/>
      <c r="RUI677" s="37"/>
      <c r="RUJ677" s="37"/>
      <c r="RUK677" s="37"/>
      <c r="RUL677" s="37"/>
      <c r="RUM677" s="37"/>
      <c r="RUN677" s="37"/>
      <c r="RUO677" s="37"/>
      <c r="RUP677" s="37"/>
      <c r="RUQ677" s="37"/>
      <c r="RUR677" s="37"/>
      <c r="RUS677" s="37"/>
      <c r="RUT677" s="37"/>
      <c r="RUU677" s="37"/>
      <c r="RUV677" s="37"/>
      <c r="RUW677" s="37"/>
      <c r="RUX677" s="37"/>
      <c r="RUY677" s="37"/>
      <c r="RUZ677" s="37"/>
      <c r="RVA677" s="37"/>
      <c r="RVB677" s="37"/>
      <c r="RVC677" s="37"/>
      <c r="RVD677" s="37"/>
      <c r="RVE677" s="37"/>
      <c r="RVF677" s="37"/>
      <c r="RVG677" s="37"/>
      <c r="RVH677" s="37"/>
      <c r="RVI677" s="37"/>
      <c r="RVJ677" s="37"/>
      <c r="RVK677" s="37"/>
      <c r="RVL677" s="37"/>
      <c r="RVM677" s="37"/>
      <c r="RVN677" s="37"/>
      <c r="RVO677" s="37"/>
      <c r="RVP677" s="37"/>
      <c r="RVQ677" s="37"/>
      <c r="RVR677" s="37"/>
      <c r="RVS677" s="37"/>
      <c r="RVT677" s="37"/>
      <c r="RVU677" s="37"/>
      <c r="RVV677" s="37"/>
      <c r="RVW677" s="37"/>
      <c r="RVX677" s="37"/>
      <c r="RVY677" s="37"/>
      <c r="RVZ677" s="37"/>
      <c r="RWA677" s="37"/>
      <c r="RWB677" s="37"/>
      <c r="RWC677" s="37"/>
      <c r="RWD677" s="37"/>
      <c r="RWE677" s="37"/>
      <c r="RWF677" s="37"/>
      <c r="RWG677" s="37"/>
      <c r="RWH677" s="37"/>
      <c r="RWI677" s="37"/>
      <c r="RWJ677" s="37"/>
      <c r="RWK677" s="37"/>
      <c r="RWL677" s="37"/>
      <c r="RWM677" s="37"/>
      <c r="RWN677" s="37"/>
      <c r="RWO677" s="37"/>
      <c r="RWP677" s="37"/>
      <c r="RWQ677" s="37"/>
      <c r="RWR677" s="37"/>
      <c r="RWS677" s="37"/>
      <c r="RWT677" s="37"/>
      <c r="RWU677" s="37"/>
      <c r="RWV677" s="37"/>
      <c r="RWW677" s="37"/>
      <c r="RWX677" s="37"/>
      <c r="RWY677" s="37"/>
      <c r="RWZ677" s="37"/>
      <c r="RXA677" s="37"/>
      <c r="RXB677" s="37"/>
      <c r="RXC677" s="37"/>
      <c r="RXD677" s="37"/>
      <c r="RXE677" s="37"/>
      <c r="RXF677" s="37"/>
      <c r="RXG677" s="37"/>
      <c r="RXH677" s="37"/>
      <c r="RXI677" s="37"/>
      <c r="RXJ677" s="37"/>
      <c r="RXK677" s="37"/>
      <c r="RXL677" s="37"/>
      <c r="RXM677" s="37"/>
      <c r="RXN677" s="37"/>
      <c r="RXO677" s="37"/>
      <c r="RXP677" s="37"/>
      <c r="RXQ677" s="37"/>
      <c r="RXR677" s="37"/>
      <c r="RXS677" s="37"/>
      <c r="RXT677" s="37"/>
      <c r="RXU677" s="37"/>
      <c r="RXV677" s="37"/>
      <c r="RXW677" s="37"/>
      <c r="RXX677" s="37"/>
      <c r="RXY677" s="37"/>
      <c r="RXZ677" s="37"/>
      <c r="RYA677" s="37"/>
      <c r="RYB677" s="37"/>
      <c r="RYC677" s="37"/>
      <c r="RYD677" s="37"/>
      <c r="RYE677" s="37"/>
      <c r="RYF677" s="37"/>
      <c r="RYG677" s="37"/>
      <c r="RYH677" s="37"/>
      <c r="RYI677" s="37"/>
      <c r="RYJ677" s="37"/>
      <c r="RYK677" s="37"/>
      <c r="RYL677" s="37"/>
      <c r="RYM677" s="37"/>
      <c r="RYN677" s="37"/>
      <c r="RYO677" s="37"/>
      <c r="RYP677" s="37"/>
      <c r="RYQ677" s="37"/>
      <c r="RYR677" s="37"/>
      <c r="RYS677" s="37"/>
      <c r="RYT677" s="37"/>
      <c r="RYU677" s="37"/>
      <c r="RYV677" s="37"/>
      <c r="RYW677" s="37"/>
      <c r="RYX677" s="37"/>
      <c r="RYY677" s="37"/>
      <c r="RYZ677" s="37"/>
      <c r="RZA677" s="37"/>
      <c r="RZB677" s="37"/>
      <c r="RZC677" s="37"/>
      <c r="RZD677" s="37"/>
      <c r="RZE677" s="37"/>
      <c r="RZF677" s="37"/>
      <c r="RZG677" s="37"/>
      <c r="RZH677" s="37"/>
      <c r="RZI677" s="37"/>
      <c r="RZJ677" s="37"/>
      <c r="RZK677" s="37"/>
      <c r="RZL677" s="37"/>
      <c r="RZM677" s="37"/>
      <c r="RZN677" s="37"/>
      <c r="RZO677" s="37"/>
      <c r="RZP677" s="37"/>
      <c r="RZQ677" s="37"/>
      <c r="RZR677" s="37"/>
      <c r="RZS677" s="37"/>
      <c r="RZT677" s="37"/>
      <c r="RZU677" s="37"/>
      <c r="RZV677" s="37"/>
      <c r="RZW677" s="37"/>
      <c r="RZX677" s="37"/>
      <c r="RZY677" s="37"/>
      <c r="RZZ677" s="37"/>
      <c r="SAA677" s="37"/>
      <c r="SAB677" s="37"/>
      <c r="SAC677" s="37"/>
      <c r="SAD677" s="37"/>
      <c r="SAE677" s="37"/>
      <c r="SAF677" s="37"/>
      <c r="SAG677" s="37"/>
      <c r="SAH677" s="37"/>
      <c r="SAI677" s="37"/>
      <c r="SAJ677" s="37"/>
      <c r="SAK677" s="37"/>
      <c r="SAL677" s="37"/>
      <c r="SAM677" s="37"/>
      <c r="SAN677" s="37"/>
      <c r="SAO677" s="37"/>
      <c r="SAP677" s="37"/>
      <c r="SAQ677" s="37"/>
      <c r="SAR677" s="37"/>
      <c r="SAS677" s="37"/>
      <c r="SAT677" s="37"/>
      <c r="SAU677" s="37"/>
      <c r="SAV677" s="37"/>
      <c r="SAW677" s="37"/>
      <c r="SAX677" s="37"/>
      <c r="SAY677" s="37"/>
      <c r="SAZ677" s="37"/>
      <c r="SBA677" s="37"/>
      <c r="SBB677" s="37"/>
      <c r="SBC677" s="37"/>
      <c r="SBD677" s="37"/>
      <c r="SBE677" s="37"/>
      <c r="SBF677" s="37"/>
      <c r="SBG677" s="37"/>
      <c r="SBH677" s="37"/>
      <c r="SBI677" s="37"/>
      <c r="SBJ677" s="37"/>
      <c r="SBK677" s="37"/>
      <c r="SBL677" s="37"/>
      <c r="SBM677" s="37"/>
      <c r="SBN677" s="37"/>
      <c r="SBO677" s="37"/>
      <c r="SBP677" s="37"/>
      <c r="SBQ677" s="37"/>
      <c r="SBR677" s="37"/>
      <c r="SBS677" s="37"/>
      <c r="SBT677" s="37"/>
      <c r="SBU677" s="37"/>
      <c r="SBV677" s="37"/>
      <c r="SBW677" s="37"/>
      <c r="SBX677" s="37"/>
      <c r="SBY677" s="37"/>
      <c r="SBZ677" s="37"/>
      <c r="SCA677" s="37"/>
      <c r="SCB677" s="37"/>
      <c r="SCC677" s="37"/>
      <c r="SCD677" s="37"/>
      <c r="SCE677" s="37"/>
      <c r="SCF677" s="37"/>
      <c r="SCG677" s="37"/>
      <c r="SCH677" s="37"/>
      <c r="SCI677" s="37"/>
      <c r="SCJ677" s="37"/>
      <c r="SCK677" s="37"/>
      <c r="SCL677" s="37"/>
      <c r="SCM677" s="37"/>
      <c r="SCN677" s="37"/>
      <c r="SCO677" s="37"/>
      <c r="SCP677" s="37"/>
      <c r="SCQ677" s="37"/>
      <c r="SCR677" s="37"/>
      <c r="SCS677" s="37"/>
      <c r="SCT677" s="37"/>
      <c r="SCU677" s="37"/>
      <c r="SCV677" s="37"/>
      <c r="SCW677" s="37"/>
      <c r="SCX677" s="37"/>
      <c r="SCY677" s="37"/>
      <c r="SCZ677" s="37"/>
      <c r="SDA677" s="37"/>
      <c r="SDB677" s="37"/>
      <c r="SDC677" s="37"/>
      <c r="SDD677" s="37"/>
      <c r="SDE677" s="37"/>
      <c r="SDF677" s="37"/>
      <c r="SDG677" s="37"/>
      <c r="SDH677" s="37"/>
      <c r="SDI677" s="37"/>
      <c r="SDJ677" s="37"/>
      <c r="SDK677" s="37"/>
      <c r="SDL677" s="37"/>
      <c r="SDM677" s="37"/>
      <c r="SDN677" s="37"/>
      <c r="SDO677" s="37"/>
      <c r="SDP677" s="37"/>
      <c r="SDQ677" s="37"/>
      <c r="SDR677" s="37"/>
      <c r="SDS677" s="37"/>
      <c r="SDT677" s="37"/>
      <c r="SDU677" s="37"/>
      <c r="SDV677" s="37"/>
      <c r="SDW677" s="37"/>
      <c r="SDX677" s="37"/>
      <c r="SDY677" s="37"/>
      <c r="SDZ677" s="37"/>
      <c r="SEA677" s="37"/>
      <c r="SEB677" s="37"/>
      <c r="SEC677" s="37"/>
      <c r="SED677" s="37"/>
      <c r="SEE677" s="37"/>
      <c r="SEF677" s="37"/>
      <c r="SEG677" s="37"/>
      <c r="SEH677" s="37"/>
      <c r="SEI677" s="37"/>
      <c r="SEJ677" s="37"/>
      <c r="SEK677" s="37"/>
      <c r="SEL677" s="37"/>
      <c r="SEM677" s="37"/>
      <c r="SEN677" s="37"/>
      <c r="SEO677" s="37"/>
      <c r="SEP677" s="37"/>
      <c r="SEQ677" s="37"/>
      <c r="SER677" s="37"/>
      <c r="SES677" s="37"/>
      <c r="SET677" s="37"/>
      <c r="SEU677" s="37"/>
      <c r="SEV677" s="37"/>
      <c r="SEW677" s="37"/>
      <c r="SEX677" s="37"/>
      <c r="SEY677" s="37"/>
      <c r="SEZ677" s="37"/>
      <c r="SFA677" s="37"/>
      <c r="SFB677" s="37"/>
      <c r="SFC677" s="37"/>
      <c r="SFD677" s="37"/>
      <c r="SFE677" s="37"/>
      <c r="SFF677" s="37"/>
      <c r="SFG677" s="37"/>
      <c r="SFH677" s="37"/>
      <c r="SFI677" s="37"/>
      <c r="SFJ677" s="37"/>
      <c r="SFK677" s="37"/>
      <c r="SFL677" s="37"/>
      <c r="SFM677" s="37"/>
      <c r="SFN677" s="37"/>
      <c r="SFO677" s="37"/>
      <c r="SFP677" s="37"/>
      <c r="SFQ677" s="37"/>
      <c r="SFR677" s="37"/>
      <c r="SFS677" s="37"/>
      <c r="SFT677" s="37"/>
      <c r="SFU677" s="37"/>
      <c r="SFV677" s="37"/>
      <c r="SFW677" s="37"/>
      <c r="SFX677" s="37"/>
      <c r="SFY677" s="37"/>
      <c r="SFZ677" s="37"/>
      <c r="SGA677" s="37"/>
      <c r="SGB677" s="37"/>
      <c r="SGC677" s="37"/>
      <c r="SGD677" s="37"/>
      <c r="SGE677" s="37"/>
      <c r="SGF677" s="37"/>
      <c r="SGG677" s="37"/>
      <c r="SGH677" s="37"/>
      <c r="SGI677" s="37"/>
      <c r="SGJ677" s="37"/>
      <c r="SGK677" s="37"/>
      <c r="SGL677" s="37"/>
      <c r="SGM677" s="37"/>
      <c r="SGN677" s="37"/>
      <c r="SGO677" s="37"/>
      <c r="SGP677" s="37"/>
      <c r="SGQ677" s="37"/>
      <c r="SGR677" s="37"/>
      <c r="SGS677" s="37"/>
      <c r="SGT677" s="37"/>
      <c r="SGU677" s="37"/>
      <c r="SGV677" s="37"/>
      <c r="SGW677" s="37"/>
      <c r="SGX677" s="37"/>
      <c r="SGY677" s="37"/>
      <c r="SGZ677" s="37"/>
      <c r="SHA677" s="37"/>
      <c r="SHB677" s="37"/>
      <c r="SHC677" s="37"/>
      <c r="SHD677" s="37"/>
      <c r="SHE677" s="37"/>
      <c r="SHF677" s="37"/>
      <c r="SHG677" s="37"/>
      <c r="SHH677" s="37"/>
      <c r="SHI677" s="37"/>
      <c r="SHJ677" s="37"/>
      <c r="SHK677" s="37"/>
      <c r="SHL677" s="37"/>
      <c r="SHM677" s="37"/>
      <c r="SHN677" s="37"/>
      <c r="SHO677" s="37"/>
      <c r="SHP677" s="37"/>
      <c r="SHQ677" s="37"/>
      <c r="SHR677" s="37"/>
      <c r="SHS677" s="37"/>
      <c r="SHT677" s="37"/>
      <c r="SHU677" s="37"/>
      <c r="SHV677" s="37"/>
      <c r="SHW677" s="37"/>
      <c r="SHX677" s="37"/>
      <c r="SHY677" s="37"/>
      <c r="SHZ677" s="37"/>
      <c r="SIA677" s="37"/>
      <c r="SIB677" s="37"/>
      <c r="SIC677" s="37"/>
      <c r="SID677" s="37"/>
      <c r="SIE677" s="37"/>
      <c r="SIF677" s="37"/>
      <c r="SIG677" s="37"/>
      <c r="SIH677" s="37"/>
      <c r="SII677" s="37"/>
      <c r="SIJ677" s="37"/>
      <c r="SIK677" s="37"/>
      <c r="SIL677" s="37"/>
      <c r="SIM677" s="37"/>
      <c r="SIN677" s="37"/>
      <c r="SIO677" s="37"/>
      <c r="SIP677" s="37"/>
      <c r="SIQ677" s="37"/>
      <c r="SIR677" s="37"/>
      <c r="SIS677" s="37"/>
      <c r="SIT677" s="37"/>
      <c r="SIU677" s="37"/>
      <c r="SIV677" s="37"/>
      <c r="SIW677" s="37"/>
      <c r="SIX677" s="37"/>
      <c r="SIY677" s="37"/>
      <c r="SIZ677" s="37"/>
      <c r="SJA677" s="37"/>
      <c r="SJB677" s="37"/>
      <c r="SJC677" s="37"/>
      <c r="SJD677" s="37"/>
      <c r="SJE677" s="37"/>
      <c r="SJF677" s="37"/>
      <c r="SJG677" s="37"/>
      <c r="SJH677" s="37"/>
      <c r="SJI677" s="37"/>
      <c r="SJJ677" s="37"/>
      <c r="SJK677" s="37"/>
      <c r="SJL677" s="37"/>
      <c r="SJM677" s="37"/>
      <c r="SJN677" s="37"/>
      <c r="SJO677" s="37"/>
      <c r="SJP677" s="37"/>
      <c r="SJQ677" s="37"/>
      <c r="SJR677" s="37"/>
      <c r="SJS677" s="37"/>
      <c r="SJT677" s="37"/>
      <c r="SJU677" s="37"/>
      <c r="SJV677" s="37"/>
      <c r="SJW677" s="37"/>
      <c r="SJX677" s="37"/>
      <c r="SJY677" s="37"/>
      <c r="SJZ677" s="37"/>
      <c r="SKA677" s="37"/>
      <c r="SKB677" s="37"/>
      <c r="SKC677" s="37"/>
      <c r="SKD677" s="37"/>
      <c r="SKE677" s="37"/>
      <c r="SKF677" s="37"/>
      <c r="SKG677" s="37"/>
      <c r="SKH677" s="37"/>
      <c r="SKI677" s="37"/>
      <c r="SKJ677" s="37"/>
      <c r="SKK677" s="37"/>
      <c r="SKL677" s="37"/>
      <c r="SKM677" s="37"/>
      <c r="SKN677" s="37"/>
      <c r="SKO677" s="37"/>
      <c r="SKP677" s="37"/>
      <c r="SKQ677" s="37"/>
      <c r="SKR677" s="37"/>
      <c r="SKS677" s="37"/>
      <c r="SKT677" s="37"/>
      <c r="SKU677" s="37"/>
      <c r="SKV677" s="37"/>
      <c r="SKW677" s="37"/>
      <c r="SKX677" s="37"/>
      <c r="SKY677" s="37"/>
      <c r="SKZ677" s="37"/>
      <c r="SLA677" s="37"/>
      <c r="SLB677" s="37"/>
      <c r="SLC677" s="37"/>
      <c r="SLD677" s="37"/>
      <c r="SLE677" s="37"/>
      <c r="SLF677" s="37"/>
      <c r="SLG677" s="37"/>
      <c r="SLH677" s="37"/>
      <c r="SLI677" s="37"/>
      <c r="SLJ677" s="37"/>
      <c r="SLK677" s="37"/>
      <c r="SLL677" s="37"/>
      <c r="SLM677" s="37"/>
      <c r="SLN677" s="37"/>
      <c r="SLO677" s="37"/>
      <c r="SLP677" s="37"/>
      <c r="SLQ677" s="37"/>
      <c r="SLR677" s="37"/>
      <c r="SLS677" s="37"/>
      <c r="SLT677" s="37"/>
      <c r="SLU677" s="37"/>
      <c r="SLV677" s="37"/>
      <c r="SLW677" s="37"/>
      <c r="SLX677" s="37"/>
      <c r="SLY677" s="37"/>
      <c r="SLZ677" s="37"/>
      <c r="SMA677" s="37"/>
      <c r="SMB677" s="37"/>
      <c r="SMC677" s="37"/>
      <c r="SMD677" s="37"/>
      <c r="SME677" s="37"/>
      <c r="SMF677" s="37"/>
      <c r="SMG677" s="37"/>
      <c r="SMH677" s="37"/>
      <c r="SMI677" s="37"/>
      <c r="SMJ677" s="37"/>
      <c r="SMK677" s="37"/>
      <c r="SML677" s="37"/>
      <c r="SMM677" s="37"/>
      <c r="SMN677" s="37"/>
      <c r="SMO677" s="37"/>
      <c r="SMP677" s="37"/>
      <c r="SMQ677" s="37"/>
      <c r="SMR677" s="37"/>
      <c r="SMS677" s="37"/>
      <c r="SMT677" s="37"/>
      <c r="SMU677" s="37"/>
      <c r="SMV677" s="37"/>
      <c r="SMW677" s="37"/>
      <c r="SMX677" s="37"/>
      <c r="SMY677" s="37"/>
      <c r="SMZ677" s="37"/>
      <c r="SNA677" s="37"/>
      <c r="SNB677" s="37"/>
      <c r="SNC677" s="37"/>
      <c r="SND677" s="37"/>
      <c r="SNE677" s="37"/>
      <c r="SNF677" s="37"/>
      <c r="SNG677" s="37"/>
      <c r="SNH677" s="37"/>
      <c r="SNI677" s="37"/>
      <c r="SNJ677" s="37"/>
      <c r="SNK677" s="37"/>
      <c r="SNL677" s="37"/>
      <c r="SNM677" s="37"/>
      <c r="SNN677" s="37"/>
      <c r="SNO677" s="37"/>
      <c r="SNP677" s="37"/>
      <c r="SNQ677" s="37"/>
      <c r="SNR677" s="37"/>
      <c r="SNS677" s="37"/>
      <c r="SNT677" s="37"/>
      <c r="SNU677" s="37"/>
      <c r="SNV677" s="37"/>
      <c r="SNW677" s="37"/>
      <c r="SNX677" s="37"/>
      <c r="SNY677" s="37"/>
      <c r="SNZ677" s="37"/>
      <c r="SOA677" s="37"/>
      <c r="SOB677" s="37"/>
      <c r="SOC677" s="37"/>
      <c r="SOD677" s="37"/>
      <c r="SOE677" s="37"/>
      <c r="SOF677" s="37"/>
      <c r="SOG677" s="37"/>
      <c r="SOH677" s="37"/>
      <c r="SOI677" s="37"/>
      <c r="SOJ677" s="37"/>
      <c r="SOK677" s="37"/>
      <c r="SOL677" s="37"/>
      <c r="SOM677" s="37"/>
      <c r="SON677" s="37"/>
      <c r="SOO677" s="37"/>
      <c r="SOP677" s="37"/>
      <c r="SOQ677" s="37"/>
      <c r="SOR677" s="37"/>
      <c r="SOS677" s="37"/>
      <c r="SOT677" s="37"/>
      <c r="SOU677" s="37"/>
      <c r="SOV677" s="37"/>
      <c r="SOW677" s="37"/>
      <c r="SOX677" s="37"/>
      <c r="SOY677" s="37"/>
      <c r="SOZ677" s="37"/>
      <c r="SPA677" s="37"/>
      <c r="SPB677" s="37"/>
      <c r="SPC677" s="37"/>
      <c r="SPD677" s="37"/>
      <c r="SPE677" s="37"/>
      <c r="SPF677" s="37"/>
      <c r="SPG677" s="37"/>
      <c r="SPH677" s="37"/>
      <c r="SPI677" s="37"/>
      <c r="SPJ677" s="37"/>
      <c r="SPK677" s="37"/>
      <c r="SPL677" s="37"/>
      <c r="SPM677" s="37"/>
      <c r="SPN677" s="37"/>
      <c r="SPO677" s="37"/>
      <c r="SPP677" s="37"/>
      <c r="SPQ677" s="37"/>
      <c r="SPR677" s="37"/>
      <c r="SPS677" s="37"/>
      <c r="SPT677" s="37"/>
      <c r="SPU677" s="37"/>
      <c r="SPV677" s="37"/>
      <c r="SPW677" s="37"/>
      <c r="SPX677" s="37"/>
      <c r="SPY677" s="37"/>
      <c r="SPZ677" s="37"/>
      <c r="SQA677" s="37"/>
      <c r="SQB677" s="37"/>
      <c r="SQC677" s="37"/>
      <c r="SQD677" s="37"/>
      <c r="SQE677" s="37"/>
      <c r="SQF677" s="37"/>
      <c r="SQG677" s="37"/>
      <c r="SQH677" s="37"/>
      <c r="SQI677" s="37"/>
      <c r="SQJ677" s="37"/>
      <c r="SQK677" s="37"/>
      <c r="SQL677" s="37"/>
      <c r="SQM677" s="37"/>
      <c r="SQN677" s="37"/>
      <c r="SQO677" s="37"/>
      <c r="SQP677" s="37"/>
      <c r="SQQ677" s="37"/>
      <c r="SQR677" s="37"/>
      <c r="SQS677" s="37"/>
      <c r="SQT677" s="37"/>
      <c r="SQU677" s="37"/>
      <c r="SQV677" s="37"/>
      <c r="SQW677" s="37"/>
      <c r="SQX677" s="37"/>
      <c r="SQY677" s="37"/>
      <c r="SQZ677" s="37"/>
      <c r="SRA677" s="37"/>
      <c r="SRB677" s="37"/>
      <c r="SRC677" s="37"/>
      <c r="SRD677" s="37"/>
      <c r="SRE677" s="37"/>
      <c r="SRF677" s="37"/>
      <c r="SRG677" s="37"/>
      <c r="SRH677" s="37"/>
      <c r="SRI677" s="37"/>
      <c r="SRJ677" s="37"/>
      <c r="SRK677" s="37"/>
      <c r="SRL677" s="37"/>
      <c r="SRM677" s="37"/>
      <c r="SRN677" s="37"/>
      <c r="SRO677" s="37"/>
      <c r="SRP677" s="37"/>
      <c r="SRQ677" s="37"/>
      <c r="SRR677" s="37"/>
      <c r="SRS677" s="37"/>
      <c r="SRT677" s="37"/>
      <c r="SRU677" s="37"/>
      <c r="SRV677" s="37"/>
      <c r="SRW677" s="37"/>
      <c r="SRX677" s="37"/>
      <c r="SRY677" s="37"/>
      <c r="SRZ677" s="37"/>
      <c r="SSA677" s="37"/>
      <c r="SSB677" s="37"/>
      <c r="SSC677" s="37"/>
      <c r="SSD677" s="37"/>
      <c r="SSE677" s="37"/>
      <c r="SSF677" s="37"/>
      <c r="SSG677" s="37"/>
      <c r="SSH677" s="37"/>
      <c r="SSI677" s="37"/>
      <c r="SSJ677" s="37"/>
      <c r="SSK677" s="37"/>
      <c r="SSL677" s="37"/>
      <c r="SSM677" s="37"/>
      <c r="SSN677" s="37"/>
      <c r="SSO677" s="37"/>
      <c r="SSP677" s="37"/>
      <c r="SSQ677" s="37"/>
      <c r="SSR677" s="37"/>
      <c r="SSS677" s="37"/>
      <c r="SST677" s="37"/>
      <c r="SSU677" s="37"/>
      <c r="SSV677" s="37"/>
      <c r="SSW677" s="37"/>
      <c r="SSX677" s="37"/>
      <c r="SSY677" s="37"/>
      <c r="SSZ677" s="37"/>
      <c r="STA677" s="37"/>
      <c r="STB677" s="37"/>
      <c r="STC677" s="37"/>
      <c r="STD677" s="37"/>
      <c r="STE677" s="37"/>
      <c r="STF677" s="37"/>
      <c r="STG677" s="37"/>
      <c r="STH677" s="37"/>
      <c r="STI677" s="37"/>
      <c r="STJ677" s="37"/>
      <c r="STK677" s="37"/>
      <c r="STL677" s="37"/>
      <c r="STM677" s="37"/>
      <c r="STN677" s="37"/>
      <c r="STO677" s="37"/>
      <c r="STP677" s="37"/>
      <c r="STQ677" s="37"/>
      <c r="STR677" s="37"/>
      <c r="STS677" s="37"/>
      <c r="STT677" s="37"/>
      <c r="STU677" s="37"/>
      <c r="STV677" s="37"/>
      <c r="STW677" s="37"/>
      <c r="STX677" s="37"/>
      <c r="STY677" s="37"/>
      <c r="STZ677" s="37"/>
      <c r="SUA677" s="37"/>
      <c r="SUB677" s="37"/>
      <c r="SUC677" s="37"/>
      <c r="SUD677" s="37"/>
      <c r="SUE677" s="37"/>
      <c r="SUF677" s="37"/>
      <c r="SUG677" s="37"/>
      <c r="SUH677" s="37"/>
      <c r="SUI677" s="37"/>
      <c r="SUJ677" s="37"/>
      <c r="SUK677" s="37"/>
      <c r="SUL677" s="37"/>
      <c r="SUM677" s="37"/>
      <c r="SUN677" s="37"/>
      <c r="SUO677" s="37"/>
      <c r="SUP677" s="37"/>
      <c r="SUQ677" s="37"/>
      <c r="SUR677" s="37"/>
      <c r="SUS677" s="37"/>
      <c r="SUT677" s="37"/>
      <c r="SUU677" s="37"/>
      <c r="SUV677" s="37"/>
      <c r="SUW677" s="37"/>
      <c r="SUX677" s="37"/>
      <c r="SUY677" s="37"/>
      <c r="SUZ677" s="37"/>
      <c r="SVA677" s="37"/>
      <c r="SVB677" s="37"/>
      <c r="SVC677" s="37"/>
      <c r="SVD677" s="37"/>
      <c r="SVE677" s="37"/>
      <c r="SVF677" s="37"/>
      <c r="SVG677" s="37"/>
      <c r="SVH677" s="37"/>
      <c r="SVI677" s="37"/>
      <c r="SVJ677" s="37"/>
      <c r="SVK677" s="37"/>
      <c r="SVL677" s="37"/>
      <c r="SVM677" s="37"/>
      <c r="SVN677" s="37"/>
      <c r="SVO677" s="37"/>
      <c r="SVP677" s="37"/>
      <c r="SVQ677" s="37"/>
      <c r="SVR677" s="37"/>
      <c r="SVS677" s="37"/>
      <c r="SVT677" s="37"/>
      <c r="SVU677" s="37"/>
      <c r="SVV677" s="37"/>
      <c r="SVW677" s="37"/>
      <c r="SVX677" s="37"/>
      <c r="SVY677" s="37"/>
      <c r="SVZ677" s="37"/>
      <c r="SWA677" s="37"/>
      <c r="SWB677" s="37"/>
      <c r="SWC677" s="37"/>
      <c r="SWD677" s="37"/>
      <c r="SWE677" s="37"/>
      <c r="SWF677" s="37"/>
      <c r="SWG677" s="37"/>
      <c r="SWH677" s="37"/>
      <c r="SWI677" s="37"/>
      <c r="SWJ677" s="37"/>
      <c r="SWK677" s="37"/>
      <c r="SWL677" s="37"/>
      <c r="SWM677" s="37"/>
      <c r="SWN677" s="37"/>
      <c r="SWO677" s="37"/>
      <c r="SWP677" s="37"/>
      <c r="SWQ677" s="37"/>
      <c r="SWR677" s="37"/>
      <c r="SWS677" s="37"/>
      <c r="SWT677" s="37"/>
      <c r="SWU677" s="37"/>
      <c r="SWV677" s="37"/>
      <c r="SWW677" s="37"/>
      <c r="SWX677" s="37"/>
      <c r="SWY677" s="37"/>
      <c r="SWZ677" s="37"/>
      <c r="SXA677" s="37"/>
      <c r="SXB677" s="37"/>
      <c r="SXC677" s="37"/>
      <c r="SXD677" s="37"/>
      <c r="SXE677" s="37"/>
      <c r="SXF677" s="37"/>
      <c r="SXG677" s="37"/>
      <c r="SXH677" s="37"/>
      <c r="SXI677" s="37"/>
      <c r="SXJ677" s="37"/>
      <c r="SXK677" s="37"/>
      <c r="SXL677" s="37"/>
      <c r="SXM677" s="37"/>
      <c r="SXN677" s="37"/>
      <c r="SXO677" s="37"/>
      <c r="SXP677" s="37"/>
      <c r="SXQ677" s="37"/>
      <c r="SXR677" s="37"/>
      <c r="SXS677" s="37"/>
      <c r="SXT677" s="37"/>
      <c r="SXU677" s="37"/>
      <c r="SXV677" s="37"/>
      <c r="SXW677" s="37"/>
      <c r="SXX677" s="37"/>
      <c r="SXY677" s="37"/>
      <c r="SXZ677" s="37"/>
      <c r="SYA677" s="37"/>
      <c r="SYB677" s="37"/>
      <c r="SYC677" s="37"/>
      <c r="SYD677" s="37"/>
      <c r="SYE677" s="37"/>
      <c r="SYF677" s="37"/>
      <c r="SYG677" s="37"/>
      <c r="SYH677" s="37"/>
      <c r="SYI677" s="37"/>
      <c r="SYJ677" s="37"/>
      <c r="SYK677" s="37"/>
      <c r="SYL677" s="37"/>
      <c r="SYM677" s="37"/>
      <c r="SYN677" s="37"/>
      <c r="SYO677" s="37"/>
      <c r="SYP677" s="37"/>
      <c r="SYQ677" s="37"/>
      <c r="SYR677" s="37"/>
      <c r="SYS677" s="37"/>
      <c r="SYT677" s="37"/>
      <c r="SYU677" s="37"/>
      <c r="SYV677" s="37"/>
      <c r="SYW677" s="37"/>
      <c r="SYX677" s="37"/>
      <c r="SYY677" s="37"/>
      <c r="SYZ677" s="37"/>
      <c r="SZA677" s="37"/>
      <c r="SZB677" s="37"/>
      <c r="SZC677" s="37"/>
      <c r="SZD677" s="37"/>
      <c r="SZE677" s="37"/>
      <c r="SZF677" s="37"/>
      <c r="SZG677" s="37"/>
      <c r="SZH677" s="37"/>
      <c r="SZI677" s="37"/>
      <c r="SZJ677" s="37"/>
      <c r="SZK677" s="37"/>
      <c r="SZL677" s="37"/>
      <c r="SZM677" s="37"/>
      <c r="SZN677" s="37"/>
      <c r="SZO677" s="37"/>
      <c r="SZP677" s="37"/>
      <c r="SZQ677" s="37"/>
      <c r="SZR677" s="37"/>
      <c r="SZS677" s="37"/>
      <c r="SZT677" s="37"/>
      <c r="SZU677" s="37"/>
      <c r="SZV677" s="37"/>
      <c r="SZW677" s="37"/>
      <c r="SZX677" s="37"/>
      <c r="SZY677" s="37"/>
      <c r="SZZ677" s="37"/>
      <c r="TAA677" s="37"/>
      <c r="TAB677" s="37"/>
      <c r="TAC677" s="37"/>
      <c r="TAD677" s="37"/>
      <c r="TAE677" s="37"/>
      <c r="TAF677" s="37"/>
      <c r="TAG677" s="37"/>
      <c r="TAH677" s="37"/>
      <c r="TAI677" s="37"/>
      <c r="TAJ677" s="37"/>
      <c r="TAK677" s="37"/>
      <c r="TAL677" s="37"/>
      <c r="TAM677" s="37"/>
      <c r="TAN677" s="37"/>
      <c r="TAO677" s="37"/>
      <c r="TAP677" s="37"/>
      <c r="TAQ677" s="37"/>
      <c r="TAR677" s="37"/>
      <c r="TAS677" s="37"/>
      <c r="TAT677" s="37"/>
      <c r="TAU677" s="37"/>
      <c r="TAV677" s="37"/>
      <c r="TAW677" s="37"/>
      <c r="TAX677" s="37"/>
      <c r="TAY677" s="37"/>
      <c r="TAZ677" s="37"/>
      <c r="TBA677" s="37"/>
      <c r="TBB677" s="37"/>
      <c r="TBC677" s="37"/>
      <c r="TBD677" s="37"/>
      <c r="TBE677" s="37"/>
      <c r="TBF677" s="37"/>
      <c r="TBG677" s="37"/>
      <c r="TBH677" s="37"/>
      <c r="TBI677" s="37"/>
      <c r="TBJ677" s="37"/>
      <c r="TBK677" s="37"/>
      <c r="TBL677" s="37"/>
      <c r="TBM677" s="37"/>
      <c r="TBN677" s="37"/>
      <c r="TBO677" s="37"/>
      <c r="TBP677" s="37"/>
      <c r="TBQ677" s="37"/>
      <c r="TBR677" s="37"/>
      <c r="TBS677" s="37"/>
      <c r="TBT677" s="37"/>
      <c r="TBU677" s="37"/>
      <c r="TBV677" s="37"/>
      <c r="TBW677" s="37"/>
      <c r="TBX677" s="37"/>
      <c r="TBY677" s="37"/>
      <c r="TBZ677" s="37"/>
      <c r="TCA677" s="37"/>
      <c r="TCB677" s="37"/>
      <c r="TCC677" s="37"/>
      <c r="TCD677" s="37"/>
      <c r="TCE677" s="37"/>
      <c r="TCF677" s="37"/>
      <c r="TCG677" s="37"/>
      <c r="TCH677" s="37"/>
      <c r="TCI677" s="37"/>
      <c r="TCJ677" s="37"/>
      <c r="TCK677" s="37"/>
      <c r="TCL677" s="37"/>
      <c r="TCM677" s="37"/>
      <c r="TCN677" s="37"/>
      <c r="TCO677" s="37"/>
      <c r="TCP677" s="37"/>
      <c r="TCQ677" s="37"/>
      <c r="TCR677" s="37"/>
      <c r="TCS677" s="37"/>
      <c r="TCT677" s="37"/>
      <c r="TCU677" s="37"/>
      <c r="TCV677" s="37"/>
      <c r="TCW677" s="37"/>
      <c r="TCX677" s="37"/>
      <c r="TCY677" s="37"/>
      <c r="TCZ677" s="37"/>
      <c r="TDA677" s="37"/>
      <c r="TDB677" s="37"/>
      <c r="TDC677" s="37"/>
      <c r="TDD677" s="37"/>
      <c r="TDE677" s="37"/>
      <c r="TDF677" s="37"/>
      <c r="TDG677" s="37"/>
      <c r="TDH677" s="37"/>
      <c r="TDI677" s="37"/>
      <c r="TDJ677" s="37"/>
      <c r="TDK677" s="37"/>
      <c r="TDL677" s="37"/>
      <c r="TDM677" s="37"/>
      <c r="TDN677" s="37"/>
      <c r="TDO677" s="37"/>
      <c r="TDP677" s="37"/>
      <c r="TDQ677" s="37"/>
      <c r="TDR677" s="37"/>
      <c r="TDS677" s="37"/>
      <c r="TDT677" s="37"/>
      <c r="TDU677" s="37"/>
      <c r="TDV677" s="37"/>
      <c r="TDW677" s="37"/>
      <c r="TDX677" s="37"/>
      <c r="TDY677" s="37"/>
      <c r="TDZ677" s="37"/>
      <c r="TEA677" s="37"/>
      <c r="TEB677" s="37"/>
      <c r="TEC677" s="37"/>
      <c r="TED677" s="37"/>
      <c r="TEE677" s="37"/>
      <c r="TEF677" s="37"/>
      <c r="TEG677" s="37"/>
      <c r="TEH677" s="37"/>
      <c r="TEI677" s="37"/>
      <c r="TEJ677" s="37"/>
      <c r="TEK677" s="37"/>
      <c r="TEL677" s="37"/>
      <c r="TEM677" s="37"/>
      <c r="TEN677" s="37"/>
      <c r="TEO677" s="37"/>
      <c r="TEP677" s="37"/>
      <c r="TEQ677" s="37"/>
      <c r="TER677" s="37"/>
      <c r="TES677" s="37"/>
      <c r="TET677" s="37"/>
      <c r="TEU677" s="37"/>
      <c r="TEV677" s="37"/>
      <c r="TEW677" s="37"/>
      <c r="TEX677" s="37"/>
      <c r="TEY677" s="37"/>
      <c r="TEZ677" s="37"/>
      <c r="TFA677" s="37"/>
      <c r="TFB677" s="37"/>
      <c r="TFC677" s="37"/>
      <c r="TFD677" s="37"/>
      <c r="TFE677" s="37"/>
      <c r="TFF677" s="37"/>
      <c r="TFG677" s="37"/>
      <c r="TFH677" s="37"/>
      <c r="TFI677" s="37"/>
      <c r="TFJ677" s="37"/>
      <c r="TFK677" s="37"/>
      <c r="TFL677" s="37"/>
      <c r="TFM677" s="37"/>
      <c r="TFN677" s="37"/>
      <c r="TFO677" s="37"/>
      <c r="TFP677" s="37"/>
      <c r="TFQ677" s="37"/>
      <c r="TFR677" s="37"/>
      <c r="TFS677" s="37"/>
      <c r="TFT677" s="37"/>
      <c r="TFU677" s="37"/>
      <c r="TFV677" s="37"/>
      <c r="TFW677" s="37"/>
      <c r="TFX677" s="37"/>
      <c r="TFY677" s="37"/>
      <c r="TFZ677" s="37"/>
      <c r="TGA677" s="37"/>
      <c r="TGB677" s="37"/>
      <c r="TGC677" s="37"/>
      <c r="TGD677" s="37"/>
      <c r="TGE677" s="37"/>
      <c r="TGF677" s="37"/>
      <c r="TGG677" s="37"/>
      <c r="TGH677" s="37"/>
      <c r="TGI677" s="37"/>
      <c r="TGJ677" s="37"/>
      <c r="TGK677" s="37"/>
      <c r="TGL677" s="37"/>
      <c r="TGM677" s="37"/>
      <c r="TGN677" s="37"/>
      <c r="TGO677" s="37"/>
      <c r="TGP677" s="37"/>
      <c r="TGQ677" s="37"/>
      <c r="TGR677" s="37"/>
      <c r="TGS677" s="37"/>
      <c r="TGT677" s="37"/>
      <c r="TGU677" s="37"/>
      <c r="TGV677" s="37"/>
      <c r="TGW677" s="37"/>
      <c r="TGX677" s="37"/>
      <c r="TGY677" s="37"/>
      <c r="TGZ677" s="37"/>
      <c r="THA677" s="37"/>
      <c r="THB677" s="37"/>
      <c r="THC677" s="37"/>
      <c r="THD677" s="37"/>
      <c r="THE677" s="37"/>
      <c r="THF677" s="37"/>
      <c r="THG677" s="37"/>
      <c r="THH677" s="37"/>
      <c r="THI677" s="37"/>
      <c r="THJ677" s="37"/>
      <c r="THK677" s="37"/>
      <c r="THL677" s="37"/>
      <c r="THM677" s="37"/>
      <c r="THN677" s="37"/>
      <c r="THO677" s="37"/>
      <c r="THP677" s="37"/>
      <c r="THQ677" s="37"/>
      <c r="THR677" s="37"/>
      <c r="THS677" s="37"/>
      <c r="THT677" s="37"/>
      <c r="THU677" s="37"/>
      <c r="THV677" s="37"/>
      <c r="THW677" s="37"/>
      <c r="THX677" s="37"/>
      <c r="THY677" s="37"/>
      <c r="THZ677" s="37"/>
      <c r="TIA677" s="37"/>
      <c r="TIB677" s="37"/>
      <c r="TIC677" s="37"/>
      <c r="TID677" s="37"/>
      <c r="TIE677" s="37"/>
      <c r="TIF677" s="37"/>
      <c r="TIG677" s="37"/>
      <c r="TIH677" s="37"/>
      <c r="TII677" s="37"/>
      <c r="TIJ677" s="37"/>
      <c r="TIK677" s="37"/>
      <c r="TIL677" s="37"/>
      <c r="TIM677" s="37"/>
      <c r="TIN677" s="37"/>
      <c r="TIO677" s="37"/>
      <c r="TIP677" s="37"/>
      <c r="TIQ677" s="37"/>
      <c r="TIR677" s="37"/>
      <c r="TIS677" s="37"/>
      <c r="TIT677" s="37"/>
      <c r="TIU677" s="37"/>
      <c r="TIV677" s="37"/>
      <c r="TIW677" s="37"/>
      <c r="TIX677" s="37"/>
      <c r="TIY677" s="37"/>
      <c r="TIZ677" s="37"/>
      <c r="TJA677" s="37"/>
      <c r="TJB677" s="37"/>
      <c r="TJC677" s="37"/>
      <c r="TJD677" s="37"/>
      <c r="TJE677" s="37"/>
      <c r="TJF677" s="37"/>
      <c r="TJG677" s="37"/>
      <c r="TJH677" s="37"/>
      <c r="TJI677" s="37"/>
      <c r="TJJ677" s="37"/>
      <c r="TJK677" s="37"/>
      <c r="TJL677" s="37"/>
      <c r="TJM677" s="37"/>
      <c r="TJN677" s="37"/>
      <c r="TJO677" s="37"/>
      <c r="TJP677" s="37"/>
      <c r="TJQ677" s="37"/>
      <c r="TJR677" s="37"/>
      <c r="TJS677" s="37"/>
      <c r="TJT677" s="37"/>
      <c r="TJU677" s="37"/>
      <c r="TJV677" s="37"/>
      <c r="TJW677" s="37"/>
      <c r="TJX677" s="37"/>
      <c r="TJY677" s="37"/>
      <c r="TJZ677" s="37"/>
      <c r="TKA677" s="37"/>
      <c r="TKB677" s="37"/>
      <c r="TKC677" s="37"/>
      <c r="TKD677" s="37"/>
      <c r="TKE677" s="37"/>
      <c r="TKF677" s="37"/>
      <c r="TKG677" s="37"/>
      <c r="TKH677" s="37"/>
      <c r="TKI677" s="37"/>
      <c r="TKJ677" s="37"/>
      <c r="TKK677" s="37"/>
      <c r="TKL677" s="37"/>
      <c r="TKM677" s="37"/>
      <c r="TKN677" s="37"/>
      <c r="TKO677" s="37"/>
      <c r="TKP677" s="37"/>
      <c r="TKQ677" s="37"/>
      <c r="TKR677" s="37"/>
      <c r="TKS677" s="37"/>
      <c r="TKT677" s="37"/>
      <c r="TKU677" s="37"/>
      <c r="TKV677" s="37"/>
      <c r="TKW677" s="37"/>
      <c r="TKX677" s="37"/>
      <c r="TKY677" s="37"/>
      <c r="TKZ677" s="37"/>
      <c r="TLA677" s="37"/>
      <c r="TLB677" s="37"/>
      <c r="TLC677" s="37"/>
      <c r="TLD677" s="37"/>
      <c r="TLE677" s="37"/>
      <c r="TLF677" s="37"/>
      <c r="TLG677" s="37"/>
      <c r="TLH677" s="37"/>
      <c r="TLI677" s="37"/>
      <c r="TLJ677" s="37"/>
      <c r="TLK677" s="37"/>
      <c r="TLL677" s="37"/>
      <c r="TLM677" s="37"/>
      <c r="TLN677" s="37"/>
      <c r="TLO677" s="37"/>
      <c r="TLP677" s="37"/>
      <c r="TLQ677" s="37"/>
      <c r="TLR677" s="37"/>
      <c r="TLS677" s="37"/>
      <c r="TLT677" s="37"/>
      <c r="TLU677" s="37"/>
      <c r="TLV677" s="37"/>
      <c r="TLW677" s="37"/>
      <c r="TLX677" s="37"/>
      <c r="TLY677" s="37"/>
      <c r="TLZ677" s="37"/>
      <c r="TMA677" s="37"/>
      <c r="TMB677" s="37"/>
      <c r="TMC677" s="37"/>
      <c r="TMD677" s="37"/>
      <c r="TME677" s="37"/>
      <c r="TMF677" s="37"/>
      <c r="TMG677" s="37"/>
      <c r="TMH677" s="37"/>
      <c r="TMI677" s="37"/>
      <c r="TMJ677" s="37"/>
      <c r="TMK677" s="37"/>
      <c r="TML677" s="37"/>
      <c r="TMM677" s="37"/>
      <c r="TMN677" s="37"/>
      <c r="TMO677" s="37"/>
      <c r="TMP677" s="37"/>
      <c r="TMQ677" s="37"/>
      <c r="TMR677" s="37"/>
      <c r="TMS677" s="37"/>
      <c r="TMT677" s="37"/>
      <c r="TMU677" s="37"/>
      <c r="TMV677" s="37"/>
      <c r="TMW677" s="37"/>
      <c r="TMX677" s="37"/>
      <c r="TMY677" s="37"/>
      <c r="TMZ677" s="37"/>
      <c r="TNA677" s="37"/>
      <c r="TNB677" s="37"/>
      <c r="TNC677" s="37"/>
      <c r="TND677" s="37"/>
      <c r="TNE677" s="37"/>
      <c r="TNF677" s="37"/>
      <c r="TNG677" s="37"/>
      <c r="TNH677" s="37"/>
      <c r="TNI677" s="37"/>
      <c r="TNJ677" s="37"/>
      <c r="TNK677" s="37"/>
      <c r="TNL677" s="37"/>
      <c r="TNM677" s="37"/>
      <c r="TNN677" s="37"/>
      <c r="TNO677" s="37"/>
      <c r="TNP677" s="37"/>
      <c r="TNQ677" s="37"/>
      <c r="TNR677" s="37"/>
      <c r="TNS677" s="37"/>
      <c r="TNT677" s="37"/>
      <c r="TNU677" s="37"/>
      <c r="TNV677" s="37"/>
      <c r="TNW677" s="37"/>
      <c r="TNX677" s="37"/>
      <c r="TNY677" s="37"/>
      <c r="TNZ677" s="37"/>
      <c r="TOA677" s="37"/>
      <c r="TOB677" s="37"/>
      <c r="TOC677" s="37"/>
      <c r="TOD677" s="37"/>
      <c r="TOE677" s="37"/>
      <c r="TOF677" s="37"/>
      <c r="TOG677" s="37"/>
      <c r="TOH677" s="37"/>
      <c r="TOI677" s="37"/>
      <c r="TOJ677" s="37"/>
      <c r="TOK677" s="37"/>
      <c r="TOL677" s="37"/>
      <c r="TOM677" s="37"/>
      <c r="TON677" s="37"/>
      <c r="TOO677" s="37"/>
      <c r="TOP677" s="37"/>
      <c r="TOQ677" s="37"/>
      <c r="TOR677" s="37"/>
      <c r="TOS677" s="37"/>
      <c r="TOT677" s="37"/>
      <c r="TOU677" s="37"/>
      <c r="TOV677" s="37"/>
      <c r="TOW677" s="37"/>
      <c r="TOX677" s="37"/>
      <c r="TOY677" s="37"/>
      <c r="TOZ677" s="37"/>
      <c r="TPA677" s="37"/>
      <c r="TPB677" s="37"/>
      <c r="TPC677" s="37"/>
      <c r="TPD677" s="37"/>
      <c r="TPE677" s="37"/>
      <c r="TPF677" s="37"/>
      <c r="TPG677" s="37"/>
      <c r="TPH677" s="37"/>
      <c r="TPI677" s="37"/>
      <c r="TPJ677" s="37"/>
      <c r="TPK677" s="37"/>
      <c r="TPL677" s="37"/>
      <c r="TPM677" s="37"/>
      <c r="TPN677" s="37"/>
      <c r="TPO677" s="37"/>
      <c r="TPP677" s="37"/>
      <c r="TPQ677" s="37"/>
      <c r="TPR677" s="37"/>
      <c r="TPS677" s="37"/>
      <c r="TPT677" s="37"/>
      <c r="TPU677" s="37"/>
      <c r="TPV677" s="37"/>
      <c r="TPW677" s="37"/>
      <c r="TPX677" s="37"/>
      <c r="TPY677" s="37"/>
      <c r="TPZ677" s="37"/>
      <c r="TQA677" s="37"/>
      <c r="TQB677" s="37"/>
      <c r="TQC677" s="37"/>
      <c r="TQD677" s="37"/>
      <c r="TQE677" s="37"/>
      <c r="TQF677" s="37"/>
      <c r="TQG677" s="37"/>
      <c r="TQH677" s="37"/>
      <c r="TQI677" s="37"/>
      <c r="TQJ677" s="37"/>
      <c r="TQK677" s="37"/>
      <c r="TQL677" s="37"/>
      <c r="TQM677" s="37"/>
      <c r="TQN677" s="37"/>
      <c r="TQO677" s="37"/>
      <c r="TQP677" s="37"/>
      <c r="TQQ677" s="37"/>
      <c r="TQR677" s="37"/>
      <c r="TQS677" s="37"/>
      <c r="TQT677" s="37"/>
      <c r="TQU677" s="37"/>
      <c r="TQV677" s="37"/>
      <c r="TQW677" s="37"/>
      <c r="TQX677" s="37"/>
      <c r="TQY677" s="37"/>
      <c r="TQZ677" s="37"/>
      <c r="TRA677" s="37"/>
      <c r="TRB677" s="37"/>
      <c r="TRC677" s="37"/>
      <c r="TRD677" s="37"/>
      <c r="TRE677" s="37"/>
      <c r="TRF677" s="37"/>
      <c r="TRG677" s="37"/>
      <c r="TRH677" s="37"/>
      <c r="TRI677" s="37"/>
      <c r="TRJ677" s="37"/>
      <c r="TRK677" s="37"/>
      <c r="TRL677" s="37"/>
      <c r="TRM677" s="37"/>
      <c r="TRN677" s="37"/>
      <c r="TRO677" s="37"/>
      <c r="TRP677" s="37"/>
      <c r="TRQ677" s="37"/>
      <c r="TRR677" s="37"/>
      <c r="TRS677" s="37"/>
      <c r="TRT677" s="37"/>
      <c r="TRU677" s="37"/>
      <c r="TRV677" s="37"/>
      <c r="TRW677" s="37"/>
      <c r="TRX677" s="37"/>
      <c r="TRY677" s="37"/>
      <c r="TRZ677" s="37"/>
      <c r="TSA677" s="37"/>
      <c r="TSB677" s="37"/>
      <c r="TSC677" s="37"/>
      <c r="TSD677" s="37"/>
      <c r="TSE677" s="37"/>
      <c r="TSF677" s="37"/>
      <c r="TSG677" s="37"/>
      <c r="TSH677" s="37"/>
      <c r="TSI677" s="37"/>
      <c r="TSJ677" s="37"/>
      <c r="TSK677" s="37"/>
      <c r="TSL677" s="37"/>
      <c r="TSM677" s="37"/>
      <c r="TSN677" s="37"/>
      <c r="TSO677" s="37"/>
      <c r="TSP677" s="37"/>
      <c r="TSQ677" s="37"/>
      <c r="TSR677" s="37"/>
      <c r="TSS677" s="37"/>
      <c r="TST677" s="37"/>
      <c r="TSU677" s="37"/>
      <c r="TSV677" s="37"/>
      <c r="TSW677" s="37"/>
      <c r="TSX677" s="37"/>
      <c r="TSY677" s="37"/>
      <c r="TSZ677" s="37"/>
      <c r="TTA677" s="37"/>
      <c r="TTB677" s="37"/>
      <c r="TTC677" s="37"/>
      <c r="TTD677" s="37"/>
      <c r="TTE677" s="37"/>
      <c r="TTF677" s="37"/>
      <c r="TTG677" s="37"/>
      <c r="TTH677" s="37"/>
      <c r="TTI677" s="37"/>
      <c r="TTJ677" s="37"/>
      <c r="TTK677" s="37"/>
      <c r="TTL677" s="37"/>
      <c r="TTM677" s="37"/>
      <c r="TTN677" s="37"/>
      <c r="TTO677" s="37"/>
      <c r="TTP677" s="37"/>
      <c r="TTQ677" s="37"/>
      <c r="TTR677" s="37"/>
      <c r="TTS677" s="37"/>
      <c r="TTT677" s="37"/>
      <c r="TTU677" s="37"/>
      <c r="TTV677" s="37"/>
      <c r="TTW677" s="37"/>
      <c r="TTX677" s="37"/>
      <c r="TTY677" s="37"/>
      <c r="TTZ677" s="37"/>
      <c r="TUA677" s="37"/>
      <c r="TUB677" s="37"/>
      <c r="TUC677" s="37"/>
      <c r="TUD677" s="37"/>
      <c r="TUE677" s="37"/>
      <c r="TUF677" s="37"/>
      <c r="TUG677" s="37"/>
      <c r="TUH677" s="37"/>
      <c r="TUI677" s="37"/>
      <c r="TUJ677" s="37"/>
      <c r="TUK677" s="37"/>
      <c r="TUL677" s="37"/>
      <c r="TUM677" s="37"/>
      <c r="TUN677" s="37"/>
      <c r="TUO677" s="37"/>
      <c r="TUP677" s="37"/>
      <c r="TUQ677" s="37"/>
      <c r="TUR677" s="37"/>
      <c r="TUS677" s="37"/>
      <c r="TUT677" s="37"/>
      <c r="TUU677" s="37"/>
      <c r="TUV677" s="37"/>
      <c r="TUW677" s="37"/>
      <c r="TUX677" s="37"/>
      <c r="TUY677" s="37"/>
      <c r="TUZ677" s="37"/>
      <c r="TVA677" s="37"/>
      <c r="TVB677" s="37"/>
      <c r="TVC677" s="37"/>
      <c r="TVD677" s="37"/>
      <c r="TVE677" s="37"/>
      <c r="TVF677" s="37"/>
      <c r="TVG677" s="37"/>
      <c r="TVH677" s="37"/>
      <c r="TVI677" s="37"/>
      <c r="TVJ677" s="37"/>
      <c r="TVK677" s="37"/>
      <c r="TVL677" s="37"/>
      <c r="TVM677" s="37"/>
      <c r="TVN677" s="37"/>
      <c r="TVO677" s="37"/>
      <c r="TVP677" s="37"/>
      <c r="TVQ677" s="37"/>
      <c r="TVR677" s="37"/>
      <c r="TVS677" s="37"/>
      <c r="TVT677" s="37"/>
      <c r="TVU677" s="37"/>
      <c r="TVV677" s="37"/>
      <c r="TVW677" s="37"/>
      <c r="TVX677" s="37"/>
      <c r="TVY677" s="37"/>
      <c r="TVZ677" s="37"/>
      <c r="TWA677" s="37"/>
      <c r="TWB677" s="37"/>
      <c r="TWC677" s="37"/>
      <c r="TWD677" s="37"/>
      <c r="TWE677" s="37"/>
      <c r="TWF677" s="37"/>
      <c r="TWG677" s="37"/>
      <c r="TWH677" s="37"/>
      <c r="TWI677" s="37"/>
      <c r="TWJ677" s="37"/>
      <c r="TWK677" s="37"/>
      <c r="TWL677" s="37"/>
      <c r="TWM677" s="37"/>
      <c r="TWN677" s="37"/>
      <c r="TWO677" s="37"/>
      <c r="TWP677" s="37"/>
      <c r="TWQ677" s="37"/>
      <c r="TWR677" s="37"/>
      <c r="TWS677" s="37"/>
      <c r="TWT677" s="37"/>
      <c r="TWU677" s="37"/>
      <c r="TWV677" s="37"/>
      <c r="TWW677" s="37"/>
      <c r="TWX677" s="37"/>
      <c r="TWY677" s="37"/>
      <c r="TWZ677" s="37"/>
      <c r="TXA677" s="37"/>
      <c r="TXB677" s="37"/>
      <c r="TXC677" s="37"/>
      <c r="TXD677" s="37"/>
      <c r="TXE677" s="37"/>
      <c r="TXF677" s="37"/>
      <c r="TXG677" s="37"/>
      <c r="TXH677" s="37"/>
      <c r="TXI677" s="37"/>
      <c r="TXJ677" s="37"/>
      <c r="TXK677" s="37"/>
      <c r="TXL677" s="37"/>
      <c r="TXM677" s="37"/>
      <c r="TXN677" s="37"/>
      <c r="TXO677" s="37"/>
      <c r="TXP677" s="37"/>
      <c r="TXQ677" s="37"/>
      <c r="TXR677" s="37"/>
      <c r="TXS677" s="37"/>
      <c r="TXT677" s="37"/>
      <c r="TXU677" s="37"/>
      <c r="TXV677" s="37"/>
      <c r="TXW677" s="37"/>
      <c r="TXX677" s="37"/>
      <c r="TXY677" s="37"/>
      <c r="TXZ677" s="37"/>
      <c r="TYA677" s="37"/>
      <c r="TYB677" s="37"/>
      <c r="TYC677" s="37"/>
      <c r="TYD677" s="37"/>
      <c r="TYE677" s="37"/>
      <c r="TYF677" s="37"/>
      <c r="TYG677" s="37"/>
      <c r="TYH677" s="37"/>
      <c r="TYI677" s="37"/>
      <c r="TYJ677" s="37"/>
      <c r="TYK677" s="37"/>
      <c r="TYL677" s="37"/>
      <c r="TYM677" s="37"/>
      <c r="TYN677" s="37"/>
      <c r="TYO677" s="37"/>
      <c r="TYP677" s="37"/>
      <c r="TYQ677" s="37"/>
      <c r="TYR677" s="37"/>
      <c r="TYS677" s="37"/>
      <c r="TYT677" s="37"/>
      <c r="TYU677" s="37"/>
      <c r="TYV677" s="37"/>
      <c r="TYW677" s="37"/>
      <c r="TYX677" s="37"/>
      <c r="TYY677" s="37"/>
      <c r="TYZ677" s="37"/>
      <c r="TZA677" s="37"/>
      <c r="TZB677" s="37"/>
      <c r="TZC677" s="37"/>
      <c r="TZD677" s="37"/>
      <c r="TZE677" s="37"/>
      <c r="TZF677" s="37"/>
      <c r="TZG677" s="37"/>
      <c r="TZH677" s="37"/>
      <c r="TZI677" s="37"/>
      <c r="TZJ677" s="37"/>
      <c r="TZK677" s="37"/>
      <c r="TZL677" s="37"/>
      <c r="TZM677" s="37"/>
      <c r="TZN677" s="37"/>
      <c r="TZO677" s="37"/>
      <c r="TZP677" s="37"/>
      <c r="TZQ677" s="37"/>
      <c r="TZR677" s="37"/>
      <c r="TZS677" s="37"/>
      <c r="TZT677" s="37"/>
      <c r="TZU677" s="37"/>
      <c r="TZV677" s="37"/>
      <c r="TZW677" s="37"/>
      <c r="TZX677" s="37"/>
      <c r="TZY677" s="37"/>
      <c r="TZZ677" s="37"/>
      <c r="UAA677" s="37"/>
      <c r="UAB677" s="37"/>
      <c r="UAC677" s="37"/>
      <c r="UAD677" s="37"/>
      <c r="UAE677" s="37"/>
      <c r="UAF677" s="37"/>
      <c r="UAG677" s="37"/>
      <c r="UAH677" s="37"/>
      <c r="UAI677" s="37"/>
      <c r="UAJ677" s="37"/>
      <c r="UAK677" s="37"/>
      <c r="UAL677" s="37"/>
      <c r="UAM677" s="37"/>
      <c r="UAN677" s="37"/>
      <c r="UAO677" s="37"/>
      <c r="UAP677" s="37"/>
      <c r="UAQ677" s="37"/>
      <c r="UAR677" s="37"/>
      <c r="UAS677" s="37"/>
      <c r="UAT677" s="37"/>
      <c r="UAU677" s="37"/>
      <c r="UAV677" s="37"/>
      <c r="UAW677" s="37"/>
      <c r="UAX677" s="37"/>
      <c r="UAY677" s="37"/>
      <c r="UAZ677" s="37"/>
      <c r="UBA677" s="37"/>
      <c r="UBB677" s="37"/>
      <c r="UBC677" s="37"/>
      <c r="UBD677" s="37"/>
      <c r="UBE677" s="37"/>
      <c r="UBF677" s="37"/>
      <c r="UBG677" s="37"/>
      <c r="UBH677" s="37"/>
      <c r="UBI677" s="37"/>
      <c r="UBJ677" s="37"/>
      <c r="UBK677" s="37"/>
      <c r="UBL677" s="37"/>
      <c r="UBM677" s="37"/>
      <c r="UBN677" s="37"/>
      <c r="UBO677" s="37"/>
      <c r="UBP677" s="37"/>
      <c r="UBQ677" s="37"/>
      <c r="UBR677" s="37"/>
      <c r="UBS677" s="37"/>
      <c r="UBT677" s="37"/>
      <c r="UBU677" s="37"/>
      <c r="UBV677" s="37"/>
      <c r="UBW677" s="37"/>
      <c r="UBX677" s="37"/>
      <c r="UBY677" s="37"/>
      <c r="UBZ677" s="37"/>
      <c r="UCA677" s="37"/>
      <c r="UCB677" s="37"/>
      <c r="UCC677" s="37"/>
      <c r="UCD677" s="37"/>
      <c r="UCE677" s="37"/>
      <c r="UCF677" s="37"/>
      <c r="UCG677" s="37"/>
      <c r="UCH677" s="37"/>
      <c r="UCI677" s="37"/>
      <c r="UCJ677" s="37"/>
      <c r="UCK677" s="37"/>
      <c r="UCL677" s="37"/>
      <c r="UCM677" s="37"/>
      <c r="UCN677" s="37"/>
      <c r="UCO677" s="37"/>
      <c r="UCP677" s="37"/>
      <c r="UCQ677" s="37"/>
      <c r="UCR677" s="37"/>
      <c r="UCS677" s="37"/>
      <c r="UCT677" s="37"/>
      <c r="UCU677" s="37"/>
      <c r="UCV677" s="37"/>
      <c r="UCW677" s="37"/>
      <c r="UCX677" s="37"/>
      <c r="UCY677" s="37"/>
      <c r="UCZ677" s="37"/>
      <c r="UDA677" s="37"/>
      <c r="UDB677" s="37"/>
      <c r="UDC677" s="37"/>
      <c r="UDD677" s="37"/>
      <c r="UDE677" s="37"/>
      <c r="UDF677" s="37"/>
      <c r="UDG677" s="37"/>
      <c r="UDH677" s="37"/>
      <c r="UDI677" s="37"/>
      <c r="UDJ677" s="37"/>
      <c r="UDK677" s="37"/>
      <c r="UDL677" s="37"/>
      <c r="UDM677" s="37"/>
      <c r="UDN677" s="37"/>
      <c r="UDO677" s="37"/>
      <c r="UDP677" s="37"/>
      <c r="UDQ677" s="37"/>
      <c r="UDR677" s="37"/>
      <c r="UDS677" s="37"/>
      <c r="UDT677" s="37"/>
      <c r="UDU677" s="37"/>
      <c r="UDV677" s="37"/>
      <c r="UDW677" s="37"/>
      <c r="UDX677" s="37"/>
      <c r="UDY677" s="37"/>
      <c r="UDZ677" s="37"/>
      <c r="UEA677" s="37"/>
      <c r="UEB677" s="37"/>
      <c r="UEC677" s="37"/>
      <c r="UED677" s="37"/>
      <c r="UEE677" s="37"/>
      <c r="UEF677" s="37"/>
      <c r="UEG677" s="37"/>
      <c r="UEH677" s="37"/>
      <c r="UEI677" s="37"/>
      <c r="UEJ677" s="37"/>
      <c r="UEK677" s="37"/>
      <c r="UEL677" s="37"/>
      <c r="UEM677" s="37"/>
      <c r="UEN677" s="37"/>
      <c r="UEO677" s="37"/>
      <c r="UEP677" s="37"/>
      <c r="UEQ677" s="37"/>
      <c r="UER677" s="37"/>
      <c r="UES677" s="37"/>
      <c r="UET677" s="37"/>
      <c r="UEU677" s="37"/>
      <c r="UEV677" s="37"/>
      <c r="UEW677" s="37"/>
      <c r="UEX677" s="37"/>
      <c r="UEY677" s="37"/>
      <c r="UEZ677" s="37"/>
      <c r="UFA677" s="37"/>
      <c r="UFB677" s="37"/>
      <c r="UFC677" s="37"/>
      <c r="UFD677" s="37"/>
      <c r="UFE677" s="37"/>
      <c r="UFF677" s="37"/>
      <c r="UFG677" s="37"/>
      <c r="UFH677" s="37"/>
      <c r="UFI677" s="37"/>
      <c r="UFJ677" s="37"/>
      <c r="UFK677" s="37"/>
      <c r="UFL677" s="37"/>
      <c r="UFM677" s="37"/>
      <c r="UFN677" s="37"/>
      <c r="UFO677" s="37"/>
      <c r="UFP677" s="37"/>
      <c r="UFQ677" s="37"/>
      <c r="UFR677" s="37"/>
      <c r="UFS677" s="37"/>
      <c r="UFT677" s="37"/>
      <c r="UFU677" s="37"/>
      <c r="UFV677" s="37"/>
      <c r="UFW677" s="37"/>
      <c r="UFX677" s="37"/>
      <c r="UFY677" s="37"/>
      <c r="UFZ677" s="37"/>
      <c r="UGA677" s="37"/>
      <c r="UGB677" s="37"/>
      <c r="UGC677" s="37"/>
      <c r="UGD677" s="37"/>
      <c r="UGE677" s="37"/>
      <c r="UGF677" s="37"/>
      <c r="UGG677" s="37"/>
      <c r="UGH677" s="37"/>
      <c r="UGI677" s="37"/>
      <c r="UGJ677" s="37"/>
      <c r="UGK677" s="37"/>
      <c r="UGL677" s="37"/>
      <c r="UGM677" s="37"/>
      <c r="UGN677" s="37"/>
      <c r="UGO677" s="37"/>
      <c r="UGP677" s="37"/>
      <c r="UGQ677" s="37"/>
      <c r="UGR677" s="37"/>
      <c r="UGS677" s="37"/>
      <c r="UGT677" s="37"/>
      <c r="UGU677" s="37"/>
      <c r="UGV677" s="37"/>
      <c r="UGW677" s="37"/>
      <c r="UGX677" s="37"/>
      <c r="UGY677" s="37"/>
      <c r="UGZ677" s="37"/>
      <c r="UHA677" s="37"/>
      <c r="UHB677" s="37"/>
      <c r="UHC677" s="37"/>
      <c r="UHD677" s="37"/>
      <c r="UHE677" s="37"/>
      <c r="UHF677" s="37"/>
      <c r="UHG677" s="37"/>
      <c r="UHH677" s="37"/>
      <c r="UHI677" s="37"/>
      <c r="UHJ677" s="37"/>
      <c r="UHK677" s="37"/>
      <c r="UHL677" s="37"/>
      <c r="UHM677" s="37"/>
      <c r="UHN677" s="37"/>
      <c r="UHO677" s="37"/>
      <c r="UHP677" s="37"/>
      <c r="UHQ677" s="37"/>
      <c r="UHR677" s="37"/>
      <c r="UHS677" s="37"/>
      <c r="UHT677" s="37"/>
      <c r="UHU677" s="37"/>
      <c r="UHV677" s="37"/>
      <c r="UHW677" s="37"/>
      <c r="UHX677" s="37"/>
      <c r="UHY677" s="37"/>
      <c r="UHZ677" s="37"/>
      <c r="UIA677" s="37"/>
      <c r="UIB677" s="37"/>
      <c r="UIC677" s="37"/>
      <c r="UID677" s="37"/>
      <c r="UIE677" s="37"/>
      <c r="UIF677" s="37"/>
      <c r="UIG677" s="37"/>
      <c r="UIH677" s="37"/>
      <c r="UII677" s="37"/>
      <c r="UIJ677" s="37"/>
      <c r="UIK677" s="37"/>
      <c r="UIL677" s="37"/>
      <c r="UIM677" s="37"/>
      <c r="UIN677" s="37"/>
      <c r="UIO677" s="37"/>
      <c r="UIP677" s="37"/>
      <c r="UIQ677" s="37"/>
      <c r="UIR677" s="37"/>
      <c r="UIS677" s="37"/>
      <c r="UIT677" s="37"/>
      <c r="UIU677" s="37"/>
      <c r="UIV677" s="37"/>
      <c r="UIW677" s="37"/>
      <c r="UIX677" s="37"/>
      <c r="UIY677" s="37"/>
      <c r="UIZ677" s="37"/>
      <c r="UJA677" s="37"/>
      <c r="UJB677" s="37"/>
      <c r="UJC677" s="37"/>
      <c r="UJD677" s="37"/>
      <c r="UJE677" s="37"/>
      <c r="UJF677" s="37"/>
      <c r="UJG677" s="37"/>
      <c r="UJH677" s="37"/>
      <c r="UJI677" s="37"/>
      <c r="UJJ677" s="37"/>
      <c r="UJK677" s="37"/>
      <c r="UJL677" s="37"/>
      <c r="UJM677" s="37"/>
      <c r="UJN677" s="37"/>
      <c r="UJO677" s="37"/>
      <c r="UJP677" s="37"/>
      <c r="UJQ677" s="37"/>
      <c r="UJR677" s="37"/>
      <c r="UJS677" s="37"/>
      <c r="UJT677" s="37"/>
      <c r="UJU677" s="37"/>
      <c r="UJV677" s="37"/>
      <c r="UJW677" s="37"/>
      <c r="UJX677" s="37"/>
      <c r="UJY677" s="37"/>
      <c r="UJZ677" s="37"/>
      <c r="UKA677" s="37"/>
      <c r="UKB677" s="37"/>
      <c r="UKC677" s="37"/>
      <c r="UKD677" s="37"/>
      <c r="UKE677" s="37"/>
      <c r="UKF677" s="37"/>
      <c r="UKG677" s="37"/>
      <c r="UKH677" s="37"/>
      <c r="UKI677" s="37"/>
      <c r="UKJ677" s="37"/>
      <c r="UKK677" s="37"/>
      <c r="UKL677" s="37"/>
      <c r="UKM677" s="37"/>
      <c r="UKN677" s="37"/>
      <c r="UKO677" s="37"/>
      <c r="UKP677" s="37"/>
      <c r="UKQ677" s="37"/>
      <c r="UKR677" s="37"/>
      <c r="UKS677" s="37"/>
      <c r="UKT677" s="37"/>
      <c r="UKU677" s="37"/>
      <c r="UKV677" s="37"/>
      <c r="UKW677" s="37"/>
      <c r="UKX677" s="37"/>
      <c r="UKY677" s="37"/>
      <c r="UKZ677" s="37"/>
      <c r="ULA677" s="37"/>
      <c r="ULB677" s="37"/>
      <c r="ULC677" s="37"/>
      <c r="ULD677" s="37"/>
      <c r="ULE677" s="37"/>
      <c r="ULF677" s="37"/>
      <c r="ULG677" s="37"/>
      <c r="ULH677" s="37"/>
      <c r="ULI677" s="37"/>
      <c r="ULJ677" s="37"/>
      <c r="ULK677" s="37"/>
      <c r="ULL677" s="37"/>
      <c r="ULM677" s="37"/>
      <c r="ULN677" s="37"/>
      <c r="ULO677" s="37"/>
      <c r="ULP677" s="37"/>
      <c r="ULQ677" s="37"/>
      <c r="ULR677" s="37"/>
      <c r="ULS677" s="37"/>
      <c r="ULT677" s="37"/>
      <c r="ULU677" s="37"/>
      <c r="ULV677" s="37"/>
      <c r="ULW677" s="37"/>
      <c r="ULX677" s="37"/>
      <c r="ULY677" s="37"/>
      <c r="ULZ677" s="37"/>
      <c r="UMA677" s="37"/>
      <c r="UMB677" s="37"/>
      <c r="UMC677" s="37"/>
      <c r="UMD677" s="37"/>
      <c r="UME677" s="37"/>
      <c r="UMF677" s="37"/>
      <c r="UMG677" s="37"/>
      <c r="UMH677" s="37"/>
      <c r="UMI677" s="37"/>
      <c r="UMJ677" s="37"/>
      <c r="UMK677" s="37"/>
      <c r="UML677" s="37"/>
      <c r="UMM677" s="37"/>
      <c r="UMN677" s="37"/>
      <c r="UMO677" s="37"/>
      <c r="UMP677" s="37"/>
      <c r="UMQ677" s="37"/>
      <c r="UMR677" s="37"/>
      <c r="UMS677" s="37"/>
      <c r="UMT677" s="37"/>
      <c r="UMU677" s="37"/>
      <c r="UMV677" s="37"/>
      <c r="UMW677" s="37"/>
      <c r="UMX677" s="37"/>
      <c r="UMY677" s="37"/>
      <c r="UMZ677" s="37"/>
      <c r="UNA677" s="37"/>
      <c r="UNB677" s="37"/>
      <c r="UNC677" s="37"/>
      <c r="UND677" s="37"/>
      <c r="UNE677" s="37"/>
      <c r="UNF677" s="37"/>
      <c r="UNG677" s="37"/>
      <c r="UNH677" s="37"/>
      <c r="UNI677" s="37"/>
      <c r="UNJ677" s="37"/>
      <c r="UNK677" s="37"/>
      <c r="UNL677" s="37"/>
      <c r="UNM677" s="37"/>
      <c r="UNN677" s="37"/>
      <c r="UNO677" s="37"/>
      <c r="UNP677" s="37"/>
      <c r="UNQ677" s="37"/>
      <c r="UNR677" s="37"/>
      <c r="UNS677" s="37"/>
      <c r="UNT677" s="37"/>
      <c r="UNU677" s="37"/>
      <c r="UNV677" s="37"/>
      <c r="UNW677" s="37"/>
      <c r="UNX677" s="37"/>
      <c r="UNY677" s="37"/>
      <c r="UNZ677" s="37"/>
      <c r="UOA677" s="37"/>
      <c r="UOB677" s="37"/>
      <c r="UOC677" s="37"/>
      <c r="UOD677" s="37"/>
      <c r="UOE677" s="37"/>
      <c r="UOF677" s="37"/>
      <c r="UOG677" s="37"/>
      <c r="UOH677" s="37"/>
      <c r="UOI677" s="37"/>
      <c r="UOJ677" s="37"/>
      <c r="UOK677" s="37"/>
      <c r="UOL677" s="37"/>
      <c r="UOM677" s="37"/>
      <c r="UON677" s="37"/>
      <c r="UOO677" s="37"/>
      <c r="UOP677" s="37"/>
      <c r="UOQ677" s="37"/>
      <c r="UOR677" s="37"/>
      <c r="UOS677" s="37"/>
      <c r="UOT677" s="37"/>
      <c r="UOU677" s="37"/>
      <c r="UOV677" s="37"/>
      <c r="UOW677" s="37"/>
      <c r="UOX677" s="37"/>
      <c r="UOY677" s="37"/>
      <c r="UOZ677" s="37"/>
      <c r="UPA677" s="37"/>
      <c r="UPB677" s="37"/>
      <c r="UPC677" s="37"/>
      <c r="UPD677" s="37"/>
      <c r="UPE677" s="37"/>
      <c r="UPF677" s="37"/>
      <c r="UPG677" s="37"/>
      <c r="UPH677" s="37"/>
      <c r="UPI677" s="37"/>
      <c r="UPJ677" s="37"/>
      <c r="UPK677" s="37"/>
      <c r="UPL677" s="37"/>
      <c r="UPM677" s="37"/>
      <c r="UPN677" s="37"/>
      <c r="UPO677" s="37"/>
      <c r="UPP677" s="37"/>
      <c r="UPQ677" s="37"/>
      <c r="UPR677" s="37"/>
      <c r="UPS677" s="37"/>
      <c r="UPT677" s="37"/>
      <c r="UPU677" s="37"/>
      <c r="UPV677" s="37"/>
      <c r="UPW677" s="37"/>
      <c r="UPX677" s="37"/>
      <c r="UPY677" s="37"/>
      <c r="UPZ677" s="37"/>
      <c r="UQA677" s="37"/>
      <c r="UQB677" s="37"/>
      <c r="UQC677" s="37"/>
      <c r="UQD677" s="37"/>
      <c r="UQE677" s="37"/>
      <c r="UQF677" s="37"/>
      <c r="UQG677" s="37"/>
      <c r="UQH677" s="37"/>
      <c r="UQI677" s="37"/>
      <c r="UQJ677" s="37"/>
      <c r="UQK677" s="37"/>
      <c r="UQL677" s="37"/>
      <c r="UQM677" s="37"/>
      <c r="UQN677" s="37"/>
      <c r="UQO677" s="37"/>
      <c r="UQP677" s="37"/>
      <c r="UQQ677" s="37"/>
      <c r="UQR677" s="37"/>
      <c r="UQS677" s="37"/>
      <c r="UQT677" s="37"/>
      <c r="UQU677" s="37"/>
      <c r="UQV677" s="37"/>
      <c r="UQW677" s="37"/>
      <c r="UQX677" s="37"/>
      <c r="UQY677" s="37"/>
      <c r="UQZ677" s="37"/>
      <c r="URA677" s="37"/>
      <c r="URB677" s="37"/>
      <c r="URC677" s="37"/>
      <c r="URD677" s="37"/>
      <c r="URE677" s="37"/>
      <c r="URF677" s="37"/>
      <c r="URG677" s="37"/>
      <c r="URH677" s="37"/>
      <c r="URI677" s="37"/>
      <c r="URJ677" s="37"/>
      <c r="URK677" s="37"/>
      <c r="URL677" s="37"/>
      <c r="URM677" s="37"/>
      <c r="URN677" s="37"/>
      <c r="URO677" s="37"/>
      <c r="URP677" s="37"/>
      <c r="URQ677" s="37"/>
      <c r="URR677" s="37"/>
      <c r="URS677" s="37"/>
      <c r="URT677" s="37"/>
      <c r="URU677" s="37"/>
      <c r="URV677" s="37"/>
      <c r="URW677" s="37"/>
      <c r="URX677" s="37"/>
      <c r="URY677" s="37"/>
      <c r="URZ677" s="37"/>
      <c r="USA677" s="37"/>
      <c r="USB677" s="37"/>
      <c r="USC677" s="37"/>
      <c r="USD677" s="37"/>
      <c r="USE677" s="37"/>
      <c r="USF677" s="37"/>
      <c r="USG677" s="37"/>
      <c r="USH677" s="37"/>
      <c r="USI677" s="37"/>
      <c r="USJ677" s="37"/>
      <c r="USK677" s="37"/>
      <c r="USL677" s="37"/>
      <c r="USM677" s="37"/>
      <c r="USN677" s="37"/>
      <c r="USO677" s="37"/>
      <c r="USP677" s="37"/>
      <c r="USQ677" s="37"/>
      <c r="USR677" s="37"/>
      <c r="USS677" s="37"/>
      <c r="UST677" s="37"/>
      <c r="USU677" s="37"/>
      <c r="USV677" s="37"/>
      <c r="USW677" s="37"/>
      <c r="USX677" s="37"/>
      <c r="USY677" s="37"/>
      <c r="USZ677" s="37"/>
      <c r="UTA677" s="37"/>
      <c r="UTB677" s="37"/>
      <c r="UTC677" s="37"/>
      <c r="UTD677" s="37"/>
      <c r="UTE677" s="37"/>
      <c r="UTF677" s="37"/>
      <c r="UTG677" s="37"/>
      <c r="UTH677" s="37"/>
      <c r="UTI677" s="37"/>
      <c r="UTJ677" s="37"/>
      <c r="UTK677" s="37"/>
      <c r="UTL677" s="37"/>
      <c r="UTM677" s="37"/>
      <c r="UTN677" s="37"/>
      <c r="UTO677" s="37"/>
      <c r="UTP677" s="37"/>
      <c r="UTQ677" s="37"/>
      <c r="UTR677" s="37"/>
      <c r="UTS677" s="37"/>
      <c r="UTT677" s="37"/>
      <c r="UTU677" s="37"/>
      <c r="UTV677" s="37"/>
      <c r="UTW677" s="37"/>
      <c r="UTX677" s="37"/>
      <c r="UTY677" s="37"/>
      <c r="UTZ677" s="37"/>
      <c r="UUA677" s="37"/>
      <c r="UUB677" s="37"/>
      <c r="UUC677" s="37"/>
      <c r="UUD677" s="37"/>
      <c r="UUE677" s="37"/>
      <c r="UUF677" s="37"/>
      <c r="UUG677" s="37"/>
      <c r="UUH677" s="37"/>
      <c r="UUI677" s="37"/>
      <c r="UUJ677" s="37"/>
      <c r="UUK677" s="37"/>
      <c r="UUL677" s="37"/>
      <c r="UUM677" s="37"/>
      <c r="UUN677" s="37"/>
      <c r="UUO677" s="37"/>
      <c r="UUP677" s="37"/>
      <c r="UUQ677" s="37"/>
      <c r="UUR677" s="37"/>
      <c r="UUS677" s="37"/>
      <c r="UUT677" s="37"/>
      <c r="UUU677" s="37"/>
      <c r="UUV677" s="37"/>
      <c r="UUW677" s="37"/>
      <c r="UUX677" s="37"/>
      <c r="UUY677" s="37"/>
      <c r="UUZ677" s="37"/>
      <c r="UVA677" s="37"/>
      <c r="UVB677" s="37"/>
      <c r="UVC677" s="37"/>
      <c r="UVD677" s="37"/>
      <c r="UVE677" s="37"/>
      <c r="UVF677" s="37"/>
      <c r="UVG677" s="37"/>
      <c r="UVH677" s="37"/>
      <c r="UVI677" s="37"/>
      <c r="UVJ677" s="37"/>
      <c r="UVK677" s="37"/>
      <c r="UVL677" s="37"/>
      <c r="UVM677" s="37"/>
      <c r="UVN677" s="37"/>
      <c r="UVO677" s="37"/>
      <c r="UVP677" s="37"/>
      <c r="UVQ677" s="37"/>
      <c r="UVR677" s="37"/>
      <c r="UVS677" s="37"/>
      <c r="UVT677" s="37"/>
      <c r="UVU677" s="37"/>
      <c r="UVV677" s="37"/>
      <c r="UVW677" s="37"/>
      <c r="UVX677" s="37"/>
      <c r="UVY677" s="37"/>
      <c r="UVZ677" s="37"/>
      <c r="UWA677" s="37"/>
      <c r="UWB677" s="37"/>
      <c r="UWC677" s="37"/>
      <c r="UWD677" s="37"/>
      <c r="UWE677" s="37"/>
      <c r="UWF677" s="37"/>
      <c r="UWG677" s="37"/>
      <c r="UWH677" s="37"/>
      <c r="UWI677" s="37"/>
      <c r="UWJ677" s="37"/>
      <c r="UWK677" s="37"/>
      <c r="UWL677" s="37"/>
      <c r="UWM677" s="37"/>
      <c r="UWN677" s="37"/>
      <c r="UWO677" s="37"/>
      <c r="UWP677" s="37"/>
      <c r="UWQ677" s="37"/>
      <c r="UWR677" s="37"/>
      <c r="UWS677" s="37"/>
      <c r="UWT677" s="37"/>
      <c r="UWU677" s="37"/>
      <c r="UWV677" s="37"/>
      <c r="UWW677" s="37"/>
      <c r="UWX677" s="37"/>
      <c r="UWY677" s="37"/>
      <c r="UWZ677" s="37"/>
      <c r="UXA677" s="37"/>
      <c r="UXB677" s="37"/>
      <c r="UXC677" s="37"/>
      <c r="UXD677" s="37"/>
      <c r="UXE677" s="37"/>
      <c r="UXF677" s="37"/>
      <c r="UXG677" s="37"/>
      <c r="UXH677" s="37"/>
      <c r="UXI677" s="37"/>
      <c r="UXJ677" s="37"/>
      <c r="UXK677" s="37"/>
      <c r="UXL677" s="37"/>
      <c r="UXM677" s="37"/>
      <c r="UXN677" s="37"/>
      <c r="UXO677" s="37"/>
      <c r="UXP677" s="37"/>
      <c r="UXQ677" s="37"/>
      <c r="UXR677" s="37"/>
      <c r="UXS677" s="37"/>
      <c r="UXT677" s="37"/>
      <c r="UXU677" s="37"/>
      <c r="UXV677" s="37"/>
      <c r="UXW677" s="37"/>
      <c r="UXX677" s="37"/>
      <c r="UXY677" s="37"/>
      <c r="UXZ677" s="37"/>
      <c r="UYA677" s="37"/>
      <c r="UYB677" s="37"/>
      <c r="UYC677" s="37"/>
      <c r="UYD677" s="37"/>
      <c r="UYE677" s="37"/>
      <c r="UYF677" s="37"/>
      <c r="UYG677" s="37"/>
      <c r="UYH677" s="37"/>
      <c r="UYI677" s="37"/>
      <c r="UYJ677" s="37"/>
      <c r="UYK677" s="37"/>
      <c r="UYL677" s="37"/>
      <c r="UYM677" s="37"/>
      <c r="UYN677" s="37"/>
      <c r="UYO677" s="37"/>
      <c r="UYP677" s="37"/>
      <c r="UYQ677" s="37"/>
      <c r="UYR677" s="37"/>
      <c r="UYS677" s="37"/>
      <c r="UYT677" s="37"/>
      <c r="UYU677" s="37"/>
      <c r="UYV677" s="37"/>
      <c r="UYW677" s="37"/>
      <c r="UYX677" s="37"/>
      <c r="UYY677" s="37"/>
      <c r="UYZ677" s="37"/>
      <c r="UZA677" s="37"/>
      <c r="UZB677" s="37"/>
      <c r="UZC677" s="37"/>
      <c r="UZD677" s="37"/>
      <c r="UZE677" s="37"/>
      <c r="UZF677" s="37"/>
      <c r="UZG677" s="37"/>
      <c r="UZH677" s="37"/>
      <c r="UZI677" s="37"/>
      <c r="UZJ677" s="37"/>
      <c r="UZK677" s="37"/>
      <c r="UZL677" s="37"/>
      <c r="UZM677" s="37"/>
      <c r="UZN677" s="37"/>
      <c r="UZO677" s="37"/>
      <c r="UZP677" s="37"/>
      <c r="UZQ677" s="37"/>
      <c r="UZR677" s="37"/>
      <c r="UZS677" s="37"/>
      <c r="UZT677" s="37"/>
      <c r="UZU677" s="37"/>
      <c r="UZV677" s="37"/>
      <c r="UZW677" s="37"/>
      <c r="UZX677" s="37"/>
      <c r="UZY677" s="37"/>
      <c r="UZZ677" s="37"/>
      <c r="VAA677" s="37"/>
      <c r="VAB677" s="37"/>
      <c r="VAC677" s="37"/>
      <c r="VAD677" s="37"/>
      <c r="VAE677" s="37"/>
      <c r="VAF677" s="37"/>
      <c r="VAG677" s="37"/>
      <c r="VAH677" s="37"/>
      <c r="VAI677" s="37"/>
      <c r="VAJ677" s="37"/>
      <c r="VAK677" s="37"/>
      <c r="VAL677" s="37"/>
      <c r="VAM677" s="37"/>
      <c r="VAN677" s="37"/>
      <c r="VAO677" s="37"/>
      <c r="VAP677" s="37"/>
      <c r="VAQ677" s="37"/>
      <c r="VAR677" s="37"/>
      <c r="VAS677" s="37"/>
      <c r="VAT677" s="37"/>
      <c r="VAU677" s="37"/>
      <c r="VAV677" s="37"/>
      <c r="VAW677" s="37"/>
      <c r="VAX677" s="37"/>
      <c r="VAY677" s="37"/>
      <c r="VAZ677" s="37"/>
      <c r="VBA677" s="37"/>
      <c r="VBB677" s="37"/>
      <c r="VBC677" s="37"/>
      <c r="VBD677" s="37"/>
      <c r="VBE677" s="37"/>
      <c r="VBF677" s="37"/>
      <c r="VBG677" s="37"/>
      <c r="VBH677" s="37"/>
      <c r="VBI677" s="37"/>
      <c r="VBJ677" s="37"/>
      <c r="VBK677" s="37"/>
      <c r="VBL677" s="37"/>
      <c r="VBM677" s="37"/>
      <c r="VBN677" s="37"/>
      <c r="VBO677" s="37"/>
      <c r="VBP677" s="37"/>
      <c r="VBQ677" s="37"/>
      <c r="VBR677" s="37"/>
      <c r="VBS677" s="37"/>
      <c r="VBT677" s="37"/>
      <c r="VBU677" s="37"/>
      <c r="VBV677" s="37"/>
      <c r="VBW677" s="37"/>
      <c r="VBX677" s="37"/>
      <c r="VBY677" s="37"/>
      <c r="VBZ677" s="37"/>
      <c r="VCA677" s="37"/>
      <c r="VCB677" s="37"/>
      <c r="VCC677" s="37"/>
      <c r="VCD677" s="37"/>
      <c r="VCE677" s="37"/>
      <c r="VCF677" s="37"/>
      <c r="VCG677" s="37"/>
      <c r="VCH677" s="37"/>
      <c r="VCI677" s="37"/>
      <c r="VCJ677" s="37"/>
      <c r="VCK677" s="37"/>
      <c r="VCL677" s="37"/>
      <c r="VCM677" s="37"/>
      <c r="VCN677" s="37"/>
      <c r="VCO677" s="37"/>
      <c r="VCP677" s="37"/>
      <c r="VCQ677" s="37"/>
      <c r="VCR677" s="37"/>
      <c r="VCS677" s="37"/>
      <c r="VCT677" s="37"/>
      <c r="VCU677" s="37"/>
      <c r="VCV677" s="37"/>
      <c r="VCW677" s="37"/>
      <c r="VCX677" s="37"/>
      <c r="VCY677" s="37"/>
      <c r="VCZ677" s="37"/>
      <c r="VDA677" s="37"/>
      <c r="VDB677" s="37"/>
      <c r="VDC677" s="37"/>
      <c r="VDD677" s="37"/>
      <c r="VDE677" s="37"/>
      <c r="VDF677" s="37"/>
      <c r="VDG677" s="37"/>
      <c r="VDH677" s="37"/>
      <c r="VDI677" s="37"/>
      <c r="VDJ677" s="37"/>
      <c r="VDK677" s="37"/>
      <c r="VDL677" s="37"/>
      <c r="VDM677" s="37"/>
      <c r="VDN677" s="37"/>
      <c r="VDO677" s="37"/>
      <c r="VDP677" s="37"/>
      <c r="VDQ677" s="37"/>
      <c r="VDR677" s="37"/>
      <c r="VDS677" s="37"/>
      <c r="VDT677" s="37"/>
      <c r="VDU677" s="37"/>
      <c r="VDV677" s="37"/>
      <c r="VDW677" s="37"/>
      <c r="VDX677" s="37"/>
      <c r="VDY677" s="37"/>
      <c r="VDZ677" s="37"/>
      <c r="VEA677" s="37"/>
      <c r="VEB677" s="37"/>
      <c r="VEC677" s="37"/>
      <c r="VED677" s="37"/>
      <c r="VEE677" s="37"/>
      <c r="VEF677" s="37"/>
      <c r="VEG677" s="37"/>
      <c r="VEH677" s="37"/>
      <c r="VEI677" s="37"/>
      <c r="VEJ677" s="37"/>
      <c r="VEK677" s="37"/>
      <c r="VEL677" s="37"/>
      <c r="VEM677" s="37"/>
      <c r="VEN677" s="37"/>
      <c r="VEO677" s="37"/>
      <c r="VEP677" s="37"/>
      <c r="VEQ677" s="37"/>
      <c r="VER677" s="37"/>
      <c r="VES677" s="37"/>
      <c r="VET677" s="37"/>
      <c r="VEU677" s="37"/>
      <c r="VEV677" s="37"/>
      <c r="VEW677" s="37"/>
      <c r="VEX677" s="37"/>
      <c r="VEY677" s="37"/>
      <c r="VEZ677" s="37"/>
      <c r="VFA677" s="37"/>
      <c r="VFB677" s="37"/>
      <c r="VFC677" s="37"/>
      <c r="VFD677" s="37"/>
      <c r="VFE677" s="37"/>
      <c r="VFF677" s="37"/>
      <c r="VFG677" s="37"/>
      <c r="VFH677" s="37"/>
      <c r="VFI677" s="37"/>
      <c r="VFJ677" s="37"/>
      <c r="VFK677" s="37"/>
      <c r="VFL677" s="37"/>
      <c r="VFM677" s="37"/>
      <c r="VFN677" s="37"/>
      <c r="VFO677" s="37"/>
      <c r="VFP677" s="37"/>
      <c r="VFQ677" s="37"/>
      <c r="VFR677" s="37"/>
      <c r="VFS677" s="37"/>
      <c r="VFT677" s="37"/>
      <c r="VFU677" s="37"/>
      <c r="VFV677" s="37"/>
      <c r="VFW677" s="37"/>
      <c r="VFX677" s="37"/>
      <c r="VFY677" s="37"/>
      <c r="VFZ677" s="37"/>
      <c r="VGA677" s="37"/>
      <c r="VGB677" s="37"/>
      <c r="VGC677" s="37"/>
      <c r="VGD677" s="37"/>
      <c r="VGE677" s="37"/>
      <c r="VGF677" s="37"/>
      <c r="VGG677" s="37"/>
      <c r="VGH677" s="37"/>
      <c r="VGI677" s="37"/>
      <c r="VGJ677" s="37"/>
      <c r="VGK677" s="37"/>
      <c r="VGL677" s="37"/>
      <c r="VGM677" s="37"/>
      <c r="VGN677" s="37"/>
      <c r="VGO677" s="37"/>
      <c r="VGP677" s="37"/>
      <c r="VGQ677" s="37"/>
      <c r="VGR677" s="37"/>
      <c r="VGS677" s="37"/>
      <c r="VGT677" s="37"/>
      <c r="VGU677" s="37"/>
      <c r="VGV677" s="37"/>
      <c r="VGW677" s="37"/>
      <c r="VGX677" s="37"/>
      <c r="VGY677" s="37"/>
      <c r="VGZ677" s="37"/>
      <c r="VHA677" s="37"/>
      <c r="VHB677" s="37"/>
      <c r="VHC677" s="37"/>
      <c r="VHD677" s="37"/>
      <c r="VHE677" s="37"/>
      <c r="VHF677" s="37"/>
      <c r="VHG677" s="37"/>
      <c r="VHH677" s="37"/>
      <c r="VHI677" s="37"/>
      <c r="VHJ677" s="37"/>
      <c r="VHK677" s="37"/>
      <c r="VHL677" s="37"/>
      <c r="VHM677" s="37"/>
      <c r="VHN677" s="37"/>
      <c r="VHO677" s="37"/>
      <c r="VHP677" s="37"/>
      <c r="VHQ677" s="37"/>
      <c r="VHR677" s="37"/>
      <c r="VHS677" s="37"/>
      <c r="VHT677" s="37"/>
      <c r="VHU677" s="37"/>
      <c r="VHV677" s="37"/>
      <c r="VHW677" s="37"/>
      <c r="VHX677" s="37"/>
      <c r="VHY677" s="37"/>
      <c r="VHZ677" s="37"/>
      <c r="VIA677" s="37"/>
      <c r="VIB677" s="37"/>
      <c r="VIC677" s="37"/>
      <c r="VID677" s="37"/>
      <c r="VIE677" s="37"/>
      <c r="VIF677" s="37"/>
      <c r="VIG677" s="37"/>
      <c r="VIH677" s="37"/>
      <c r="VII677" s="37"/>
      <c r="VIJ677" s="37"/>
      <c r="VIK677" s="37"/>
      <c r="VIL677" s="37"/>
      <c r="VIM677" s="37"/>
      <c r="VIN677" s="37"/>
      <c r="VIO677" s="37"/>
      <c r="VIP677" s="37"/>
      <c r="VIQ677" s="37"/>
      <c r="VIR677" s="37"/>
      <c r="VIS677" s="37"/>
      <c r="VIT677" s="37"/>
      <c r="VIU677" s="37"/>
      <c r="VIV677" s="37"/>
      <c r="VIW677" s="37"/>
      <c r="VIX677" s="37"/>
      <c r="VIY677" s="37"/>
      <c r="VIZ677" s="37"/>
      <c r="VJA677" s="37"/>
      <c r="VJB677" s="37"/>
      <c r="VJC677" s="37"/>
      <c r="VJD677" s="37"/>
      <c r="VJE677" s="37"/>
      <c r="VJF677" s="37"/>
      <c r="VJG677" s="37"/>
      <c r="VJH677" s="37"/>
      <c r="VJI677" s="37"/>
      <c r="VJJ677" s="37"/>
      <c r="VJK677" s="37"/>
      <c r="VJL677" s="37"/>
      <c r="VJM677" s="37"/>
      <c r="VJN677" s="37"/>
      <c r="VJO677" s="37"/>
      <c r="VJP677" s="37"/>
      <c r="VJQ677" s="37"/>
      <c r="VJR677" s="37"/>
      <c r="VJS677" s="37"/>
      <c r="VJT677" s="37"/>
      <c r="VJU677" s="37"/>
      <c r="VJV677" s="37"/>
      <c r="VJW677" s="37"/>
      <c r="VJX677" s="37"/>
      <c r="VJY677" s="37"/>
      <c r="VJZ677" s="37"/>
      <c r="VKA677" s="37"/>
      <c r="VKB677" s="37"/>
      <c r="VKC677" s="37"/>
      <c r="VKD677" s="37"/>
      <c r="VKE677" s="37"/>
      <c r="VKF677" s="37"/>
      <c r="VKG677" s="37"/>
      <c r="VKH677" s="37"/>
      <c r="VKI677" s="37"/>
      <c r="VKJ677" s="37"/>
      <c r="VKK677" s="37"/>
      <c r="VKL677" s="37"/>
      <c r="VKM677" s="37"/>
      <c r="VKN677" s="37"/>
      <c r="VKO677" s="37"/>
      <c r="VKP677" s="37"/>
      <c r="VKQ677" s="37"/>
      <c r="VKR677" s="37"/>
      <c r="VKS677" s="37"/>
      <c r="VKT677" s="37"/>
      <c r="VKU677" s="37"/>
      <c r="VKV677" s="37"/>
      <c r="VKW677" s="37"/>
      <c r="VKX677" s="37"/>
      <c r="VKY677" s="37"/>
      <c r="VKZ677" s="37"/>
      <c r="VLA677" s="37"/>
      <c r="VLB677" s="37"/>
      <c r="VLC677" s="37"/>
      <c r="VLD677" s="37"/>
      <c r="VLE677" s="37"/>
      <c r="VLF677" s="37"/>
      <c r="VLG677" s="37"/>
      <c r="VLH677" s="37"/>
      <c r="VLI677" s="37"/>
      <c r="VLJ677" s="37"/>
      <c r="VLK677" s="37"/>
      <c r="VLL677" s="37"/>
      <c r="VLM677" s="37"/>
      <c r="VLN677" s="37"/>
      <c r="VLO677" s="37"/>
      <c r="VLP677" s="37"/>
      <c r="VLQ677" s="37"/>
      <c r="VLR677" s="37"/>
      <c r="VLS677" s="37"/>
      <c r="VLT677" s="37"/>
      <c r="VLU677" s="37"/>
      <c r="VLV677" s="37"/>
      <c r="VLW677" s="37"/>
      <c r="VLX677" s="37"/>
      <c r="VLY677" s="37"/>
      <c r="VLZ677" s="37"/>
      <c r="VMA677" s="37"/>
      <c r="VMB677" s="37"/>
      <c r="VMC677" s="37"/>
      <c r="VMD677" s="37"/>
      <c r="VME677" s="37"/>
      <c r="VMF677" s="37"/>
      <c r="VMG677" s="37"/>
      <c r="VMH677" s="37"/>
      <c r="VMI677" s="37"/>
      <c r="VMJ677" s="37"/>
      <c r="VMK677" s="37"/>
      <c r="VML677" s="37"/>
      <c r="VMM677" s="37"/>
      <c r="VMN677" s="37"/>
      <c r="VMO677" s="37"/>
      <c r="VMP677" s="37"/>
      <c r="VMQ677" s="37"/>
      <c r="VMR677" s="37"/>
      <c r="VMS677" s="37"/>
      <c r="VMT677" s="37"/>
      <c r="VMU677" s="37"/>
      <c r="VMV677" s="37"/>
      <c r="VMW677" s="37"/>
      <c r="VMX677" s="37"/>
      <c r="VMY677" s="37"/>
      <c r="VMZ677" s="37"/>
      <c r="VNA677" s="37"/>
      <c r="VNB677" s="37"/>
      <c r="VNC677" s="37"/>
      <c r="VND677" s="37"/>
      <c r="VNE677" s="37"/>
      <c r="VNF677" s="37"/>
      <c r="VNG677" s="37"/>
      <c r="VNH677" s="37"/>
      <c r="VNI677" s="37"/>
      <c r="VNJ677" s="37"/>
      <c r="VNK677" s="37"/>
      <c r="VNL677" s="37"/>
      <c r="VNM677" s="37"/>
      <c r="VNN677" s="37"/>
      <c r="VNO677" s="37"/>
      <c r="VNP677" s="37"/>
      <c r="VNQ677" s="37"/>
      <c r="VNR677" s="37"/>
      <c r="VNS677" s="37"/>
      <c r="VNT677" s="37"/>
      <c r="VNU677" s="37"/>
      <c r="VNV677" s="37"/>
      <c r="VNW677" s="37"/>
      <c r="VNX677" s="37"/>
      <c r="VNY677" s="37"/>
      <c r="VNZ677" s="37"/>
      <c r="VOA677" s="37"/>
      <c r="VOB677" s="37"/>
      <c r="VOC677" s="37"/>
      <c r="VOD677" s="37"/>
      <c r="VOE677" s="37"/>
      <c r="VOF677" s="37"/>
      <c r="VOG677" s="37"/>
      <c r="VOH677" s="37"/>
      <c r="VOI677" s="37"/>
      <c r="VOJ677" s="37"/>
      <c r="VOK677" s="37"/>
      <c r="VOL677" s="37"/>
      <c r="VOM677" s="37"/>
      <c r="VON677" s="37"/>
      <c r="VOO677" s="37"/>
      <c r="VOP677" s="37"/>
      <c r="VOQ677" s="37"/>
      <c r="VOR677" s="37"/>
      <c r="VOS677" s="37"/>
      <c r="VOT677" s="37"/>
      <c r="VOU677" s="37"/>
      <c r="VOV677" s="37"/>
      <c r="VOW677" s="37"/>
      <c r="VOX677" s="37"/>
      <c r="VOY677" s="37"/>
      <c r="VOZ677" s="37"/>
      <c r="VPA677" s="37"/>
      <c r="VPB677" s="37"/>
      <c r="VPC677" s="37"/>
      <c r="VPD677" s="37"/>
      <c r="VPE677" s="37"/>
      <c r="VPF677" s="37"/>
      <c r="VPG677" s="37"/>
      <c r="VPH677" s="37"/>
      <c r="VPI677" s="37"/>
      <c r="VPJ677" s="37"/>
      <c r="VPK677" s="37"/>
      <c r="VPL677" s="37"/>
      <c r="VPM677" s="37"/>
      <c r="VPN677" s="37"/>
      <c r="VPO677" s="37"/>
      <c r="VPP677" s="37"/>
      <c r="VPQ677" s="37"/>
      <c r="VPR677" s="37"/>
      <c r="VPS677" s="37"/>
      <c r="VPT677" s="37"/>
      <c r="VPU677" s="37"/>
      <c r="VPV677" s="37"/>
      <c r="VPW677" s="37"/>
      <c r="VPX677" s="37"/>
      <c r="VPY677" s="37"/>
      <c r="VPZ677" s="37"/>
      <c r="VQA677" s="37"/>
      <c r="VQB677" s="37"/>
      <c r="VQC677" s="37"/>
      <c r="VQD677" s="37"/>
      <c r="VQE677" s="37"/>
      <c r="VQF677" s="37"/>
      <c r="VQG677" s="37"/>
      <c r="VQH677" s="37"/>
      <c r="VQI677" s="37"/>
      <c r="VQJ677" s="37"/>
      <c r="VQK677" s="37"/>
      <c r="VQL677" s="37"/>
      <c r="VQM677" s="37"/>
      <c r="VQN677" s="37"/>
      <c r="VQO677" s="37"/>
      <c r="VQP677" s="37"/>
      <c r="VQQ677" s="37"/>
      <c r="VQR677" s="37"/>
      <c r="VQS677" s="37"/>
      <c r="VQT677" s="37"/>
      <c r="VQU677" s="37"/>
      <c r="VQV677" s="37"/>
      <c r="VQW677" s="37"/>
      <c r="VQX677" s="37"/>
      <c r="VQY677" s="37"/>
      <c r="VQZ677" s="37"/>
      <c r="VRA677" s="37"/>
      <c r="VRB677" s="37"/>
      <c r="VRC677" s="37"/>
      <c r="VRD677" s="37"/>
      <c r="VRE677" s="37"/>
      <c r="VRF677" s="37"/>
      <c r="VRG677" s="37"/>
      <c r="VRH677" s="37"/>
      <c r="VRI677" s="37"/>
      <c r="VRJ677" s="37"/>
      <c r="VRK677" s="37"/>
      <c r="VRL677" s="37"/>
      <c r="VRM677" s="37"/>
      <c r="VRN677" s="37"/>
      <c r="VRO677" s="37"/>
      <c r="VRP677" s="37"/>
      <c r="VRQ677" s="37"/>
      <c r="VRR677" s="37"/>
      <c r="VRS677" s="37"/>
      <c r="VRT677" s="37"/>
      <c r="VRU677" s="37"/>
      <c r="VRV677" s="37"/>
      <c r="VRW677" s="37"/>
      <c r="VRX677" s="37"/>
      <c r="VRY677" s="37"/>
      <c r="VRZ677" s="37"/>
      <c r="VSA677" s="37"/>
      <c r="VSB677" s="37"/>
      <c r="VSC677" s="37"/>
      <c r="VSD677" s="37"/>
      <c r="VSE677" s="37"/>
      <c r="VSF677" s="37"/>
      <c r="VSG677" s="37"/>
      <c r="VSH677" s="37"/>
      <c r="VSI677" s="37"/>
      <c r="VSJ677" s="37"/>
      <c r="VSK677" s="37"/>
      <c r="VSL677" s="37"/>
      <c r="VSM677" s="37"/>
      <c r="VSN677" s="37"/>
      <c r="VSO677" s="37"/>
      <c r="VSP677" s="37"/>
      <c r="VSQ677" s="37"/>
      <c r="VSR677" s="37"/>
      <c r="VSS677" s="37"/>
      <c r="VST677" s="37"/>
      <c r="VSU677" s="37"/>
      <c r="VSV677" s="37"/>
      <c r="VSW677" s="37"/>
      <c r="VSX677" s="37"/>
      <c r="VSY677" s="37"/>
      <c r="VSZ677" s="37"/>
      <c r="VTA677" s="37"/>
      <c r="VTB677" s="37"/>
      <c r="VTC677" s="37"/>
      <c r="VTD677" s="37"/>
      <c r="VTE677" s="37"/>
      <c r="VTF677" s="37"/>
      <c r="VTG677" s="37"/>
      <c r="VTH677" s="37"/>
      <c r="VTI677" s="37"/>
      <c r="VTJ677" s="37"/>
      <c r="VTK677" s="37"/>
      <c r="VTL677" s="37"/>
      <c r="VTM677" s="37"/>
      <c r="VTN677" s="37"/>
      <c r="VTO677" s="37"/>
      <c r="VTP677" s="37"/>
      <c r="VTQ677" s="37"/>
      <c r="VTR677" s="37"/>
      <c r="VTS677" s="37"/>
      <c r="VTT677" s="37"/>
      <c r="VTU677" s="37"/>
      <c r="VTV677" s="37"/>
      <c r="VTW677" s="37"/>
      <c r="VTX677" s="37"/>
      <c r="VTY677" s="37"/>
      <c r="VTZ677" s="37"/>
      <c r="VUA677" s="37"/>
      <c r="VUB677" s="37"/>
      <c r="VUC677" s="37"/>
      <c r="VUD677" s="37"/>
      <c r="VUE677" s="37"/>
      <c r="VUF677" s="37"/>
      <c r="VUG677" s="37"/>
      <c r="VUH677" s="37"/>
      <c r="VUI677" s="37"/>
      <c r="VUJ677" s="37"/>
      <c r="VUK677" s="37"/>
      <c r="VUL677" s="37"/>
      <c r="VUM677" s="37"/>
      <c r="VUN677" s="37"/>
      <c r="VUO677" s="37"/>
      <c r="VUP677" s="37"/>
      <c r="VUQ677" s="37"/>
      <c r="VUR677" s="37"/>
      <c r="VUS677" s="37"/>
      <c r="VUT677" s="37"/>
      <c r="VUU677" s="37"/>
      <c r="VUV677" s="37"/>
      <c r="VUW677" s="37"/>
      <c r="VUX677" s="37"/>
      <c r="VUY677" s="37"/>
      <c r="VUZ677" s="37"/>
      <c r="VVA677" s="37"/>
      <c r="VVB677" s="37"/>
      <c r="VVC677" s="37"/>
      <c r="VVD677" s="37"/>
      <c r="VVE677" s="37"/>
      <c r="VVF677" s="37"/>
      <c r="VVG677" s="37"/>
      <c r="VVH677" s="37"/>
      <c r="VVI677" s="37"/>
      <c r="VVJ677" s="37"/>
      <c r="VVK677" s="37"/>
      <c r="VVL677" s="37"/>
      <c r="VVM677" s="37"/>
      <c r="VVN677" s="37"/>
      <c r="VVO677" s="37"/>
      <c r="VVP677" s="37"/>
      <c r="VVQ677" s="37"/>
      <c r="VVR677" s="37"/>
      <c r="VVS677" s="37"/>
      <c r="VVT677" s="37"/>
      <c r="VVU677" s="37"/>
      <c r="VVV677" s="37"/>
      <c r="VVW677" s="37"/>
      <c r="VVX677" s="37"/>
      <c r="VVY677" s="37"/>
      <c r="VVZ677" s="37"/>
      <c r="VWA677" s="37"/>
      <c r="VWB677" s="37"/>
      <c r="VWC677" s="37"/>
      <c r="VWD677" s="37"/>
      <c r="VWE677" s="37"/>
      <c r="VWF677" s="37"/>
      <c r="VWG677" s="37"/>
      <c r="VWH677" s="37"/>
      <c r="VWI677" s="37"/>
      <c r="VWJ677" s="37"/>
      <c r="VWK677" s="37"/>
      <c r="VWL677" s="37"/>
      <c r="VWM677" s="37"/>
      <c r="VWN677" s="37"/>
      <c r="VWO677" s="37"/>
      <c r="VWP677" s="37"/>
      <c r="VWQ677" s="37"/>
      <c r="VWR677" s="37"/>
      <c r="VWS677" s="37"/>
      <c r="VWT677" s="37"/>
      <c r="VWU677" s="37"/>
      <c r="VWV677" s="37"/>
      <c r="VWW677" s="37"/>
      <c r="VWX677" s="37"/>
      <c r="VWY677" s="37"/>
      <c r="VWZ677" s="37"/>
      <c r="VXA677" s="37"/>
      <c r="VXB677" s="37"/>
      <c r="VXC677" s="37"/>
      <c r="VXD677" s="37"/>
      <c r="VXE677" s="37"/>
      <c r="VXF677" s="37"/>
      <c r="VXG677" s="37"/>
      <c r="VXH677" s="37"/>
      <c r="VXI677" s="37"/>
      <c r="VXJ677" s="37"/>
      <c r="VXK677" s="37"/>
      <c r="VXL677" s="37"/>
      <c r="VXM677" s="37"/>
      <c r="VXN677" s="37"/>
      <c r="VXO677" s="37"/>
      <c r="VXP677" s="37"/>
      <c r="VXQ677" s="37"/>
      <c r="VXR677" s="37"/>
      <c r="VXS677" s="37"/>
      <c r="VXT677" s="37"/>
      <c r="VXU677" s="37"/>
      <c r="VXV677" s="37"/>
      <c r="VXW677" s="37"/>
      <c r="VXX677" s="37"/>
      <c r="VXY677" s="37"/>
      <c r="VXZ677" s="37"/>
      <c r="VYA677" s="37"/>
      <c r="VYB677" s="37"/>
      <c r="VYC677" s="37"/>
      <c r="VYD677" s="37"/>
      <c r="VYE677" s="37"/>
      <c r="VYF677" s="37"/>
      <c r="VYG677" s="37"/>
      <c r="VYH677" s="37"/>
      <c r="VYI677" s="37"/>
      <c r="VYJ677" s="37"/>
      <c r="VYK677" s="37"/>
      <c r="VYL677" s="37"/>
      <c r="VYM677" s="37"/>
      <c r="VYN677" s="37"/>
      <c r="VYO677" s="37"/>
      <c r="VYP677" s="37"/>
      <c r="VYQ677" s="37"/>
      <c r="VYR677" s="37"/>
      <c r="VYS677" s="37"/>
      <c r="VYT677" s="37"/>
      <c r="VYU677" s="37"/>
      <c r="VYV677" s="37"/>
      <c r="VYW677" s="37"/>
      <c r="VYX677" s="37"/>
      <c r="VYY677" s="37"/>
      <c r="VYZ677" s="37"/>
      <c r="VZA677" s="37"/>
      <c r="VZB677" s="37"/>
      <c r="VZC677" s="37"/>
      <c r="VZD677" s="37"/>
      <c r="VZE677" s="37"/>
      <c r="VZF677" s="37"/>
      <c r="VZG677" s="37"/>
      <c r="VZH677" s="37"/>
      <c r="VZI677" s="37"/>
      <c r="VZJ677" s="37"/>
      <c r="VZK677" s="37"/>
      <c r="VZL677" s="37"/>
      <c r="VZM677" s="37"/>
      <c r="VZN677" s="37"/>
      <c r="VZO677" s="37"/>
      <c r="VZP677" s="37"/>
      <c r="VZQ677" s="37"/>
      <c r="VZR677" s="37"/>
      <c r="VZS677" s="37"/>
      <c r="VZT677" s="37"/>
      <c r="VZU677" s="37"/>
      <c r="VZV677" s="37"/>
      <c r="VZW677" s="37"/>
      <c r="VZX677" s="37"/>
      <c r="VZY677" s="37"/>
      <c r="VZZ677" s="37"/>
      <c r="WAA677" s="37"/>
      <c r="WAB677" s="37"/>
      <c r="WAC677" s="37"/>
      <c r="WAD677" s="37"/>
      <c r="WAE677" s="37"/>
      <c r="WAF677" s="37"/>
      <c r="WAG677" s="37"/>
      <c r="WAH677" s="37"/>
      <c r="WAI677" s="37"/>
      <c r="WAJ677" s="37"/>
      <c r="WAK677" s="37"/>
      <c r="WAL677" s="37"/>
      <c r="WAM677" s="37"/>
      <c r="WAN677" s="37"/>
      <c r="WAO677" s="37"/>
      <c r="WAP677" s="37"/>
      <c r="WAQ677" s="37"/>
      <c r="WAR677" s="37"/>
      <c r="WAS677" s="37"/>
      <c r="WAT677" s="37"/>
      <c r="WAU677" s="37"/>
      <c r="WAV677" s="37"/>
      <c r="WAW677" s="37"/>
      <c r="WAX677" s="37"/>
      <c r="WAY677" s="37"/>
      <c r="WAZ677" s="37"/>
      <c r="WBA677" s="37"/>
      <c r="WBB677" s="37"/>
      <c r="WBC677" s="37"/>
      <c r="WBD677" s="37"/>
      <c r="WBE677" s="37"/>
      <c r="WBF677" s="37"/>
      <c r="WBG677" s="37"/>
      <c r="WBH677" s="37"/>
      <c r="WBI677" s="37"/>
      <c r="WBJ677" s="37"/>
      <c r="WBK677" s="37"/>
      <c r="WBL677" s="37"/>
      <c r="WBM677" s="37"/>
      <c r="WBN677" s="37"/>
      <c r="WBO677" s="37"/>
      <c r="WBP677" s="37"/>
      <c r="WBQ677" s="37"/>
      <c r="WBR677" s="37"/>
      <c r="WBS677" s="37"/>
      <c r="WBT677" s="37"/>
      <c r="WBU677" s="37"/>
      <c r="WBV677" s="37"/>
      <c r="WBW677" s="37"/>
      <c r="WBX677" s="37"/>
      <c r="WBY677" s="37"/>
      <c r="WBZ677" s="37"/>
      <c r="WCA677" s="37"/>
      <c r="WCB677" s="37"/>
      <c r="WCC677" s="37"/>
      <c r="WCD677" s="37"/>
      <c r="WCE677" s="37"/>
      <c r="WCF677" s="37"/>
      <c r="WCG677" s="37"/>
      <c r="WCH677" s="37"/>
      <c r="WCI677" s="37"/>
      <c r="WCJ677" s="37"/>
      <c r="WCK677" s="37"/>
      <c r="WCL677" s="37"/>
      <c r="WCM677" s="37"/>
      <c r="WCN677" s="37"/>
      <c r="WCO677" s="37"/>
      <c r="WCP677" s="37"/>
      <c r="WCQ677" s="37"/>
      <c r="WCR677" s="37"/>
      <c r="WCS677" s="37"/>
      <c r="WCT677" s="37"/>
      <c r="WCU677" s="37"/>
      <c r="WCV677" s="37"/>
      <c r="WCW677" s="37"/>
      <c r="WCX677" s="37"/>
      <c r="WCY677" s="37"/>
      <c r="WCZ677" s="37"/>
      <c r="WDA677" s="37"/>
      <c r="WDB677" s="37"/>
      <c r="WDC677" s="37"/>
      <c r="WDD677" s="37"/>
      <c r="WDE677" s="37"/>
      <c r="WDF677" s="37"/>
      <c r="WDG677" s="37"/>
      <c r="WDH677" s="37"/>
      <c r="WDI677" s="37"/>
      <c r="WDJ677" s="37"/>
      <c r="WDK677" s="37"/>
      <c r="WDL677" s="37"/>
      <c r="WDM677" s="37"/>
      <c r="WDN677" s="37"/>
      <c r="WDO677" s="37"/>
      <c r="WDP677" s="37"/>
      <c r="WDQ677" s="37"/>
      <c r="WDR677" s="37"/>
      <c r="WDS677" s="37"/>
      <c r="WDT677" s="37"/>
      <c r="WDU677" s="37"/>
      <c r="WDV677" s="37"/>
      <c r="WDW677" s="37"/>
      <c r="WDX677" s="37"/>
      <c r="WDY677" s="37"/>
      <c r="WDZ677" s="37"/>
      <c r="WEA677" s="37"/>
      <c r="WEB677" s="37"/>
      <c r="WEC677" s="37"/>
      <c r="WED677" s="37"/>
      <c r="WEE677" s="37"/>
      <c r="WEF677" s="37"/>
      <c r="WEG677" s="37"/>
      <c r="WEH677" s="37"/>
      <c r="WEI677" s="37"/>
      <c r="WEJ677" s="37"/>
      <c r="WEK677" s="37"/>
      <c r="WEL677" s="37"/>
      <c r="WEM677" s="37"/>
      <c r="WEN677" s="37"/>
      <c r="WEO677" s="37"/>
      <c r="WEP677" s="37"/>
      <c r="WEQ677" s="37"/>
      <c r="WER677" s="37"/>
      <c r="WES677" s="37"/>
      <c r="WET677" s="37"/>
      <c r="WEU677" s="37"/>
      <c r="WEV677" s="37"/>
      <c r="WEW677" s="37"/>
      <c r="WEX677" s="37"/>
      <c r="WEY677" s="37"/>
      <c r="WEZ677" s="37"/>
      <c r="WFA677" s="37"/>
      <c r="WFB677" s="37"/>
      <c r="WFC677" s="37"/>
      <c r="WFD677" s="37"/>
      <c r="WFE677" s="37"/>
      <c r="WFF677" s="37"/>
      <c r="WFG677" s="37"/>
      <c r="WFH677" s="37"/>
      <c r="WFI677" s="37"/>
      <c r="WFJ677" s="37"/>
      <c r="WFK677" s="37"/>
      <c r="WFL677" s="37"/>
      <c r="WFM677" s="37"/>
      <c r="WFN677" s="37"/>
      <c r="WFO677" s="37"/>
      <c r="WFP677" s="37"/>
      <c r="WFQ677" s="37"/>
      <c r="WFR677" s="37"/>
      <c r="WFS677" s="37"/>
      <c r="WFT677" s="37"/>
      <c r="WFU677" s="37"/>
      <c r="WFV677" s="37"/>
      <c r="WFW677" s="37"/>
      <c r="WFX677" s="37"/>
      <c r="WFY677" s="37"/>
      <c r="WFZ677" s="37"/>
      <c r="WGA677" s="37"/>
      <c r="WGB677" s="37"/>
      <c r="WGC677" s="37"/>
      <c r="WGD677" s="37"/>
      <c r="WGE677" s="37"/>
      <c r="WGF677" s="37"/>
      <c r="WGG677" s="37"/>
      <c r="WGH677" s="37"/>
      <c r="WGI677" s="37"/>
      <c r="WGJ677" s="37"/>
      <c r="WGK677" s="37"/>
      <c r="WGL677" s="37"/>
      <c r="WGM677" s="37"/>
      <c r="WGN677" s="37"/>
      <c r="WGO677" s="37"/>
      <c r="WGP677" s="37"/>
      <c r="WGQ677" s="37"/>
      <c r="WGR677" s="37"/>
      <c r="WGS677" s="37"/>
      <c r="WGT677" s="37"/>
      <c r="WGU677" s="37"/>
      <c r="WGV677" s="37"/>
      <c r="WGW677" s="37"/>
      <c r="WGX677" s="37"/>
      <c r="WGY677" s="37"/>
      <c r="WGZ677" s="37"/>
      <c r="WHA677" s="37"/>
      <c r="WHB677" s="37"/>
      <c r="WHC677" s="37"/>
      <c r="WHD677" s="37"/>
      <c r="WHE677" s="37"/>
      <c r="WHF677" s="37"/>
      <c r="WHG677" s="37"/>
      <c r="WHH677" s="37"/>
      <c r="WHI677" s="37"/>
      <c r="WHJ677" s="37"/>
      <c r="WHK677" s="37"/>
      <c r="WHL677" s="37"/>
      <c r="WHM677" s="37"/>
      <c r="WHN677" s="37"/>
      <c r="WHO677" s="37"/>
      <c r="WHP677" s="37"/>
      <c r="WHQ677" s="37"/>
      <c r="WHR677" s="37"/>
      <c r="WHS677" s="37"/>
      <c r="WHT677" s="37"/>
      <c r="WHU677" s="37"/>
      <c r="WHV677" s="37"/>
      <c r="WHW677" s="37"/>
      <c r="WHX677" s="37"/>
      <c r="WHY677" s="37"/>
      <c r="WHZ677" s="37"/>
      <c r="WIA677" s="37"/>
      <c r="WIB677" s="37"/>
      <c r="WIC677" s="37"/>
      <c r="WID677" s="37"/>
      <c r="WIE677" s="37"/>
      <c r="WIF677" s="37"/>
      <c r="WIG677" s="37"/>
      <c r="WIH677" s="37"/>
      <c r="WII677" s="37"/>
      <c r="WIJ677" s="37"/>
      <c r="WIK677" s="37"/>
      <c r="WIL677" s="37"/>
      <c r="WIM677" s="37"/>
      <c r="WIN677" s="37"/>
      <c r="WIO677" s="37"/>
      <c r="WIP677" s="37"/>
      <c r="WIQ677" s="37"/>
      <c r="WIR677" s="37"/>
      <c r="WIS677" s="37"/>
      <c r="WIT677" s="37"/>
      <c r="WIU677" s="37"/>
      <c r="WIV677" s="37"/>
      <c r="WIW677" s="37"/>
      <c r="WIX677" s="37"/>
      <c r="WIY677" s="37"/>
      <c r="WIZ677" s="37"/>
      <c r="WJA677" s="37"/>
      <c r="WJB677" s="37"/>
      <c r="WJC677" s="37"/>
      <c r="WJD677" s="37"/>
      <c r="WJE677" s="37"/>
      <c r="WJF677" s="37"/>
      <c r="WJG677" s="37"/>
      <c r="WJH677" s="37"/>
      <c r="WJI677" s="37"/>
    </row>
    <row r="678" spans="1:15817" x14ac:dyDescent="0.2">
      <c r="A678" s="96" t="str">
        <f>+A425</f>
        <v>Encore - Jericho - Landfill</v>
      </c>
      <c r="C678" s="37">
        <v>152.16398631945611</v>
      </c>
      <c r="D678" s="37">
        <v>184.21139360559198</v>
      </c>
      <c r="E678" s="37">
        <v>262.62457530189107</v>
      </c>
      <c r="F678" s="37">
        <v>268.69920478444152</v>
      </c>
      <c r="G678" s="37">
        <v>307.28472847122794</v>
      </c>
      <c r="H678" s="37">
        <v>299.2497528085234</v>
      </c>
      <c r="I678" s="37">
        <v>307.67837274710365</v>
      </c>
      <c r="J678" s="37">
        <v>286.28920743399067</v>
      </c>
      <c r="K678" s="37">
        <v>235.06618130817932</v>
      </c>
      <c r="L678" s="37">
        <v>160.47507902683893</v>
      </c>
      <c r="M678" s="37">
        <v>123.46434840065945</v>
      </c>
      <c r="N678" s="37">
        <v>108.66013821401744</v>
      </c>
      <c r="O678" s="37">
        <f t="shared" ref="O678:Z678" si="367">+O427</f>
        <v>12.326000000000001</v>
      </c>
      <c r="P678" s="37">
        <f t="shared" si="367"/>
        <v>117.473</v>
      </c>
      <c r="Q678" s="37">
        <f t="shared" si="367"/>
        <v>135.81700000000001</v>
      </c>
      <c r="R678" s="37">
        <f t="shared" si="367"/>
        <v>96.929000000000002</v>
      </c>
      <c r="S678" s="37">
        <f t="shared" si="367"/>
        <v>217.32900000000001</v>
      </c>
      <c r="T678" s="37">
        <f t="shared" si="367"/>
        <v>253.636</v>
      </c>
      <c r="U678" s="37">
        <f t="shared" si="367"/>
        <v>32.783999999999999</v>
      </c>
      <c r="V678" s="37">
        <f t="shared" si="367"/>
        <v>188.60599999999999</v>
      </c>
      <c r="W678" s="37">
        <f t="shared" si="367"/>
        <v>154.80099999999999</v>
      </c>
      <c r="X678" s="37">
        <f t="shared" si="367"/>
        <v>88.379000000000005</v>
      </c>
      <c r="Y678" s="37">
        <f t="shared" si="367"/>
        <v>54.585000000000001</v>
      </c>
      <c r="Z678" s="37">
        <f t="shared" si="367"/>
        <v>4.6399999999999997</v>
      </c>
      <c r="AA678" s="37"/>
      <c r="AB678" s="37"/>
      <c r="AC678" s="37"/>
      <c r="AD678" s="37"/>
      <c r="AE678" s="37"/>
      <c r="AF678" s="37"/>
      <c r="AG678" s="37"/>
      <c r="AH678" s="37"/>
      <c r="AI678" s="37"/>
      <c r="AJ678" s="37"/>
      <c r="AK678" s="37"/>
      <c r="AL678" s="37"/>
      <c r="AM678" s="37"/>
      <c r="AN678" s="37"/>
      <c r="AO678" s="37"/>
      <c r="AP678" s="37"/>
      <c r="AQ678" s="37"/>
      <c r="AR678" s="37"/>
      <c r="AS678" s="37"/>
      <c r="AT678" s="37"/>
      <c r="AU678" s="37"/>
      <c r="AV678" s="37"/>
      <c r="AW678" s="37"/>
      <c r="AX678" s="37"/>
      <c r="AY678" s="37"/>
      <c r="AZ678" s="37"/>
      <c r="BA678" s="37"/>
      <c r="BB678" s="37"/>
      <c r="BC678" s="37"/>
      <c r="BD678" s="37"/>
      <c r="BE678" s="37"/>
      <c r="BF678" s="37"/>
      <c r="BG678" s="37"/>
      <c r="BH678" s="37"/>
      <c r="BI678" s="37"/>
      <c r="BJ678" s="37"/>
      <c r="BK678" s="37"/>
      <c r="BL678" s="37"/>
      <c r="BM678" s="37"/>
      <c r="BN678" s="37"/>
      <c r="BO678" s="37"/>
      <c r="BP678" s="37"/>
      <c r="BQ678" s="37"/>
      <c r="BR678" s="37"/>
      <c r="BS678" s="37"/>
      <c r="BT678" s="37"/>
      <c r="BU678" s="37"/>
      <c r="BV678" s="37"/>
      <c r="BW678" s="37"/>
      <c r="BX678" s="37"/>
      <c r="BY678" s="37"/>
      <c r="BZ678" s="37"/>
      <c r="CA678" s="37"/>
      <c r="CB678" s="37"/>
      <c r="CC678" s="37"/>
      <c r="CD678" s="37"/>
      <c r="CE678" s="37"/>
      <c r="CF678" s="37"/>
      <c r="CG678" s="37"/>
      <c r="CH678" s="37"/>
      <c r="CI678" s="37"/>
      <c r="CJ678" s="37"/>
      <c r="CK678" s="37"/>
      <c r="CL678" s="37"/>
      <c r="CM678" s="37"/>
      <c r="CN678" s="37"/>
      <c r="CO678" s="37"/>
      <c r="CP678" s="37"/>
      <c r="CQ678" s="37"/>
      <c r="CR678" s="37"/>
      <c r="CS678" s="37"/>
      <c r="CT678" s="37"/>
      <c r="CU678" s="37"/>
      <c r="CV678" s="37"/>
      <c r="CW678" s="37"/>
      <c r="CX678" s="37"/>
      <c r="CY678" s="37"/>
      <c r="CZ678" s="37"/>
      <c r="DA678" s="37"/>
      <c r="DB678" s="37"/>
      <c r="DC678" s="37"/>
      <c r="DD678" s="37"/>
      <c r="DE678" s="37"/>
      <c r="DF678" s="37"/>
      <c r="DG678" s="37"/>
      <c r="DH678" s="37"/>
      <c r="DI678" s="37"/>
      <c r="DJ678" s="37"/>
      <c r="DK678" s="37"/>
      <c r="DL678" s="37"/>
      <c r="DM678" s="37"/>
      <c r="DN678" s="37"/>
      <c r="DO678" s="37"/>
      <c r="DP678" s="37"/>
      <c r="DQ678" s="37"/>
      <c r="DR678" s="37"/>
      <c r="DS678" s="37"/>
      <c r="DT678" s="37"/>
      <c r="DU678" s="37"/>
      <c r="DV678" s="37"/>
      <c r="DW678" s="37"/>
      <c r="DX678" s="37"/>
      <c r="DY678" s="37"/>
      <c r="DZ678" s="37"/>
      <c r="EA678" s="37"/>
      <c r="EB678" s="37"/>
      <c r="EC678" s="37"/>
      <c r="ED678" s="37"/>
      <c r="EE678" s="37"/>
      <c r="EF678" s="37"/>
      <c r="EG678" s="37"/>
      <c r="EH678" s="37"/>
      <c r="EI678" s="37"/>
      <c r="EJ678" s="37"/>
      <c r="EK678" s="37"/>
      <c r="EL678" s="37"/>
      <c r="EM678" s="37"/>
      <c r="EN678" s="37"/>
      <c r="EO678" s="37"/>
      <c r="EP678" s="37"/>
      <c r="EQ678" s="37"/>
      <c r="ER678" s="37"/>
      <c r="ES678" s="37"/>
      <c r="ET678" s="37"/>
      <c r="EU678" s="37"/>
      <c r="EV678" s="37"/>
      <c r="EW678" s="37"/>
      <c r="EX678" s="37"/>
      <c r="EY678" s="37"/>
      <c r="EZ678" s="37"/>
      <c r="FA678" s="37"/>
      <c r="FB678" s="37"/>
      <c r="FC678" s="37"/>
      <c r="FD678" s="37"/>
      <c r="FE678" s="37"/>
      <c r="FF678" s="37"/>
      <c r="FG678" s="37"/>
      <c r="FH678" s="37"/>
      <c r="FI678" s="37"/>
      <c r="FJ678" s="37"/>
      <c r="FK678" s="37"/>
      <c r="FL678" s="37"/>
      <c r="FM678" s="37"/>
      <c r="FN678" s="37"/>
      <c r="FO678" s="37"/>
      <c r="FP678" s="37"/>
      <c r="FQ678" s="37"/>
      <c r="FR678" s="37"/>
      <c r="FS678" s="37"/>
      <c r="FT678" s="37"/>
      <c r="FU678" s="37"/>
      <c r="FV678" s="37"/>
      <c r="FW678" s="37"/>
      <c r="FX678" s="37"/>
      <c r="FY678" s="37"/>
      <c r="FZ678" s="37"/>
      <c r="GA678" s="37"/>
      <c r="GB678" s="37"/>
      <c r="GC678" s="37"/>
      <c r="GD678" s="37"/>
      <c r="GE678" s="37"/>
      <c r="GF678" s="37"/>
      <c r="GG678" s="37"/>
      <c r="GH678" s="37"/>
      <c r="GI678" s="37"/>
      <c r="GJ678" s="37"/>
      <c r="GK678" s="37"/>
      <c r="GL678" s="37"/>
      <c r="GM678" s="37"/>
      <c r="GN678" s="37"/>
      <c r="GO678" s="37"/>
      <c r="GP678" s="37"/>
      <c r="GQ678" s="37"/>
      <c r="GR678" s="37"/>
      <c r="GS678" s="37"/>
      <c r="GT678" s="37"/>
      <c r="GU678" s="37"/>
      <c r="GV678" s="37"/>
      <c r="GW678" s="37"/>
      <c r="GX678" s="37"/>
      <c r="GY678" s="37"/>
      <c r="GZ678" s="37"/>
      <c r="HA678" s="37"/>
      <c r="HB678" s="37"/>
      <c r="HC678" s="37"/>
      <c r="HD678" s="37"/>
      <c r="HE678" s="37"/>
      <c r="HF678" s="37"/>
      <c r="HG678" s="37"/>
      <c r="HH678" s="37"/>
      <c r="HI678" s="37"/>
      <c r="HJ678" s="37"/>
      <c r="HK678" s="37"/>
      <c r="HL678" s="37"/>
      <c r="HM678" s="37"/>
      <c r="HN678" s="37"/>
      <c r="HO678" s="37"/>
      <c r="HP678" s="37"/>
      <c r="HQ678" s="37"/>
      <c r="HR678" s="37"/>
      <c r="HS678" s="37"/>
      <c r="HT678" s="37"/>
      <c r="HU678" s="37"/>
      <c r="HV678" s="37"/>
      <c r="HW678" s="37"/>
      <c r="HX678" s="37"/>
      <c r="HY678" s="37"/>
      <c r="HZ678" s="37"/>
      <c r="IA678" s="37"/>
      <c r="IB678" s="37"/>
      <c r="IC678" s="37"/>
      <c r="ID678" s="37"/>
      <c r="IE678" s="37"/>
      <c r="IF678" s="37"/>
      <c r="IG678" s="37"/>
      <c r="IH678" s="37"/>
      <c r="II678" s="37"/>
      <c r="IJ678" s="37"/>
      <c r="IK678" s="37"/>
      <c r="IL678" s="37"/>
      <c r="IM678" s="37"/>
      <c r="IN678" s="37"/>
      <c r="IO678" s="37"/>
      <c r="IP678" s="37"/>
      <c r="IQ678" s="37"/>
      <c r="IR678" s="37"/>
      <c r="IS678" s="37"/>
      <c r="IT678" s="37"/>
      <c r="IU678" s="37"/>
      <c r="IV678" s="37"/>
      <c r="IW678" s="37"/>
      <c r="IX678" s="37"/>
      <c r="IY678" s="37"/>
      <c r="IZ678" s="37"/>
      <c r="JA678" s="37"/>
      <c r="JB678" s="37"/>
      <c r="JC678" s="37"/>
      <c r="JD678" s="37"/>
      <c r="JE678" s="37"/>
      <c r="JF678" s="37"/>
      <c r="JG678" s="37"/>
      <c r="JH678" s="37"/>
      <c r="JI678" s="37"/>
      <c r="JJ678" s="37"/>
      <c r="JK678" s="37"/>
      <c r="JL678" s="37"/>
      <c r="JM678" s="37"/>
      <c r="JN678" s="37"/>
      <c r="JO678" s="37"/>
      <c r="JP678" s="37"/>
      <c r="JQ678" s="37"/>
      <c r="JR678" s="37"/>
      <c r="JS678" s="37"/>
      <c r="JT678" s="37"/>
      <c r="JU678" s="37"/>
      <c r="JV678" s="37"/>
      <c r="JW678" s="37"/>
      <c r="JX678" s="37"/>
      <c r="JY678" s="37"/>
      <c r="JZ678" s="37"/>
      <c r="KA678" s="37"/>
      <c r="KB678" s="37"/>
      <c r="KC678" s="37"/>
      <c r="KD678" s="37"/>
      <c r="KE678" s="37"/>
      <c r="KF678" s="37"/>
      <c r="KG678" s="37"/>
      <c r="KH678" s="37"/>
      <c r="KI678" s="37"/>
      <c r="KJ678" s="37"/>
      <c r="KK678" s="37"/>
      <c r="KL678" s="37"/>
      <c r="KM678" s="37"/>
      <c r="KN678" s="37"/>
      <c r="KO678" s="37"/>
      <c r="KP678" s="37"/>
      <c r="KQ678" s="37"/>
      <c r="KR678" s="37"/>
      <c r="KS678" s="37"/>
      <c r="KT678" s="37"/>
      <c r="KU678" s="37"/>
      <c r="KV678" s="37"/>
      <c r="KW678" s="37"/>
      <c r="KX678" s="37"/>
      <c r="KY678" s="37"/>
      <c r="KZ678" s="37"/>
      <c r="LA678" s="37"/>
      <c r="LB678" s="37"/>
      <c r="LC678" s="37"/>
      <c r="LD678" s="37"/>
      <c r="LE678" s="37"/>
      <c r="LF678" s="37"/>
      <c r="LG678" s="37"/>
      <c r="LH678" s="37"/>
      <c r="LI678" s="37"/>
      <c r="LJ678" s="37"/>
      <c r="LK678" s="37"/>
      <c r="LL678" s="37"/>
      <c r="LM678" s="37"/>
      <c r="LN678" s="37"/>
      <c r="LO678" s="37"/>
      <c r="LP678" s="37"/>
      <c r="LQ678" s="37"/>
      <c r="LR678" s="37"/>
      <c r="LS678" s="37"/>
      <c r="LT678" s="37"/>
      <c r="LU678" s="37"/>
      <c r="LV678" s="37"/>
      <c r="LW678" s="37"/>
      <c r="LX678" s="37"/>
      <c r="LY678" s="37"/>
      <c r="LZ678" s="37"/>
      <c r="MA678" s="37"/>
      <c r="MB678" s="37"/>
      <c r="MC678" s="37"/>
      <c r="MD678" s="37"/>
      <c r="ME678" s="37"/>
      <c r="MF678" s="37"/>
      <c r="MG678" s="37"/>
      <c r="MH678" s="37"/>
      <c r="MI678" s="37"/>
      <c r="MJ678" s="37"/>
      <c r="MK678" s="37"/>
      <c r="ML678" s="37"/>
      <c r="MM678" s="37"/>
      <c r="MN678" s="37"/>
      <c r="MO678" s="37"/>
      <c r="MP678" s="37"/>
      <c r="MQ678" s="37"/>
      <c r="MR678" s="37"/>
      <c r="MS678" s="37"/>
      <c r="MT678" s="37"/>
      <c r="MU678" s="37"/>
      <c r="MV678" s="37"/>
      <c r="MW678" s="37"/>
      <c r="MX678" s="37"/>
      <c r="MY678" s="37"/>
      <c r="MZ678" s="37"/>
      <c r="NA678" s="37"/>
      <c r="NB678" s="37"/>
      <c r="NC678" s="37"/>
      <c r="ND678" s="37"/>
      <c r="NE678" s="37"/>
      <c r="NF678" s="37"/>
      <c r="NG678" s="37"/>
      <c r="NH678" s="37"/>
      <c r="NI678" s="37"/>
      <c r="NJ678" s="37"/>
      <c r="NK678" s="37"/>
      <c r="NL678" s="37"/>
      <c r="NM678" s="37"/>
      <c r="NN678" s="37"/>
      <c r="NO678" s="37"/>
      <c r="NP678" s="37"/>
      <c r="NQ678" s="37"/>
      <c r="NR678" s="37"/>
      <c r="NS678" s="37"/>
      <c r="NT678" s="37"/>
      <c r="NU678" s="37"/>
      <c r="NV678" s="37"/>
      <c r="NW678" s="37"/>
      <c r="NX678" s="37"/>
      <c r="NY678" s="37"/>
      <c r="NZ678" s="37"/>
      <c r="OA678" s="37"/>
      <c r="OB678" s="37"/>
      <c r="OC678" s="37"/>
      <c r="OD678" s="37"/>
      <c r="OE678" s="37"/>
      <c r="OF678" s="37"/>
      <c r="OG678" s="37"/>
      <c r="OH678" s="37"/>
      <c r="OI678" s="37"/>
      <c r="OJ678" s="37"/>
      <c r="OK678" s="37"/>
      <c r="OL678" s="37"/>
      <c r="OM678" s="37"/>
      <c r="ON678" s="37"/>
      <c r="OO678" s="37"/>
      <c r="OP678" s="37"/>
      <c r="OQ678" s="37"/>
      <c r="OR678" s="37"/>
      <c r="OS678" s="37"/>
      <c r="OT678" s="37"/>
      <c r="OU678" s="37"/>
      <c r="OV678" s="37"/>
      <c r="OW678" s="37"/>
      <c r="OX678" s="37"/>
      <c r="OY678" s="37"/>
      <c r="OZ678" s="37"/>
      <c r="PA678" s="37"/>
      <c r="PB678" s="37"/>
      <c r="PC678" s="37"/>
      <c r="PD678" s="37"/>
      <c r="PE678" s="37"/>
      <c r="PF678" s="37"/>
      <c r="PG678" s="37"/>
      <c r="PH678" s="37"/>
      <c r="PI678" s="37"/>
      <c r="PJ678" s="37"/>
      <c r="PK678" s="37"/>
      <c r="PL678" s="37"/>
      <c r="PM678" s="37"/>
      <c r="PN678" s="37"/>
      <c r="PO678" s="37"/>
      <c r="PP678" s="37"/>
      <c r="PQ678" s="37"/>
      <c r="PR678" s="37"/>
      <c r="PS678" s="37"/>
      <c r="PT678" s="37"/>
      <c r="PU678" s="37"/>
      <c r="PV678" s="37"/>
      <c r="PW678" s="37"/>
      <c r="PX678" s="37"/>
      <c r="PY678" s="37"/>
      <c r="PZ678" s="37"/>
      <c r="QA678" s="37"/>
      <c r="QB678" s="37"/>
      <c r="QC678" s="37"/>
      <c r="QD678" s="37"/>
      <c r="QE678" s="37"/>
      <c r="QF678" s="37"/>
      <c r="QG678" s="37"/>
      <c r="QH678" s="37"/>
      <c r="QI678" s="37"/>
      <c r="QJ678" s="37"/>
      <c r="QK678" s="37"/>
      <c r="QL678" s="37"/>
      <c r="QM678" s="37"/>
      <c r="QN678" s="37"/>
      <c r="QO678" s="37"/>
      <c r="QP678" s="37"/>
      <c r="QQ678" s="37"/>
      <c r="QR678" s="37"/>
      <c r="QS678" s="37"/>
      <c r="QT678" s="37"/>
      <c r="QU678" s="37"/>
      <c r="QV678" s="37"/>
      <c r="QW678" s="37"/>
      <c r="QX678" s="37"/>
      <c r="QY678" s="37"/>
      <c r="QZ678" s="37"/>
      <c r="RA678" s="37"/>
      <c r="RB678" s="37"/>
      <c r="RC678" s="37"/>
      <c r="RD678" s="37"/>
      <c r="RE678" s="37"/>
      <c r="RF678" s="37"/>
      <c r="RG678" s="37"/>
      <c r="RH678" s="37"/>
      <c r="RI678" s="37"/>
      <c r="RJ678" s="37"/>
      <c r="RK678" s="37"/>
      <c r="RL678" s="37"/>
      <c r="RM678" s="37"/>
      <c r="RN678" s="37"/>
      <c r="RO678" s="37"/>
      <c r="RP678" s="37"/>
      <c r="RQ678" s="37"/>
      <c r="RR678" s="37"/>
      <c r="RS678" s="37"/>
      <c r="RT678" s="37"/>
      <c r="RU678" s="37"/>
      <c r="RV678" s="37"/>
      <c r="RW678" s="37"/>
      <c r="RX678" s="37"/>
      <c r="RY678" s="37"/>
      <c r="RZ678" s="37"/>
      <c r="SA678" s="37"/>
      <c r="SB678" s="37"/>
      <c r="SC678" s="37"/>
      <c r="SD678" s="37"/>
      <c r="SE678" s="37"/>
      <c r="SF678" s="37"/>
      <c r="SG678" s="37"/>
      <c r="SH678" s="37"/>
      <c r="SI678" s="37"/>
      <c r="SJ678" s="37"/>
      <c r="SK678" s="37"/>
      <c r="SL678" s="37"/>
      <c r="SM678" s="37"/>
      <c r="SN678" s="37"/>
      <c r="SO678" s="37"/>
      <c r="SP678" s="37"/>
      <c r="SQ678" s="37"/>
      <c r="SR678" s="37"/>
      <c r="SS678" s="37"/>
      <c r="ST678" s="37"/>
      <c r="SU678" s="37"/>
      <c r="SV678" s="37"/>
      <c r="SW678" s="37"/>
      <c r="SX678" s="37"/>
      <c r="SY678" s="37"/>
      <c r="SZ678" s="37"/>
      <c r="TA678" s="37"/>
      <c r="TB678" s="37"/>
      <c r="TC678" s="37"/>
      <c r="TD678" s="37"/>
      <c r="TE678" s="37"/>
      <c r="TF678" s="37"/>
      <c r="TG678" s="37"/>
      <c r="TH678" s="37"/>
      <c r="TI678" s="37"/>
      <c r="TJ678" s="37"/>
      <c r="TK678" s="37"/>
      <c r="TL678" s="37"/>
      <c r="TM678" s="37"/>
      <c r="TN678" s="37"/>
      <c r="TO678" s="37"/>
      <c r="TP678" s="37"/>
      <c r="TQ678" s="37"/>
      <c r="TR678" s="37"/>
      <c r="TS678" s="37"/>
      <c r="TT678" s="37"/>
      <c r="TU678" s="37"/>
      <c r="TV678" s="37"/>
      <c r="TW678" s="37"/>
      <c r="TX678" s="37"/>
      <c r="TY678" s="37"/>
      <c r="TZ678" s="37"/>
      <c r="UA678" s="37"/>
      <c r="UB678" s="37"/>
      <c r="UC678" s="37"/>
      <c r="UD678" s="37"/>
      <c r="UE678" s="37"/>
      <c r="UF678" s="37"/>
      <c r="UG678" s="37"/>
      <c r="UH678" s="37"/>
      <c r="UI678" s="37"/>
      <c r="UJ678" s="37"/>
      <c r="UK678" s="37"/>
      <c r="UL678" s="37"/>
      <c r="UM678" s="37"/>
      <c r="UN678" s="37"/>
      <c r="UO678" s="37"/>
      <c r="UP678" s="37"/>
      <c r="UQ678" s="37"/>
      <c r="UR678" s="37"/>
      <c r="US678" s="37"/>
      <c r="UT678" s="37"/>
      <c r="UU678" s="37"/>
      <c r="UV678" s="37"/>
      <c r="UW678" s="37"/>
      <c r="UX678" s="37"/>
      <c r="UY678" s="37"/>
      <c r="UZ678" s="37"/>
      <c r="VA678" s="37"/>
      <c r="VB678" s="37"/>
      <c r="VC678" s="37"/>
      <c r="VD678" s="37"/>
      <c r="VE678" s="37"/>
      <c r="VF678" s="37"/>
      <c r="VG678" s="37"/>
      <c r="VH678" s="37"/>
      <c r="VI678" s="37"/>
      <c r="VJ678" s="37"/>
      <c r="VK678" s="37"/>
      <c r="VL678" s="37"/>
      <c r="VM678" s="37"/>
      <c r="VN678" s="37"/>
      <c r="VO678" s="37"/>
      <c r="VP678" s="37"/>
      <c r="VQ678" s="37"/>
      <c r="VR678" s="37"/>
      <c r="VS678" s="37"/>
      <c r="VT678" s="37"/>
      <c r="VU678" s="37"/>
      <c r="VV678" s="37"/>
      <c r="VW678" s="37"/>
      <c r="VX678" s="37"/>
      <c r="VY678" s="37"/>
      <c r="VZ678" s="37"/>
      <c r="WA678" s="37"/>
      <c r="WB678" s="37"/>
      <c r="WC678" s="37"/>
      <c r="WD678" s="37"/>
      <c r="WE678" s="37"/>
      <c r="WF678" s="37"/>
      <c r="WG678" s="37"/>
      <c r="WH678" s="37"/>
      <c r="WI678" s="37"/>
      <c r="WJ678" s="37"/>
      <c r="WK678" s="37"/>
      <c r="WL678" s="37"/>
      <c r="WM678" s="37"/>
      <c r="WN678" s="37"/>
      <c r="WO678" s="37"/>
      <c r="WP678" s="37"/>
      <c r="WQ678" s="37"/>
      <c r="WR678" s="37"/>
      <c r="WS678" s="37"/>
      <c r="WT678" s="37"/>
      <c r="WU678" s="37"/>
      <c r="WV678" s="37"/>
      <c r="WW678" s="37"/>
      <c r="WX678" s="37"/>
      <c r="WY678" s="37"/>
      <c r="WZ678" s="37"/>
      <c r="XA678" s="37"/>
      <c r="XB678" s="37"/>
      <c r="XC678" s="37"/>
      <c r="XD678" s="37"/>
      <c r="XE678" s="37"/>
      <c r="XF678" s="37"/>
      <c r="XG678" s="37"/>
      <c r="XH678" s="37"/>
      <c r="XI678" s="37"/>
      <c r="XJ678" s="37"/>
      <c r="XK678" s="37"/>
      <c r="XL678" s="37"/>
      <c r="XM678" s="37"/>
      <c r="XN678" s="37"/>
      <c r="XO678" s="37"/>
      <c r="XP678" s="37"/>
      <c r="XQ678" s="37"/>
      <c r="XR678" s="37"/>
      <c r="XS678" s="37"/>
      <c r="XT678" s="37"/>
      <c r="XU678" s="37"/>
      <c r="XV678" s="37"/>
      <c r="XW678" s="37"/>
      <c r="XX678" s="37"/>
      <c r="XY678" s="37"/>
      <c r="XZ678" s="37"/>
      <c r="YA678" s="37"/>
      <c r="YB678" s="37"/>
      <c r="YC678" s="37"/>
      <c r="YD678" s="37"/>
      <c r="YE678" s="37"/>
      <c r="YF678" s="37"/>
      <c r="YG678" s="37"/>
      <c r="YH678" s="37"/>
      <c r="YI678" s="37"/>
      <c r="YJ678" s="37"/>
      <c r="YK678" s="37"/>
      <c r="YL678" s="37"/>
      <c r="YM678" s="37"/>
      <c r="YN678" s="37"/>
      <c r="YO678" s="37"/>
      <c r="YP678" s="37"/>
      <c r="YQ678" s="37"/>
      <c r="YR678" s="37"/>
      <c r="YS678" s="37"/>
      <c r="YT678" s="37"/>
      <c r="YU678" s="37"/>
      <c r="YV678" s="37"/>
      <c r="YW678" s="37"/>
      <c r="YX678" s="37"/>
      <c r="YY678" s="37"/>
      <c r="YZ678" s="37"/>
      <c r="ZA678" s="37"/>
      <c r="ZB678" s="37"/>
      <c r="ZC678" s="37"/>
      <c r="ZD678" s="37"/>
      <c r="ZE678" s="37"/>
      <c r="ZF678" s="37"/>
      <c r="ZG678" s="37"/>
      <c r="ZH678" s="37"/>
      <c r="ZI678" s="37"/>
      <c r="ZJ678" s="37"/>
      <c r="ZK678" s="37"/>
      <c r="ZL678" s="37"/>
      <c r="ZM678" s="37"/>
      <c r="ZN678" s="37"/>
      <c r="ZO678" s="37"/>
      <c r="ZP678" s="37"/>
      <c r="ZQ678" s="37"/>
      <c r="ZR678" s="37"/>
      <c r="ZS678" s="37"/>
      <c r="ZT678" s="37"/>
      <c r="ZU678" s="37"/>
      <c r="ZV678" s="37"/>
      <c r="ZW678" s="37"/>
      <c r="ZX678" s="37"/>
      <c r="ZY678" s="37"/>
      <c r="ZZ678" s="37"/>
      <c r="AAA678" s="37"/>
      <c r="AAB678" s="37"/>
      <c r="AAC678" s="37"/>
      <c r="AAD678" s="37"/>
      <c r="AAE678" s="37"/>
      <c r="AAF678" s="37"/>
      <c r="AAG678" s="37"/>
      <c r="AAH678" s="37"/>
      <c r="AAI678" s="37"/>
      <c r="AAJ678" s="37"/>
      <c r="AAK678" s="37"/>
      <c r="AAL678" s="37"/>
      <c r="AAM678" s="37"/>
      <c r="AAN678" s="37"/>
      <c r="AAO678" s="37"/>
      <c r="AAP678" s="37"/>
      <c r="AAQ678" s="37"/>
      <c r="AAR678" s="37"/>
      <c r="AAS678" s="37"/>
      <c r="AAT678" s="37"/>
      <c r="AAU678" s="37"/>
      <c r="AAV678" s="37"/>
      <c r="AAW678" s="37"/>
      <c r="AAX678" s="37"/>
      <c r="AAY678" s="37"/>
      <c r="AAZ678" s="37"/>
      <c r="ABA678" s="37"/>
      <c r="ABB678" s="37"/>
      <c r="ABC678" s="37"/>
      <c r="ABD678" s="37"/>
      <c r="ABE678" s="37"/>
      <c r="ABF678" s="37"/>
      <c r="ABG678" s="37"/>
      <c r="ABH678" s="37"/>
      <c r="ABI678" s="37"/>
      <c r="ABJ678" s="37"/>
      <c r="ABK678" s="37"/>
      <c r="ABL678" s="37"/>
      <c r="ABM678" s="37"/>
      <c r="ABN678" s="37"/>
      <c r="ABO678" s="37"/>
      <c r="ABP678" s="37"/>
      <c r="ABQ678" s="37"/>
      <c r="ABR678" s="37"/>
      <c r="ABS678" s="37"/>
      <c r="ABT678" s="37"/>
      <c r="ABU678" s="37"/>
      <c r="ABV678" s="37"/>
      <c r="ABW678" s="37"/>
      <c r="ABX678" s="37"/>
      <c r="ABY678" s="37"/>
      <c r="ABZ678" s="37"/>
      <c r="ACA678" s="37"/>
      <c r="ACB678" s="37"/>
      <c r="ACC678" s="37"/>
      <c r="ACD678" s="37"/>
      <c r="ACE678" s="37"/>
      <c r="ACF678" s="37"/>
      <c r="ACG678" s="37"/>
      <c r="ACH678" s="37"/>
      <c r="ACI678" s="37"/>
      <c r="ACJ678" s="37"/>
      <c r="ACK678" s="37"/>
      <c r="ACL678" s="37"/>
      <c r="ACM678" s="37"/>
      <c r="ACN678" s="37"/>
      <c r="ACO678" s="37"/>
      <c r="ACP678" s="37"/>
      <c r="ACQ678" s="37"/>
      <c r="ACR678" s="37"/>
      <c r="ACS678" s="37"/>
      <c r="ACT678" s="37"/>
      <c r="ACU678" s="37"/>
      <c r="ACV678" s="37"/>
      <c r="ACW678" s="37"/>
      <c r="ACX678" s="37"/>
      <c r="ACY678" s="37"/>
      <c r="ACZ678" s="37"/>
      <c r="ADA678" s="37"/>
      <c r="ADB678" s="37"/>
      <c r="ADC678" s="37"/>
      <c r="ADD678" s="37"/>
      <c r="ADE678" s="37"/>
      <c r="ADF678" s="37"/>
      <c r="ADG678" s="37"/>
      <c r="ADH678" s="37"/>
      <c r="ADI678" s="37"/>
      <c r="ADJ678" s="37"/>
      <c r="ADK678" s="37"/>
      <c r="ADL678" s="37"/>
      <c r="ADM678" s="37"/>
      <c r="ADN678" s="37"/>
      <c r="ADO678" s="37"/>
      <c r="ADP678" s="37"/>
      <c r="ADQ678" s="37"/>
      <c r="ADR678" s="37"/>
      <c r="ADS678" s="37"/>
      <c r="ADT678" s="37"/>
      <c r="ADU678" s="37"/>
      <c r="ADV678" s="37"/>
      <c r="ADW678" s="37"/>
      <c r="ADX678" s="37"/>
      <c r="ADY678" s="37"/>
      <c r="ADZ678" s="37"/>
      <c r="AEA678" s="37"/>
      <c r="AEB678" s="37"/>
      <c r="AEC678" s="37"/>
      <c r="AED678" s="37"/>
      <c r="AEE678" s="37"/>
      <c r="AEF678" s="37"/>
      <c r="AEG678" s="37"/>
      <c r="AEH678" s="37"/>
      <c r="AEI678" s="37"/>
      <c r="AEJ678" s="37"/>
      <c r="AEK678" s="37"/>
      <c r="AEL678" s="37"/>
      <c r="AEM678" s="37"/>
      <c r="AEN678" s="37"/>
      <c r="AEO678" s="37"/>
      <c r="AEP678" s="37"/>
      <c r="AEQ678" s="37"/>
      <c r="AER678" s="37"/>
      <c r="AES678" s="37"/>
      <c r="AET678" s="37"/>
      <c r="AEU678" s="37"/>
      <c r="AEV678" s="37"/>
      <c r="AEW678" s="37"/>
      <c r="AEX678" s="37"/>
      <c r="AEY678" s="37"/>
      <c r="AEZ678" s="37"/>
      <c r="AFA678" s="37"/>
      <c r="AFB678" s="37"/>
      <c r="AFC678" s="37"/>
      <c r="AFD678" s="37"/>
      <c r="AFE678" s="37"/>
      <c r="AFF678" s="37"/>
      <c r="AFG678" s="37"/>
      <c r="AFH678" s="37"/>
      <c r="AFI678" s="37"/>
      <c r="AFJ678" s="37"/>
      <c r="AFK678" s="37"/>
      <c r="AFL678" s="37"/>
      <c r="AFM678" s="37"/>
      <c r="AFN678" s="37"/>
      <c r="AFO678" s="37"/>
      <c r="AFP678" s="37"/>
      <c r="AFQ678" s="37"/>
      <c r="AFR678" s="37"/>
      <c r="AFS678" s="37"/>
      <c r="AFT678" s="37"/>
      <c r="AFU678" s="37"/>
      <c r="AFV678" s="37"/>
      <c r="AFW678" s="37"/>
      <c r="AFX678" s="37"/>
      <c r="AFY678" s="37"/>
      <c r="AFZ678" s="37"/>
      <c r="AGA678" s="37"/>
      <c r="AGB678" s="37"/>
      <c r="AGC678" s="37"/>
      <c r="AGD678" s="37"/>
      <c r="AGE678" s="37"/>
      <c r="AGF678" s="37"/>
      <c r="AGG678" s="37"/>
      <c r="AGH678" s="37"/>
      <c r="AGI678" s="37"/>
      <c r="AGJ678" s="37"/>
      <c r="AGK678" s="37"/>
      <c r="AGL678" s="37"/>
      <c r="AGM678" s="37"/>
      <c r="AGN678" s="37"/>
      <c r="AGO678" s="37"/>
      <c r="AGP678" s="37"/>
      <c r="AGQ678" s="37"/>
      <c r="AGR678" s="37"/>
      <c r="AGS678" s="37"/>
      <c r="AGT678" s="37"/>
      <c r="AGU678" s="37"/>
      <c r="AGV678" s="37"/>
      <c r="AGW678" s="37"/>
      <c r="AGX678" s="37"/>
      <c r="AGY678" s="37"/>
      <c r="AGZ678" s="37"/>
      <c r="AHA678" s="37"/>
      <c r="AHB678" s="37"/>
      <c r="AHC678" s="37"/>
      <c r="AHD678" s="37"/>
      <c r="AHE678" s="37"/>
      <c r="AHF678" s="37"/>
      <c r="AHG678" s="37"/>
      <c r="AHH678" s="37"/>
      <c r="AHI678" s="37"/>
      <c r="AHJ678" s="37"/>
      <c r="AHK678" s="37"/>
      <c r="AHL678" s="37"/>
      <c r="AHM678" s="37"/>
      <c r="AHN678" s="37"/>
      <c r="AHO678" s="37"/>
      <c r="AHP678" s="37"/>
      <c r="AHQ678" s="37"/>
      <c r="AHR678" s="37"/>
      <c r="AHS678" s="37"/>
      <c r="AHT678" s="37"/>
      <c r="AHU678" s="37"/>
      <c r="AHV678" s="37"/>
      <c r="AHW678" s="37"/>
      <c r="AHX678" s="37"/>
      <c r="AHY678" s="37"/>
      <c r="AHZ678" s="37"/>
      <c r="AIA678" s="37"/>
      <c r="AIB678" s="37"/>
      <c r="AIC678" s="37"/>
      <c r="AID678" s="37"/>
      <c r="AIE678" s="37"/>
      <c r="AIF678" s="37"/>
      <c r="AIG678" s="37"/>
      <c r="AIH678" s="37"/>
      <c r="AII678" s="37"/>
      <c r="AIJ678" s="37"/>
      <c r="AIK678" s="37"/>
      <c r="AIL678" s="37"/>
      <c r="AIM678" s="37"/>
      <c r="AIN678" s="37"/>
      <c r="AIO678" s="37"/>
      <c r="AIP678" s="37"/>
      <c r="AIQ678" s="37"/>
      <c r="AIR678" s="37"/>
      <c r="AIS678" s="37"/>
      <c r="AIT678" s="37"/>
      <c r="AIU678" s="37"/>
      <c r="AIV678" s="37"/>
      <c r="AIW678" s="37"/>
      <c r="AIX678" s="37"/>
      <c r="AIY678" s="37"/>
      <c r="AIZ678" s="37"/>
      <c r="AJA678" s="37"/>
      <c r="AJB678" s="37"/>
      <c r="AJC678" s="37"/>
      <c r="AJD678" s="37"/>
      <c r="AJE678" s="37"/>
      <c r="AJF678" s="37"/>
      <c r="AJG678" s="37"/>
      <c r="AJH678" s="37"/>
      <c r="AJI678" s="37"/>
      <c r="AJJ678" s="37"/>
      <c r="AJK678" s="37"/>
      <c r="AJL678" s="37"/>
      <c r="AJM678" s="37"/>
      <c r="AJN678" s="37"/>
      <c r="AJO678" s="37"/>
      <c r="AJP678" s="37"/>
      <c r="AJQ678" s="37"/>
      <c r="AJR678" s="37"/>
      <c r="AJS678" s="37"/>
      <c r="AJT678" s="37"/>
      <c r="AJU678" s="37"/>
      <c r="AJV678" s="37"/>
      <c r="AJW678" s="37"/>
      <c r="AJX678" s="37"/>
      <c r="AJY678" s="37"/>
      <c r="AJZ678" s="37"/>
      <c r="AKA678" s="37"/>
      <c r="AKB678" s="37"/>
      <c r="AKC678" s="37"/>
      <c r="AKD678" s="37"/>
      <c r="AKE678" s="37"/>
      <c r="AKF678" s="37"/>
      <c r="AKG678" s="37"/>
      <c r="AKH678" s="37"/>
      <c r="AKI678" s="37"/>
      <c r="AKJ678" s="37"/>
      <c r="AKK678" s="37"/>
      <c r="AKL678" s="37"/>
      <c r="AKM678" s="37"/>
      <c r="AKN678" s="37"/>
      <c r="AKO678" s="37"/>
      <c r="AKP678" s="37"/>
      <c r="AKQ678" s="37"/>
      <c r="AKR678" s="37"/>
      <c r="AKS678" s="37"/>
      <c r="AKT678" s="37"/>
      <c r="AKU678" s="37"/>
      <c r="AKV678" s="37"/>
      <c r="AKW678" s="37"/>
      <c r="AKX678" s="37"/>
      <c r="AKY678" s="37"/>
      <c r="AKZ678" s="37"/>
      <c r="ALA678" s="37"/>
      <c r="ALB678" s="37"/>
      <c r="ALC678" s="37"/>
      <c r="ALD678" s="37"/>
      <c r="ALE678" s="37"/>
      <c r="ALF678" s="37"/>
      <c r="ALG678" s="37"/>
      <c r="ALH678" s="37"/>
      <c r="ALI678" s="37"/>
      <c r="ALJ678" s="37"/>
      <c r="ALK678" s="37"/>
      <c r="ALL678" s="37"/>
      <c r="ALM678" s="37"/>
      <c r="ALN678" s="37"/>
      <c r="ALO678" s="37"/>
      <c r="ALP678" s="37"/>
      <c r="ALQ678" s="37"/>
      <c r="ALR678" s="37"/>
      <c r="ALS678" s="37"/>
      <c r="ALT678" s="37"/>
      <c r="ALU678" s="37"/>
      <c r="ALV678" s="37"/>
      <c r="ALW678" s="37"/>
      <c r="ALX678" s="37"/>
      <c r="ALY678" s="37"/>
      <c r="ALZ678" s="37"/>
      <c r="AMA678" s="37"/>
      <c r="AMB678" s="37"/>
      <c r="AMC678" s="37"/>
      <c r="AMD678" s="37"/>
      <c r="AME678" s="37"/>
      <c r="AMF678" s="37"/>
      <c r="AMG678" s="37"/>
      <c r="AMH678" s="37"/>
      <c r="AMI678" s="37"/>
      <c r="AMJ678" s="37"/>
      <c r="AMK678" s="37"/>
      <c r="AML678" s="37"/>
      <c r="AMM678" s="37"/>
      <c r="AMN678" s="37"/>
      <c r="AMO678" s="37"/>
      <c r="AMP678" s="37"/>
      <c r="AMQ678" s="37"/>
      <c r="AMR678" s="37"/>
      <c r="AMS678" s="37"/>
      <c r="AMT678" s="37"/>
      <c r="AMU678" s="37"/>
      <c r="AMV678" s="37"/>
      <c r="AMW678" s="37"/>
      <c r="AMX678" s="37"/>
      <c r="AMY678" s="37"/>
      <c r="AMZ678" s="37"/>
      <c r="ANA678" s="37"/>
      <c r="ANB678" s="37"/>
      <c r="ANC678" s="37"/>
      <c r="AND678" s="37"/>
      <c r="ANE678" s="37"/>
      <c r="ANF678" s="37"/>
      <c r="ANG678" s="37"/>
      <c r="ANH678" s="37"/>
      <c r="ANI678" s="37"/>
      <c r="ANJ678" s="37"/>
      <c r="ANK678" s="37"/>
      <c r="ANL678" s="37"/>
      <c r="ANM678" s="37"/>
      <c r="ANN678" s="37"/>
      <c r="ANO678" s="37"/>
      <c r="ANP678" s="37"/>
      <c r="ANQ678" s="37"/>
      <c r="ANR678" s="37"/>
      <c r="ANS678" s="37"/>
      <c r="ANT678" s="37"/>
      <c r="ANU678" s="37"/>
      <c r="ANV678" s="37"/>
      <c r="ANW678" s="37"/>
      <c r="ANX678" s="37"/>
      <c r="ANY678" s="37"/>
      <c r="ANZ678" s="37"/>
      <c r="AOA678" s="37"/>
      <c r="AOB678" s="37"/>
      <c r="AOC678" s="37"/>
      <c r="AOD678" s="37"/>
      <c r="AOE678" s="37"/>
      <c r="AOF678" s="37"/>
      <c r="AOG678" s="37"/>
      <c r="AOH678" s="37"/>
      <c r="AOI678" s="37"/>
      <c r="AOJ678" s="37"/>
      <c r="AOK678" s="37"/>
      <c r="AOL678" s="37"/>
      <c r="AOM678" s="37"/>
      <c r="AON678" s="37"/>
      <c r="AOO678" s="37"/>
      <c r="AOP678" s="37"/>
      <c r="AOQ678" s="37"/>
      <c r="AOR678" s="37"/>
      <c r="AOS678" s="37"/>
      <c r="AOT678" s="37"/>
      <c r="AOU678" s="37"/>
      <c r="AOV678" s="37"/>
      <c r="AOW678" s="37"/>
      <c r="AOX678" s="37"/>
      <c r="AOY678" s="37"/>
      <c r="AOZ678" s="37"/>
      <c r="APA678" s="37"/>
      <c r="APB678" s="37"/>
      <c r="APC678" s="37"/>
      <c r="APD678" s="37"/>
      <c r="APE678" s="37"/>
      <c r="APF678" s="37"/>
      <c r="APG678" s="37"/>
      <c r="APH678" s="37"/>
      <c r="API678" s="37"/>
      <c r="APJ678" s="37"/>
      <c r="APK678" s="37"/>
      <c r="APL678" s="37"/>
      <c r="APM678" s="37"/>
      <c r="APN678" s="37"/>
      <c r="APO678" s="37"/>
      <c r="APP678" s="37"/>
      <c r="APQ678" s="37"/>
      <c r="APR678" s="37"/>
      <c r="APS678" s="37"/>
      <c r="APT678" s="37"/>
      <c r="APU678" s="37"/>
      <c r="APV678" s="37"/>
      <c r="APW678" s="37"/>
      <c r="APX678" s="37"/>
      <c r="APY678" s="37"/>
      <c r="APZ678" s="37"/>
      <c r="AQA678" s="37"/>
      <c r="AQB678" s="37"/>
      <c r="AQC678" s="37"/>
      <c r="AQD678" s="37"/>
      <c r="AQE678" s="37"/>
      <c r="AQF678" s="37"/>
      <c r="AQG678" s="37"/>
      <c r="AQH678" s="37"/>
      <c r="AQI678" s="37"/>
      <c r="AQJ678" s="37"/>
      <c r="AQK678" s="37"/>
      <c r="AQL678" s="37"/>
      <c r="AQM678" s="37"/>
      <c r="AQN678" s="37"/>
      <c r="AQO678" s="37"/>
      <c r="AQP678" s="37"/>
      <c r="AQQ678" s="37"/>
      <c r="AQR678" s="37"/>
      <c r="AQS678" s="37"/>
      <c r="AQT678" s="37"/>
      <c r="AQU678" s="37"/>
      <c r="AQV678" s="37"/>
      <c r="AQW678" s="37"/>
      <c r="AQX678" s="37"/>
      <c r="AQY678" s="37"/>
      <c r="AQZ678" s="37"/>
      <c r="ARA678" s="37"/>
      <c r="ARB678" s="37"/>
      <c r="ARC678" s="37"/>
      <c r="ARD678" s="37"/>
      <c r="ARE678" s="37"/>
      <c r="ARF678" s="37"/>
      <c r="ARG678" s="37"/>
      <c r="ARH678" s="37"/>
      <c r="ARI678" s="37"/>
      <c r="ARJ678" s="37"/>
      <c r="ARK678" s="37"/>
      <c r="ARL678" s="37"/>
      <c r="ARM678" s="37"/>
      <c r="ARN678" s="37"/>
      <c r="ARO678" s="37"/>
      <c r="ARP678" s="37"/>
      <c r="ARQ678" s="37"/>
      <c r="ARR678" s="37"/>
      <c r="ARS678" s="37"/>
      <c r="ART678" s="37"/>
      <c r="ARU678" s="37"/>
      <c r="ARV678" s="37"/>
      <c r="ARW678" s="37"/>
      <c r="ARX678" s="37"/>
      <c r="ARY678" s="37"/>
      <c r="ARZ678" s="37"/>
      <c r="ASA678" s="37"/>
      <c r="ASB678" s="37"/>
      <c r="ASC678" s="37"/>
      <c r="ASD678" s="37"/>
      <c r="ASE678" s="37"/>
      <c r="ASF678" s="37"/>
      <c r="ASG678" s="37"/>
      <c r="ASH678" s="37"/>
      <c r="ASI678" s="37"/>
      <c r="ASJ678" s="37"/>
      <c r="ASK678" s="37"/>
      <c r="ASL678" s="37"/>
      <c r="ASM678" s="37"/>
      <c r="ASN678" s="37"/>
      <c r="ASO678" s="37"/>
      <c r="ASP678" s="37"/>
      <c r="ASQ678" s="37"/>
      <c r="ASR678" s="37"/>
      <c r="ASS678" s="37"/>
      <c r="AST678" s="37"/>
      <c r="ASU678" s="37"/>
      <c r="ASV678" s="37"/>
      <c r="ASW678" s="37"/>
      <c r="ASX678" s="37"/>
      <c r="ASY678" s="37"/>
      <c r="ASZ678" s="37"/>
      <c r="ATA678" s="37"/>
      <c r="ATB678" s="37"/>
      <c r="ATC678" s="37"/>
      <c r="ATD678" s="37"/>
      <c r="ATE678" s="37"/>
      <c r="ATF678" s="37"/>
      <c r="ATG678" s="37"/>
      <c r="ATH678" s="37"/>
      <c r="ATI678" s="37"/>
      <c r="ATJ678" s="37"/>
      <c r="ATK678" s="37"/>
      <c r="ATL678" s="37"/>
      <c r="ATM678" s="37"/>
      <c r="ATN678" s="37"/>
      <c r="ATO678" s="37"/>
      <c r="ATP678" s="37"/>
      <c r="ATQ678" s="37"/>
      <c r="ATR678" s="37"/>
      <c r="ATS678" s="37"/>
      <c r="ATT678" s="37"/>
      <c r="ATU678" s="37"/>
      <c r="ATV678" s="37"/>
      <c r="ATW678" s="37"/>
      <c r="ATX678" s="37"/>
      <c r="ATY678" s="37"/>
      <c r="ATZ678" s="37"/>
      <c r="AUA678" s="37"/>
      <c r="AUB678" s="37"/>
      <c r="AUC678" s="37"/>
      <c r="AUD678" s="37"/>
      <c r="AUE678" s="37"/>
      <c r="AUF678" s="37"/>
      <c r="AUG678" s="37"/>
      <c r="AUH678" s="37"/>
      <c r="AUI678" s="37"/>
      <c r="AUJ678" s="37"/>
      <c r="AUK678" s="37"/>
      <c r="AUL678" s="37"/>
      <c r="AUM678" s="37"/>
      <c r="AUN678" s="37"/>
      <c r="AUO678" s="37"/>
      <c r="AUP678" s="37"/>
      <c r="AUQ678" s="37"/>
      <c r="AUR678" s="37"/>
      <c r="AUS678" s="37"/>
      <c r="AUT678" s="37"/>
      <c r="AUU678" s="37"/>
      <c r="AUV678" s="37"/>
      <c r="AUW678" s="37"/>
      <c r="AUX678" s="37"/>
      <c r="AUY678" s="37"/>
      <c r="AUZ678" s="37"/>
      <c r="AVA678" s="37"/>
      <c r="AVB678" s="37"/>
      <c r="AVC678" s="37"/>
      <c r="AVD678" s="37"/>
      <c r="AVE678" s="37"/>
      <c r="AVF678" s="37"/>
      <c r="AVG678" s="37"/>
      <c r="AVH678" s="37"/>
      <c r="AVI678" s="37"/>
      <c r="AVJ678" s="37"/>
      <c r="AVK678" s="37"/>
      <c r="AVL678" s="37"/>
      <c r="AVM678" s="37"/>
      <c r="AVN678" s="37"/>
      <c r="AVO678" s="37"/>
      <c r="AVP678" s="37"/>
      <c r="AVQ678" s="37"/>
      <c r="AVR678" s="37"/>
      <c r="AVS678" s="37"/>
      <c r="AVT678" s="37"/>
      <c r="AVU678" s="37"/>
      <c r="AVV678" s="37"/>
      <c r="AVW678" s="37"/>
      <c r="AVX678" s="37"/>
      <c r="AVY678" s="37"/>
      <c r="AVZ678" s="37"/>
      <c r="AWA678" s="37"/>
      <c r="AWB678" s="37"/>
      <c r="AWC678" s="37"/>
      <c r="AWD678" s="37"/>
      <c r="AWE678" s="37"/>
      <c r="AWF678" s="37"/>
      <c r="AWG678" s="37"/>
      <c r="AWH678" s="37"/>
      <c r="AWI678" s="37"/>
      <c r="AWJ678" s="37"/>
      <c r="AWK678" s="37"/>
      <c r="AWL678" s="37"/>
      <c r="AWM678" s="37"/>
      <c r="AWN678" s="37"/>
      <c r="AWO678" s="37"/>
      <c r="AWP678" s="37"/>
      <c r="AWQ678" s="37"/>
      <c r="AWR678" s="37"/>
      <c r="AWS678" s="37"/>
      <c r="AWT678" s="37"/>
      <c r="AWU678" s="37"/>
      <c r="AWV678" s="37"/>
      <c r="AWW678" s="37"/>
      <c r="AWX678" s="37"/>
      <c r="AWY678" s="37"/>
      <c r="AWZ678" s="37"/>
      <c r="AXA678" s="37"/>
      <c r="AXB678" s="37"/>
      <c r="AXC678" s="37"/>
      <c r="AXD678" s="37"/>
      <c r="AXE678" s="37"/>
      <c r="AXF678" s="37"/>
      <c r="AXG678" s="37"/>
      <c r="AXH678" s="37"/>
      <c r="AXI678" s="37"/>
      <c r="AXJ678" s="37"/>
      <c r="AXK678" s="37"/>
      <c r="AXL678" s="37"/>
      <c r="AXM678" s="37"/>
      <c r="AXN678" s="37"/>
      <c r="AXO678" s="37"/>
      <c r="AXP678" s="37"/>
      <c r="AXQ678" s="37"/>
      <c r="AXR678" s="37"/>
      <c r="AXS678" s="37"/>
      <c r="AXT678" s="37"/>
      <c r="AXU678" s="37"/>
      <c r="AXV678" s="37"/>
      <c r="AXW678" s="37"/>
      <c r="AXX678" s="37"/>
      <c r="AXY678" s="37"/>
      <c r="AXZ678" s="37"/>
      <c r="AYA678" s="37"/>
      <c r="AYB678" s="37"/>
      <c r="AYC678" s="37"/>
      <c r="AYD678" s="37"/>
      <c r="AYE678" s="37"/>
      <c r="AYF678" s="37"/>
      <c r="AYG678" s="37"/>
      <c r="AYH678" s="37"/>
      <c r="AYI678" s="37"/>
      <c r="AYJ678" s="37"/>
      <c r="AYK678" s="37"/>
      <c r="AYL678" s="37"/>
      <c r="AYM678" s="37"/>
      <c r="AYN678" s="37"/>
      <c r="AYO678" s="37"/>
      <c r="AYP678" s="37"/>
      <c r="AYQ678" s="37"/>
      <c r="AYR678" s="37"/>
      <c r="AYS678" s="37"/>
      <c r="AYT678" s="37"/>
      <c r="AYU678" s="37"/>
      <c r="AYV678" s="37"/>
      <c r="AYW678" s="37"/>
      <c r="AYX678" s="37"/>
      <c r="AYY678" s="37"/>
      <c r="AYZ678" s="37"/>
      <c r="AZA678" s="37"/>
      <c r="AZB678" s="37"/>
      <c r="AZC678" s="37"/>
      <c r="AZD678" s="37"/>
      <c r="AZE678" s="37"/>
      <c r="AZF678" s="37"/>
      <c r="AZG678" s="37"/>
      <c r="AZH678" s="37"/>
      <c r="AZI678" s="37"/>
      <c r="AZJ678" s="37"/>
      <c r="AZK678" s="37"/>
      <c r="AZL678" s="37"/>
      <c r="AZM678" s="37"/>
      <c r="AZN678" s="37"/>
      <c r="AZO678" s="37"/>
      <c r="AZP678" s="37"/>
      <c r="AZQ678" s="37"/>
      <c r="AZR678" s="37"/>
      <c r="AZS678" s="37"/>
      <c r="AZT678" s="37"/>
      <c r="AZU678" s="37"/>
      <c r="AZV678" s="37"/>
      <c r="AZW678" s="37"/>
      <c r="AZX678" s="37"/>
      <c r="AZY678" s="37"/>
      <c r="AZZ678" s="37"/>
      <c r="BAA678" s="37"/>
      <c r="BAB678" s="37"/>
      <c r="BAC678" s="37"/>
      <c r="BAD678" s="37"/>
      <c r="BAE678" s="37"/>
      <c r="BAF678" s="37"/>
      <c r="BAG678" s="37"/>
      <c r="BAH678" s="37"/>
      <c r="BAI678" s="37"/>
      <c r="BAJ678" s="37"/>
      <c r="BAK678" s="37"/>
      <c r="BAL678" s="37"/>
      <c r="BAM678" s="37"/>
      <c r="BAN678" s="37"/>
      <c r="BAO678" s="37"/>
      <c r="BAP678" s="37"/>
      <c r="BAQ678" s="37"/>
      <c r="BAR678" s="37"/>
      <c r="BAS678" s="37"/>
      <c r="BAT678" s="37"/>
      <c r="BAU678" s="37"/>
      <c r="BAV678" s="37"/>
      <c r="BAW678" s="37"/>
      <c r="BAX678" s="37"/>
      <c r="BAY678" s="37"/>
      <c r="BAZ678" s="37"/>
      <c r="BBA678" s="37"/>
      <c r="BBB678" s="37"/>
      <c r="BBC678" s="37"/>
      <c r="BBD678" s="37"/>
      <c r="BBE678" s="37"/>
      <c r="BBF678" s="37"/>
      <c r="BBG678" s="37"/>
      <c r="BBH678" s="37"/>
      <c r="BBI678" s="37"/>
      <c r="BBJ678" s="37"/>
      <c r="BBK678" s="37"/>
      <c r="BBL678" s="37"/>
      <c r="BBM678" s="37"/>
      <c r="BBN678" s="37"/>
      <c r="BBO678" s="37"/>
      <c r="BBP678" s="37"/>
      <c r="BBQ678" s="37"/>
      <c r="BBR678" s="37"/>
      <c r="BBS678" s="37"/>
      <c r="BBT678" s="37"/>
      <c r="BBU678" s="37"/>
      <c r="BBV678" s="37"/>
      <c r="BBW678" s="37"/>
      <c r="BBX678" s="37"/>
      <c r="BBY678" s="37"/>
      <c r="BBZ678" s="37"/>
      <c r="BCA678" s="37"/>
      <c r="BCB678" s="37"/>
      <c r="BCC678" s="37"/>
      <c r="BCD678" s="37"/>
      <c r="BCE678" s="37"/>
      <c r="BCF678" s="37"/>
      <c r="BCG678" s="37"/>
      <c r="BCH678" s="37"/>
      <c r="BCI678" s="37"/>
      <c r="BCJ678" s="37"/>
      <c r="BCK678" s="37"/>
      <c r="BCL678" s="37"/>
      <c r="BCM678" s="37"/>
      <c r="BCN678" s="37"/>
      <c r="BCO678" s="37"/>
      <c r="BCP678" s="37"/>
      <c r="BCQ678" s="37"/>
      <c r="BCR678" s="37"/>
      <c r="BCS678" s="37"/>
      <c r="BCT678" s="37"/>
      <c r="BCU678" s="37"/>
      <c r="BCV678" s="37"/>
      <c r="BCW678" s="37"/>
      <c r="BCX678" s="37"/>
      <c r="BCY678" s="37"/>
      <c r="BCZ678" s="37"/>
      <c r="BDA678" s="37"/>
      <c r="BDB678" s="37"/>
      <c r="BDC678" s="37"/>
      <c r="BDD678" s="37"/>
      <c r="BDE678" s="37"/>
      <c r="BDF678" s="37"/>
      <c r="BDG678" s="37"/>
      <c r="BDH678" s="37"/>
      <c r="BDI678" s="37"/>
      <c r="BDJ678" s="37"/>
      <c r="BDK678" s="37"/>
      <c r="BDL678" s="37"/>
      <c r="BDM678" s="37"/>
      <c r="BDN678" s="37"/>
      <c r="BDO678" s="37"/>
      <c r="BDP678" s="37"/>
      <c r="BDQ678" s="37"/>
      <c r="BDR678" s="37"/>
      <c r="BDS678" s="37"/>
      <c r="BDT678" s="37"/>
      <c r="BDU678" s="37"/>
      <c r="BDV678" s="37"/>
      <c r="BDW678" s="37"/>
      <c r="BDX678" s="37"/>
      <c r="BDY678" s="37"/>
      <c r="BDZ678" s="37"/>
      <c r="BEA678" s="37"/>
      <c r="BEB678" s="37"/>
      <c r="BEC678" s="37"/>
      <c r="BED678" s="37"/>
      <c r="BEE678" s="37"/>
      <c r="BEF678" s="37"/>
      <c r="BEG678" s="37"/>
      <c r="BEH678" s="37"/>
      <c r="BEI678" s="37"/>
      <c r="BEJ678" s="37"/>
      <c r="BEK678" s="37"/>
      <c r="BEL678" s="37"/>
      <c r="BEM678" s="37"/>
      <c r="BEN678" s="37"/>
      <c r="BEO678" s="37"/>
      <c r="BEP678" s="37"/>
      <c r="BEQ678" s="37"/>
      <c r="BER678" s="37"/>
      <c r="BES678" s="37"/>
      <c r="BET678" s="37"/>
      <c r="BEU678" s="37"/>
      <c r="BEV678" s="37"/>
      <c r="BEW678" s="37"/>
      <c r="BEX678" s="37"/>
      <c r="BEY678" s="37"/>
      <c r="BEZ678" s="37"/>
      <c r="BFA678" s="37"/>
      <c r="BFB678" s="37"/>
      <c r="BFC678" s="37"/>
      <c r="BFD678" s="37"/>
      <c r="BFE678" s="37"/>
      <c r="BFF678" s="37"/>
      <c r="BFG678" s="37"/>
      <c r="BFH678" s="37"/>
      <c r="BFI678" s="37"/>
      <c r="BFJ678" s="37"/>
      <c r="BFK678" s="37"/>
      <c r="BFL678" s="37"/>
      <c r="BFM678" s="37"/>
      <c r="BFN678" s="37"/>
      <c r="BFO678" s="37"/>
      <c r="BFP678" s="37"/>
      <c r="BFQ678" s="37"/>
      <c r="BFR678" s="37"/>
      <c r="BFS678" s="37"/>
      <c r="BFT678" s="37"/>
      <c r="BFU678" s="37"/>
      <c r="BFV678" s="37"/>
      <c r="BFW678" s="37"/>
      <c r="BFX678" s="37"/>
      <c r="BFY678" s="37"/>
      <c r="BFZ678" s="37"/>
      <c r="BGA678" s="37"/>
      <c r="BGB678" s="37"/>
      <c r="BGC678" s="37"/>
      <c r="BGD678" s="37"/>
      <c r="BGE678" s="37"/>
      <c r="BGF678" s="37"/>
      <c r="BGG678" s="37"/>
      <c r="BGH678" s="37"/>
      <c r="BGI678" s="37"/>
      <c r="BGJ678" s="37"/>
      <c r="BGK678" s="37"/>
      <c r="BGL678" s="37"/>
      <c r="BGM678" s="37"/>
      <c r="BGN678" s="37"/>
      <c r="BGO678" s="37"/>
      <c r="BGP678" s="37"/>
      <c r="BGQ678" s="37"/>
      <c r="BGR678" s="37"/>
      <c r="BGS678" s="37"/>
      <c r="BGT678" s="37"/>
      <c r="BGU678" s="37"/>
      <c r="BGV678" s="37"/>
      <c r="BGW678" s="37"/>
      <c r="BGX678" s="37"/>
      <c r="BGY678" s="37"/>
      <c r="BGZ678" s="37"/>
      <c r="BHA678" s="37"/>
      <c r="BHB678" s="37"/>
      <c r="BHC678" s="37"/>
      <c r="BHD678" s="37"/>
      <c r="BHE678" s="37"/>
      <c r="BHF678" s="37"/>
      <c r="BHG678" s="37"/>
      <c r="BHH678" s="37"/>
      <c r="BHI678" s="37"/>
      <c r="BHJ678" s="37"/>
      <c r="BHK678" s="37"/>
      <c r="BHL678" s="37"/>
      <c r="BHM678" s="37"/>
      <c r="BHN678" s="37"/>
      <c r="BHO678" s="37"/>
      <c r="BHP678" s="37"/>
      <c r="BHQ678" s="37"/>
      <c r="BHR678" s="37"/>
      <c r="BHS678" s="37"/>
      <c r="BHT678" s="37"/>
      <c r="BHU678" s="37"/>
      <c r="BHV678" s="37"/>
      <c r="BHW678" s="37"/>
      <c r="BHX678" s="37"/>
      <c r="BHY678" s="37"/>
      <c r="BHZ678" s="37"/>
      <c r="BIA678" s="37"/>
      <c r="BIB678" s="37"/>
      <c r="BIC678" s="37"/>
      <c r="BID678" s="37"/>
      <c r="BIE678" s="37"/>
      <c r="BIF678" s="37"/>
      <c r="BIG678" s="37"/>
      <c r="BIH678" s="37"/>
      <c r="BII678" s="37"/>
      <c r="BIJ678" s="37"/>
      <c r="BIK678" s="37"/>
      <c r="BIL678" s="37"/>
      <c r="BIM678" s="37"/>
      <c r="BIN678" s="37"/>
      <c r="BIO678" s="37"/>
      <c r="BIP678" s="37"/>
      <c r="BIQ678" s="37"/>
      <c r="BIR678" s="37"/>
      <c r="BIS678" s="37"/>
      <c r="BIT678" s="37"/>
      <c r="BIU678" s="37"/>
      <c r="BIV678" s="37"/>
      <c r="BIW678" s="37"/>
      <c r="BIX678" s="37"/>
      <c r="BIY678" s="37"/>
      <c r="BIZ678" s="37"/>
      <c r="BJA678" s="37"/>
      <c r="BJB678" s="37"/>
      <c r="BJC678" s="37"/>
      <c r="BJD678" s="37"/>
      <c r="BJE678" s="37"/>
      <c r="BJF678" s="37"/>
      <c r="BJG678" s="37"/>
      <c r="BJH678" s="37"/>
      <c r="BJI678" s="37"/>
      <c r="BJJ678" s="37"/>
      <c r="BJK678" s="37"/>
      <c r="BJL678" s="37"/>
      <c r="BJM678" s="37"/>
      <c r="BJN678" s="37"/>
      <c r="BJO678" s="37"/>
      <c r="BJP678" s="37"/>
      <c r="BJQ678" s="37"/>
      <c r="BJR678" s="37"/>
      <c r="BJS678" s="37"/>
      <c r="BJT678" s="37"/>
      <c r="BJU678" s="37"/>
      <c r="BJV678" s="37"/>
      <c r="BJW678" s="37"/>
      <c r="BJX678" s="37"/>
      <c r="BJY678" s="37"/>
      <c r="BJZ678" s="37"/>
      <c r="BKA678" s="37"/>
      <c r="BKB678" s="37"/>
      <c r="BKC678" s="37"/>
      <c r="BKD678" s="37"/>
      <c r="BKE678" s="37"/>
      <c r="BKF678" s="37"/>
      <c r="BKG678" s="37"/>
      <c r="BKH678" s="37"/>
      <c r="BKI678" s="37"/>
      <c r="BKJ678" s="37"/>
      <c r="BKK678" s="37"/>
      <c r="BKL678" s="37"/>
      <c r="BKM678" s="37"/>
      <c r="BKN678" s="37"/>
      <c r="BKO678" s="37"/>
      <c r="BKP678" s="37"/>
      <c r="BKQ678" s="37"/>
      <c r="BKR678" s="37"/>
      <c r="BKS678" s="37"/>
      <c r="BKT678" s="37"/>
      <c r="BKU678" s="37"/>
      <c r="BKV678" s="37"/>
      <c r="BKW678" s="37"/>
      <c r="BKX678" s="37"/>
      <c r="BKY678" s="37"/>
      <c r="BKZ678" s="37"/>
      <c r="BLA678" s="37"/>
      <c r="BLB678" s="37"/>
      <c r="BLC678" s="37"/>
      <c r="BLD678" s="37"/>
      <c r="BLE678" s="37"/>
      <c r="BLF678" s="37"/>
      <c r="BLG678" s="37"/>
      <c r="BLH678" s="37"/>
      <c r="BLI678" s="37"/>
      <c r="BLJ678" s="37"/>
      <c r="BLK678" s="37"/>
      <c r="BLL678" s="37"/>
      <c r="BLM678" s="37"/>
      <c r="BLN678" s="37"/>
      <c r="BLO678" s="37"/>
      <c r="BLP678" s="37"/>
      <c r="BLQ678" s="37"/>
      <c r="BLR678" s="37"/>
      <c r="BLS678" s="37"/>
      <c r="BLT678" s="37"/>
      <c r="BLU678" s="37"/>
      <c r="BLV678" s="37"/>
      <c r="BLW678" s="37"/>
      <c r="BLX678" s="37"/>
      <c r="BLY678" s="37"/>
      <c r="BLZ678" s="37"/>
      <c r="BMA678" s="37"/>
      <c r="BMB678" s="37"/>
      <c r="BMC678" s="37"/>
      <c r="BMD678" s="37"/>
      <c r="BME678" s="37"/>
      <c r="BMF678" s="37"/>
      <c r="BMG678" s="37"/>
      <c r="BMH678" s="37"/>
      <c r="BMI678" s="37"/>
      <c r="BMJ678" s="37"/>
      <c r="BMK678" s="37"/>
      <c r="BML678" s="37"/>
      <c r="BMM678" s="37"/>
      <c r="BMN678" s="37"/>
      <c r="BMO678" s="37"/>
      <c r="BMP678" s="37"/>
      <c r="BMQ678" s="37"/>
      <c r="BMR678" s="37"/>
      <c r="BMS678" s="37"/>
      <c r="BMT678" s="37"/>
      <c r="BMU678" s="37"/>
      <c r="BMV678" s="37"/>
      <c r="BMW678" s="37"/>
      <c r="BMX678" s="37"/>
      <c r="BMY678" s="37"/>
      <c r="BMZ678" s="37"/>
      <c r="BNA678" s="37"/>
      <c r="BNB678" s="37"/>
      <c r="BNC678" s="37"/>
      <c r="BND678" s="37"/>
      <c r="BNE678" s="37"/>
      <c r="BNF678" s="37"/>
      <c r="BNG678" s="37"/>
      <c r="BNH678" s="37"/>
      <c r="BNI678" s="37"/>
      <c r="BNJ678" s="37"/>
      <c r="BNK678" s="37"/>
      <c r="BNL678" s="37"/>
      <c r="BNM678" s="37"/>
      <c r="BNN678" s="37"/>
      <c r="BNO678" s="37"/>
      <c r="BNP678" s="37"/>
      <c r="BNQ678" s="37"/>
      <c r="BNR678" s="37"/>
      <c r="BNS678" s="37"/>
      <c r="BNT678" s="37"/>
      <c r="BNU678" s="37"/>
      <c r="BNV678" s="37"/>
      <c r="BNW678" s="37"/>
      <c r="BNX678" s="37"/>
      <c r="BNY678" s="37"/>
      <c r="BNZ678" s="37"/>
      <c r="BOA678" s="37"/>
      <c r="BOB678" s="37"/>
      <c r="BOC678" s="37"/>
      <c r="BOD678" s="37"/>
      <c r="BOE678" s="37"/>
      <c r="BOF678" s="37"/>
      <c r="BOG678" s="37"/>
      <c r="BOH678" s="37"/>
      <c r="BOI678" s="37"/>
      <c r="BOJ678" s="37"/>
      <c r="BOK678" s="37"/>
      <c r="BOL678" s="37"/>
      <c r="BOM678" s="37"/>
      <c r="BON678" s="37"/>
      <c r="BOO678" s="37"/>
      <c r="BOP678" s="37"/>
      <c r="BOQ678" s="37"/>
      <c r="BOR678" s="37"/>
      <c r="BOS678" s="37"/>
      <c r="BOT678" s="37"/>
      <c r="BOU678" s="37"/>
      <c r="BOV678" s="37"/>
      <c r="BOW678" s="37"/>
      <c r="BOX678" s="37"/>
      <c r="BOY678" s="37"/>
      <c r="BOZ678" s="37"/>
      <c r="BPA678" s="37"/>
      <c r="BPB678" s="37"/>
      <c r="BPC678" s="37"/>
      <c r="BPD678" s="37"/>
      <c r="BPE678" s="37"/>
      <c r="BPF678" s="37"/>
      <c r="BPG678" s="37"/>
      <c r="BPH678" s="37"/>
      <c r="BPI678" s="37"/>
      <c r="BPJ678" s="37"/>
      <c r="BPK678" s="37"/>
      <c r="BPL678" s="37"/>
      <c r="BPM678" s="37"/>
      <c r="BPN678" s="37"/>
      <c r="BPO678" s="37"/>
      <c r="BPP678" s="37"/>
      <c r="BPQ678" s="37"/>
      <c r="BPR678" s="37"/>
      <c r="BPS678" s="37"/>
      <c r="BPT678" s="37"/>
      <c r="BPU678" s="37"/>
      <c r="BPV678" s="37"/>
      <c r="BPW678" s="37"/>
      <c r="BPX678" s="37"/>
      <c r="BPY678" s="37"/>
      <c r="BPZ678" s="37"/>
      <c r="BQA678" s="37"/>
      <c r="BQB678" s="37"/>
      <c r="BQC678" s="37"/>
      <c r="BQD678" s="37"/>
      <c r="BQE678" s="37"/>
      <c r="BQF678" s="37"/>
      <c r="BQG678" s="37"/>
      <c r="BQH678" s="37"/>
      <c r="BQI678" s="37"/>
      <c r="BQJ678" s="37"/>
      <c r="BQK678" s="37"/>
      <c r="BQL678" s="37"/>
      <c r="BQM678" s="37"/>
      <c r="BQN678" s="37"/>
      <c r="BQO678" s="37"/>
      <c r="BQP678" s="37"/>
      <c r="BQQ678" s="37"/>
      <c r="BQR678" s="37"/>
      <c r="BQS678" s="37"/>
      <c r="BQT678" s="37"/>
      <c r="BQU678" s="37"/>
      <c r="BQV678" s="37"/>
      <c r="BQW678" s="37"/>
      <c r="BQX678" s="37"/>
      <c r="BQY678" s="37"/>
      <c r="BQZ678" s="37"/>
      <c r="BRA678" s="37"/>
      <c r="BRB678" s="37"/>
      <c r="BRC678" s="37"/>
      <c r="BRD678" s="37"/>
      <c r="BRE678" s="37"/>
      <c r="BRF678" s="37"/>
      <c r="BRG678" s="37"/>
      <c r="BRH678" s="37"/>
      <c r="BRI678" s="37"/>
      <c r="BRJ678" s="37"/>
      <c r="BRK678" s="37"/>
      <c r="BRL678" s="37"/>
      <c r="BRM678" s="37"/>
      <c r="BRN678" s="37"/>
      <c r="BRO678" s="37"/>
      <c r="BRP678" s="37"/>
      <c r="BRQ678" s="37"/>
      <c r="BRR678" s="37"/>
      <c r="BRS678" s="37"/>
      <c r="BRT678" s="37"/>
      <c r="BRU678" s="37"/>
      <c r="BRV678" s="37"/>
      <c r="BRW678" s="37"/>
      <c r="BRX678" s="37"/>
      <c r="BRY678" s="37"/>
      <c r="BRZ678" s="37"/>
      <c r="BSA678" s="37"/>
      <c r="BSB678" s="37"/>
      <c r="BSC678" s="37"/>
      <c r="BSD678" s="37"/>
      <c r="BSE678" s="37"/>
      <c r="BSF678" s="37"/>
      <c r="BSG678" s="37"/>
      <c r="BSH678" s="37"/>
      <c r="BSI678" s="37"/>
      <c r="BSJ678" s="37"/>
      <c r="BSK678" s="37"/>
      <c r="BSL678" s="37"/>
      <c r="BSM678" s="37"/>
      <c r="BSN678" s="37"/>
      <c r="BSO678" s="37"/>
      <c r="BSP678" s="37"/>
      <c r="BSQ678" s="37"/>
      <c r="BSR678" s="37"/>
      <c r="BSS678" s="37"/>
      <c r="BST678" s="37"/>
      <c r="BSU678" s="37"/>
      <c r="BSV678" s="37"/>
      <c r="BSW678" s="37"/>
      <c r="BSX678" s="37"/>
      <c r="BSY678" s="37"/>
      <c r="BSZ678" s="37"/>
      <c r="BTA678" s="37"/>
      <c r="BTB678" s="37"/>
      <c r="BTC678" s="37"/>
      <c r="BTD678" s="37"/>
      <c r="BTE678" s="37"/>
      <c r="BTF678" s="37"/>
      <c r="BTG678" s="37"/>
      <c r="BTH678" s="37"/>
      <c r="BTI678" s="37"/>
      <c r="BTJ678" s="37"/>
      <c r="BTK678" s="37"/>
      <c r="BTL678" s="37"/>
      <c r="BTM678" s="37"/>
      <c r="BTN678" s="37"/>
      <c r="BTO678" s="37"/>
      <c r="BTP678" s="37"/>
      <c r="BTQ678" s="37"/>
      <c r="BTR678" s="37"/>
      <c r="BTS678" s="37"/>
      <c r="BTT678" s="37"/>
      <c r="BTU678" s="37"/>
      <c r="BTV678" s="37"/>
      <c r="BTW678" s="37"/>
      <c r="BTX678" s="37"/>
      <c r="BTY678" s="37"/>
      <c r="BTZ678" s="37"/>
      <c r="BUA678" s="37"/>
      <c r="BUB678" s="37"/>
      <c r="BUC678" s="37"/>
      <c r="BUD678" s="37"/>
      <c r="BUE678" s="37"/>
      <c r="BUF678" s="37"/>
      <c r="BUG678" s="37"/>
      <c r="BUH678" s="37"/>
      <c r="BUI678" s="37"/>
      <c r="BUJ678" s="37"/>
      <c r="BUK678" s="37"/>
      <c r="BUL678" s="37"/>
      <c r="BUM678" s="37"/>
      <c r="BUN678" s="37"/>
      <c r="BUO678" s="37"/>
      <c r="BUP678" s="37"/>
      <c r="BUQ678" s="37"/>
      <c r="BUR678" s="37"/>
      <c r="BUS678" s="37"/>
      <c r="BUT678" s="37"/>
      <c r="BUU678" s="37"/>
      <c r="BUV678" s="37"/>
      <c r="BUW678" s="37"/>
      <c r="BUX678" s="37"/>
      <c r="BUY678" s="37"/>
      <c r="BUZ678" s="37"/>
      <c r="BVA678" s="37"/>
      <c r="BVB678" s="37"/>
      <c r="BVC678" s="37"/>
      <c r="BVD678" s="37"/>
      <c r="BVE678" s="37"/>
      <c r="BVF678" s="37"/>
      <c r="BVG678" s="37"/>
      <c r="BVH678" s="37"/>
      <c r="BVI678" s="37"/>
      <c r="BVJ678" s="37"/>
      <c r="BVK678" s="37"/>
      <c r="BVL678" s="37"/>
      <c r="BVM678" s="37"/>
      <c r="BVN678" s="37"/>
      <c r="BVO678" s="37"/>
      <c r="BVP678" s="37"/>
      <c r="BVQ678" s="37"/>
      <c r="BVR678" s="37"/>
      <c r="BVS678" s="37"/>
      <c r="BVT678" s="37"/>
      <c r="BVU678" s="37"/>
      <c r="BVV678" s="37"/>
      <c r="BVW678" s="37"/>
      <c r="BVX678" s="37"/>
      <c r="BVY678" s="37"/>
      <c r="BVZ678" s="37"/>
      <c r="BWA678" s="37"/>
      <c r="BWB678" s="37"/>
      <c r="BWC678" s="37"/>
      <c r="BWD678" s="37"/>
      <c r="BWE678" s="37"/>
      <c r="BWF678" s="37"/>
      <c r="BWG678" s="37"/>
      <c r="BWH678" s="37"/>
      <c r="BWI678" s="37"/>
      <c r="BWJ678" s="37"/>
      <c r="BWK678" s="37"/>
      <c r="BWL678" s="37"/>
      <c r="BWM678" s="37"/>
      <c r="BWN678" s="37"/>
      <c r="BWO678" s="37"/>
      <c r="BWP678" s="37"/>
      <c r="BWQ678" s="37"/>
      <c r="BWR678" s="37"/>
      <c r="BWS678" s="37"/>
      <c r="BWT678" s="37"/>
      <c r="BWU678" s="37"/>
      <c r="BWV678" s="37"/>
      <c r="BWW678" s="37"/>
      <c r="BWX678" s="37"/>
      <c r="BWY678" s="37"/>
      <c r="BWZ678" s="37"/>
      <c r="BXA678" s="37"/>
      <c r="BXB678" s="37"/>
      <c r="BXC678" s="37"/>
      <c r="BXD678" s="37"/>
      <c r="BXE678" s="37"/>
      <c r="BXF678" s="37"/>
      <c r="BXG678" s="37"/>
      <c r="BXH678" s="37"/>
      <c r="BXI678" s="37"/>
      <c r="BXJ678" s="37"/>
      <c r="BXK678" s="37"/>
      <c r="BXL678" s="37"/>
      <c r="BXM678" s="37"/>
      <c r="BXN678" s="37"/>
      <c r="BXO678" s="37"/>
      <c r="BXP678" s="37"/>
      <c r="BXQ678" s="37"/>
      <c r="BXR678" s="37"/>
      <c r="BXS678" s="37"/>
      <c r="BXT678" s="37"/>
      <c r="BXU678" s="37"/>
      <c r="BXV678" s="37"/>
      <c r="BXW678" s="37"/>
      <c r="BXX678" s="37"/>
      <c r="BXY678" s="37"/>
      <c r="BXZ678" s="37"/>
      <c r="BYA678" s="37"/>
      <c r="BYB678" s="37"/>
      <c r="BYC678" s="37"/>
      <c r="BYD678" s="37"/>
      <c r="BYE678" s="37"/>
      <c r="BYF678" s="37"/>
      <c r="BYG678" s="37"/>
      <c r="BYH678" s="37"/>
      <c r="BYI678" s="37"/>
      <c r="BYJ678" s="37"/>
      <c r="BYK678" s="37"/>
      <c r="BYL678" s="37"/>
      <c r="BYM678" s="37"/>
      <c r="BYN678" s="37"/>
      <c r="BYO678" s="37"/>
      <c r="BYP678" s="37"/>
      <c r="BYQ678" s="37"/>
      <c r="BYR678" s="37"/>
      <c r="BYS678" s="37"/>
      <c r="BYT678" s="37"/>
      <c r="BYU678" s="37"/>
      <c r="BYV678" s="37"/>
      <c r="BYW678" s="37"/>
      <c r="BYX678" s="37"/>
      <c r="BYY678" s="37"/>
      <c r="BYZ678" s="37"/>
      <c r="BZA678" s="37"/>
      <c r="BZB678" s="37"/>
      <c r="BZC678" s="37"/>
      <c r="BZD678" s="37"/>
      <c r="BZE678" s="37"/>
      <c r="BZF678" s="37"/>
      <c r="BZG678" s="37"/>
      <c r="BZH678" s="37"/>
      <c r="BZI678" s="37"/>
      <c r="BZJ678" s="37"/>
      <c r="BZK678" s="37"/>
      <c r="BZL678" s="37"/>
      <c r="BZM678" s="37"/>
      <c r="BZN678" s="37"/>
      <c r="BZO678" s="37"/>
      <c r="BZP678" s="37"/>
      <c r="BZQ678" s="37"/>
      <c r="BZR678" s="37"/>
      <c r="BZS678" s="37"/>
      <c r="BZT678" s="37"/>
      <c r="BZU678" s="37"/>
      <c r="BZV678" s="37"/>
      <c r="BZW678" s="37"/>
      <c r="BZX678" s="37"/>
      <c r="BZY678" s="37"/>
      <c r="BZZ678" s="37"/>
      <c r="CAA678" s="37"/>
      <c r="CAB678" s="37"/>
      <c r="CAC678" s="37"/>
      <c r="CAD678" s="37"/>
      <c r="CAE678" s="37"/>
      <c r="CAF678" s="37"/>
      <c r="CAG678" s="37"/>
      <c r="CAH678" s="37"/>
      <c r="CAI678" s="37"/>
      <c r="CAJ678" s="37"/>
      <c r="CAK678" s="37"/>
      <c r="CAL678" s="37"/>
      <c r="CAM678" s="37"/>
      <c r="CAN678" s="37"/>
      <c r="CAO678" s="37"/>
      <c r="CAP678" s="37"/>
      <c r="CAQ678" s="37"/>
      <c r="CAR678" s="37"/>
      <c r="CAS678" s="37"/>
      <c r="CAT678" s="37"/>
      <c r="CAU678" s="37"/>
      <c r="CAV678" s="37"/>
      <c r="CAW678" s="37"/>
      <c r="CAX678" s="37"/>
      <c r="CAY678" s="37"/>
      <c r="CAZ678" s="37"/>
      <c r="CBA678" s="37"/>
      <c r="CBB678" s="37"/>
      <c r="CBC678" s="37"/>
      <c r="CBD678" s="37"/>
      <c r="CBE678" s="37"/>
      <c r="CBF678" s="37"/>
      <c r="CBG678" s="37"/>
      <c r="CBH678" s="37"/>
      <c r="CBI678" s="37"/>
      <c r="CBJ678" s="37"/>
      <c r="CBK678" s="37"/>
      <c r="CBL678" s="37"/>
      <c r="CBM678" s="37"/>
      <c r="CBN678" s="37"/>
      <c r="CBO678" s="37"/>
      <c r="CBP678" s="37"/>
      <c r="CBQ678" s="37"/>
      <c r="CBR678" s="37"/>
      <c r="CBS678" s="37"/>
      <c r="CBT678" s="37"/>
      <c r="CBU678" s="37"/>
      <c r="CBV678" s="37"/>
      <c r="CBW678" s="37"/>
      <c r="CBX678" s="37"/>
      <c r="CBY678" s="37"/>
      <c r="CBZ678" s="37"/>
      <c r="CCA678" s="37"/>
      <c r="CCB678" s="37"/>
      <c r="CCC678" s="37"/>
      <c r="CCD678" s="37"/>
      <c r="CCE678" s="37"/>
      <c r="CCF678" s="37"/>
      <c r="CCG678" s="37"/>
      <c r="CCH678" s="37"/>
      <c r="CCI678" s="37"/>
      <c r="CCJ678" s="37"/>
      <c r="CCK678" s="37"/>
      <c r="CCL678" s="37"/>
      <c r="CCM678" s="37"/>
      <c r="CCN678" s="37"/>
      <c r="CCO678" s="37"/>
      <c r="CCP678" s="37"/>
      <c r="CCQ678" s="37"/>
      <c r="CCR678" s="37"/>
      <c r="CCS678" s="37"/>
      <c r="CCT678" s="37"/>
      <c r="CCU678" s="37"/>
      <c r="CCV678" s="37"/>
      <c r="CCW678" s="37"/>
      <c r="CCX678" s="37"/>
      <c r="CCY678" s="37"/>
      <c r="CCZ678" s="37"/>
      <c r="CDA678" s="37"/>
      <c r="CDB678" s="37"/>
      <c r="CDC678" s="37"/>
      <c r="CDD678" s="37"/>
      <c r="CDE678" s="37"/>
      <c r="CDF678" s="37"/>
      <c r="CDG678" s="37"/>
      <c r="CDH678" s="37"/>
      <c r="CDI678" s="37"/>
      <c r="CDJ678" s="37"/>
      <c r="CDK678" s="37"/>
      <c r="CDL678" s="37"/>
      <c r="CDM678" s="37"/>
      <c r="CDN678" s="37"/>
      <c r="CDO678" s="37"/>
      <c r="CDP678" s="37"/>
      <c r="CDQ678" s="37"/>
      <c r="CDR678" s="37"/>
      <c r="CDS678" s="37"/>
      <c r="CDT678" s="37"/>
      <c r="CDU678" s="37"/>
      <c r="CDV678" s="37"/>
      <c r="CDW678" s="37"/>
      <c r="CDX678" s="37"/>
      <c r="CDY678" s="37"/>
      <c r="CDZ678" s="37"/>
      <c r="CEA678" s="37"/>
      <c r="CEB678" s="37"/>
      <c r="CEC678" s="37"/>
      <c r="CED678" s="37"/>
      <c r="CEE678" s="37"/>
      <c r="CEF678" s="37"/>
      <c r="CEG678" s="37"/>
      <c r="CEH678" s="37"/>
      <c r="CEI678" s="37"/>
      <c r="CEJ678" s="37"/>
      <c r="CEK678" s="37"/>
      <c r="CEL678" s="37"/>
      <c r="CEM678" s="37"/>
      <c r="CEN678" s="37"/>
      <c r="CEO678" s="37"/>
      <c r="CEP678" s="37"/>
      <c r="CEQ678" s="37"/>
      <c r="CER678" s="37"/>
      <c r="CES678" s="37"/>
      <c r="CET678" s="37"/>
      <c r="CEU678" s="37"/>
      <c r="CEV678" s="37"/>
      <c r="CEW678" s="37"/>
      <c r="CEX678" s="37"/>
      <c r="CEY678" s="37"/>
      <c r="CEZ678" s="37"/>
      <c r="CFA678" s="37"/>
      <c r="CFB678" s="37"/>
      <c r="CFC678" s="37"/>
      <c r="CFD678" s="37"/>
      <c r="CFE678" s="37"/>
      <c r="CFF678" s="37"/>
      <c r="CFG678" s="37"/>
      <c r="CFH678" s="37"/>
      <c r="CFI678" s="37"/>
      <c r="CFJ678" s="37"/>
      <c r="CFK678" s="37"/>
      <c r="CFL678" s="37"/>
      <c r="CFM678" s="37"/>
      <c r="CFN678" s="37"/>
      <c r="CFO678" s="37"/>
      <c r="CFP678" s="37"/>
      <c r="CFQ678" s="37"/>
      <c r="CFR678" s="37"/>
      <c r="CFS678" s="37"/>
      <c r="CFT678" s="37"/>
      <c r="CFU678" s="37"/>
      <c r="CFV678" s="37"/>
      <c r="CFW678" s="37"/>
      <c r="CFX678" s="37"/>
      <c r="CFY678" s="37"/>
      <c r="CFZ678" s="37"/>
      <c r="CGA678" s="37"/>
      <c r="CGB678" s="37"/>
      <c r="CGC678" s="37"/>
      <c r="CGD678" s="37"/>
      <c r="CGE678" s="37"/>
      <c r="CGF678" s="37"/>
      <c r="CGG678" s="37"/>
      <c r="CGH678" s="37"/>
      <c r="CGI678" s="37"/>
      <c r="CGJ678" s="37"/>
      <c r="CGK678" s="37"/>
      <c r="CGL678" s="37"/>
      <c r="CGM678" s="37"/>
      <c r="CGN678" s="37"/>
      <c r="CGO678" s="37"/>
      <c r="CGP678" s="37"/>
      <c r="CGQ678" s="37"/>
      <c r="CGR678" s="37"/>
      <c r="CGS678" s="37"/>
      <c r="CGT678" s="37"/>
      <c r="CGU678" s="37"/>
      <c r="CGV678" s="37"/>
      <c r="CGW678" s="37"/>
      <c r="CGX678" s="37"/>
      <c r="CGY678" s="37"/>
      <c r="CGZ678" s="37"/>
      <c r="CHA678" s="37"/>
      <c r="CHB678" s="37"/>
      <c r="CHC678" s="37"/>
      <c r="CHD678" s="37"/>
      <c r="CHE678" s="37"/>
      <c r="CHF678" s="37"/>
      <c r="CHG678" s="37"/>
      <c r="CHH678" s="37"/>
      <c r="CHI678" s="37"/>
      <c r="CHJ678" s="37"/>
      <c r="CHK678" s="37"/>
      <c r="CHL678" s="37"/>
      <c r="CHM678" s="37"/>
      <c r="CHN678" s="37"/>
      <c r="CHO678" s="37"/>
      <c r="CHP678" s="37"/>
      <c r="CHQ678" s="37"/>
      <c r="CHR678" s="37"/>
      <c r="CHS678" s="37"/>
      <c r="CHT678" s="37"/>
      <c r="CHU678" s="37"/>
      <c r="CHV678" s="37"/>
      <c r="CHW678" s="37"/>
      <c r="CHX678" s="37"/>
      <c r="CHY678" s="37"/>
      <c r="CHZ678" s="37"/>
      <c r="CIA678" s="37"/>
      <c r="CIB678" s="37"/>
      <c r="CIC678" s="37"/>
      <c r="CID678" s="37"/>
      <c r="CIE678" s="37"/>
      <c r="CIF678" s="37"/>
      <c r="CIG678" s="37"/>
      <c r="CIH678" s="37"/>
      <c r="CII678" s="37"/>
      <c r="CIJ678" s="37"/>
      <c r="CIK678" s="37"/>
      <c r="CIL678" s="37"/>
      <c r="CIM678" s="37"/>
      <c r="CIN678" s="37"/>
      <c r="CIO678" s="37"/>
      <c r="CIP678" s="37"/>
      <c r="CIQ678" s="37"/>
      <c r="CIR678" s="37"/>
      <c r="CIS678" s="37"/>
      <c r="CIT678" s="37"/>
      <c r="CIU678" s="37"/>
      <c r="CIV678" s="37"/>
      <c r="CIW678" s="37"/>
      <c r="CIX678" s="37"/>
      <c r="CIY678" s="37"/>
      <c r="CIZ678" s="37"/>
      <c r="CJA678" s="37"/>
      <c r="CJB678" s="37"/>
      <c r="CJC678" s="37"/>
      <c r="CJD678" s="37"/>
      <c r="CJE678" s="37"/>
      <c r="CJF678" s="37"/>
      <c r="CJG678" s="37"/>
      <c r="CJH678" s="37"/>
      <c r="CJI678" s="37"/>
      <c r="CJJ678" s="37"/>
      <c r="CJK678" s="37"/>
      <c r="CJL678" s="37"/>
      <c r="CJM678" s="37"/>
      <c r="CJN678" s="37"/>
      <c r="CJO678" s="37"/>
      <c r="CJP678" s="37"/>
      <c r="CJQ678" s="37"/>
      <c r="CJR678" s="37"/>
      <c r="CJS678" s="37"/>
      <c r="CJT678" s="37"/>
      <c r="CJU678" s="37"/>
      <c r="CJV678" s="37"/>
      <c r="CJW678" s="37"/>
      <c r="CJX678" s="37"/>
      <c r="CJY678" s="37"/>
      <c r="CJZ678" s="37"/>
      <c r="CKA678" s="37"/>
      <c r="CKB678" s="37"/>
      <c r="CKC678" s="37"/>
      <c r="CKD678" s="37"/>
      <c r="CKE678" s="37"/>
      <c r="CKF678" s="37"/>
      <c r="CKG678" s="37"/>
      <c r="CKH678" s="37"/>
      <c r="CKI678" s="37"/>
      <c r="CKJ678" s="37"/>
      <c r="CKK678" s="37"/>
      <c r="CKL678" s="37"/>
      <c r="CKM678" s="37"/>
      <c r="CKN678" s="37"/>
      <c r="CKO678" s="37"/>
      <c r="CKP678" s="37"/>
      <c r="CKQ678" s="37"/>
      <c r="CKR678" s="37"/>
      <c r="CKS678" s="37"/>
      <c r="CKT678" s="37"/>
      <c r="CKU678" s="37"/>
      <c r="CKV678" s="37"/>
      <c r="CKW678" s="37"/>
      <c r="CKX678" s="37"/>
      <c r="CKY678" s="37"/>
      <c r="CKZ678" s="37"/>
      <c r="CLA678" s="37"/>
      <c r="CLB678" s="37"/>
      <c r="CLC678" s="37"/>
      <c r="CLD678" s="37"/>
      <c r="CLE678" s="37"/>
      <c r="CLF678" s="37"/>
      <c r="CLG678" s="37"/>
      <c r="CLH678" s="37"/>
      <c r="CLI678" s="37"/>
      <c r="CLJ678" s="37"/>
      <c r="CLK678" s="37"/>
      <c r="CLL678" s="37"/>
      <c r="CLM678" s="37"/>
      <c r="CLN678" s="37"/>
      <c r="CLO678" s="37"/>
      <c r="CLP678" s="37"/>
      <c r="CLQ678" s="37"/>
      <c r="CLR678" s="37"/>
      <c r="CLS678" s="37"/>
      <c r="CLT678" s="37"/>
      <c r="CLU678" s="37"/>
      <c r="CLV678" s="37"/>
      <c r="CLW678" s="37"/>
      <c r="CLX678" s="37"/>
      <c r="CLY678" s="37"/>
      <c r="CLZ678" s="37"/>
      <c r="CMA678" s="37"/>
      <c r="CMB678" s="37"/>
      <c r="CMC678" s="37"/>
      <c r="CMD678" s="37"/>
      <c r="CME678" s="37"/>
      <c r="CMF678" s="37"/>
      <c r="CMG678" s="37"/>
      <c r="CMH678" s="37"/>
      <c r="CMI678" s="37"/>
      <c r="CMJ678" s="37"/>
      <c r="CMK678" s="37"/>
      <c r="CML678" s="37"/>
      <c r="CMM678" s="37"/>
      <c r="CMN678" s="37"/>
      <c r="CMO678" s="37"/>
      <c r="CMP678" s="37"/>
      <c r="CMQ678" s="37"/>
      <c r="CMR678" s="37"/>
      <c r="CMS678" s="37"/>
      <c r="CMT678" s="37"/>
      <c r="CMU678" s="37"/>
      <c r="CMV678" s="37"/>
      <c r="CMW678" s="37"/>
      <c r="CMX678" s="37"/>
      <c r="CMY678" s="37"/>
      <c r="CMZ678" s="37"/>
      <c r="CNA678" s="37"/>
      <c r="CNB678" s="37"/>
      <c r="CNC678" s="37"/>
      <c r="CND678" s="37"/>
      <c r="CNE678" s="37"/>
      <c r="CNF678" s="37"/>
      <c r="CNG678" s="37"/>
      <c r="CNH678" s="37"/>
      <c r="CNI678" s="37"/>
      <c r="CNJ678" s="37"/>
      <c r="CNK678" s="37"/>
      <c r="CNL678" s="37"/>
      <c r="CNM678" s="37"/>
      <c r="CNN678" s="37"/>
      <c r="CNO678" s="37"/>
      <c r="CNP678" s="37"/>
      <c r="CNQ678" s="37"/>
      <c r="CNR678" s="37"/>
      <c r="CNS678" s="37"/>
      <c r="CNT678" s="37"/>
      <c r="CNU678" s="37"/>
      <c r="CNV678" s="37"/>
      <c r="CNW678" s="37"/>
      <c r="CNX678" s="37"/>
      <c r="CNY678" s="37"/>
      <c r="CNZ678" s="37"/>
      <c r="COA678" s="37"/>
      <c r="COB678" s="37"/>
      <c r="COC678" s="37"/>
      <c r="COD678" s="37"/>
      <c r="COE678" s="37"/>
      <c r="COF678" s="37"/>
      <c r="COG678" s="37"/>
      <c r="COH678" s="37"/>
      <c r="COI678" s="37"/>
      <c r="COJ678" s="37"/>
      <c r="COK678" s="37"/>
      <c r="COL678" s="37"/>
      <c r="COM678" s="37"/>
      <c r="CON678" s="37"/>
      <c r="COO678" s="37"/>
      <c r="COP678" s="37"/>
      <c r="COQ678" s="37"/>
      <c r="COR678" s="37"/>
      <c r="COS678" s="37"/>
      <c r="COT678" s="37"/>
      <c r="COU678" s="37"/>
      <c r="COV678" s="37"/>
      <c r="COW678" s="37"/>
      <c r="COX678" s="37"/>
      <c r="COY678" s="37"/>
      <c r="COZ678" s="37"/>
      <c r="CPA678" s="37"/>
      <c r="CPB678" s="37"/>
      <c r="CPC678" s="37"/>
      <c r="CPD678" s="37"/>
      <c r="CPE678" s="37"/>
      <c r="CPF678" s="37"/>
      <c r="CPG678" s="37"/>
      <c r="CPH678" s="37"/>
      <c r="CPI678" s="37"/>
      <c r="CPJ678" s="37"/>
      <c r="CPK678" s="37"/>
      <c r="CPL678" s="37"/>
      <c r="CPM678" s="37"/>
      <c r="CPN678" s="37"/>
      <c r="CPO678" s="37"/>
      <c r="CPP678" s="37"/>
      <c r="CPQ678" s="37"/>
      <c r="CPR678" s="37"/>
      <c r="CPS678" s="37"/>
      <c r="CPT678" s="37"/>
      <c r="CPU678" s="37"/>
      <c r="CPV678" s="37"/>
      <c r="CPW678" s="37"/>
      <c r="CPX678" s="37"/>
      <c r="CPY678" s="37"/>
      <c r="CPZ678" s="37"/>
      <c r="CQA678" s="37"/>
      <c r="CQB678" s="37"/>
      <c r="CQC678" s="37"/>
      <c r="CQD678" s="37"/>
      <c r="CQE678" s="37"/>
      <c r="CQF678" s="37"/>
      <c r="CQG678" s="37"/>
      <c r="CQH678" s="37"/>
      <c r="CQI678" s="37"/>
      <c r="CQJ678" s="37"/>
      <c r="CQK678" s="37"/>
      <c r="CQL678" s="37"/>
      <c r="CQM678" s="37"/>
      <c r="CQN678" s="37"/>
      <c r="CQO678" s="37"/>
      <c r="CQP678" s="37"/>
      <c r="CQQ678" s="37"/>
      <c r="CQR678" s="37"/>
      <c r="CQS678" s="37"/>
      <c r="CQT678" s="37"/>
      <c r="CQU678" s="37"/>
      <c r="CQV678" s="37"/>
      <c r="CQW678" s="37"/>
      <c r="CQX678" s="37"/>
      <c r="CQY678" s="37"/>
      <c r="CQZ678" s="37"/>
      <c r="CRA678" s="37"/>
      <c r="CRB678" s="37"/>
      <c r="CRC678" s="37"/>
      <c r="CRD678" s="37"/>
      <c r="CRE678" s="37"/>
      <c r="CRF678" s="37"/>
      <c r="CRG678" s="37"/>
      <c r="CRH678" s="37"/>
      <c r="CRI678" s="37"/>
      <c r="CRJ678" s="37"/>
      <c r="CRK678" s="37"/>
      <c r="CRL678" s="37"/>
      <c r="CRM678" s="37"/>
      <c r="CRN678" s="37"/>
      <c r="CRO678" s="37"/>
      <c r="CRP678" s="37"/>
      <c r="CRQ678" s="37"/>
      <c r="CRR678" s="37"/>
      <c r="CRS678" s="37"/>
      <c r="CRT678" s="37"/>
      <c r="CRU678" s="37"/>
      <c r="CRV678" s="37"/>
      <c r="CRW678" s="37"/>
      <c r="CRX678" s="37"/>
      <c r="CRY678" s="37"/>
      <c r="CRZ678" s="37"/>
      <c r="CSA678" s="37"/>
      <c r="CSB678" s="37"/>
      <c r="CSC678" s="37"/>
      <c r="CSD678" s="37"/>
      <c r="CSE678" s="37"/>
      <c r="CSF678" s="37"/>
      <c r="CSG678" s="37"/>
      <c r="CSH678" s="37"/>
      <c r="CSI678" s="37"/>
      <c r="CSJ678" s="37"/>
      <c r="CSK678" s="37"/>
      <c r="CSL678" s="37"/>
      <c r="CSM678" s="37"/>
      <c r="CSN678" s="37"/>
      <c r="CSO678" s="37"/>
      <c r="CSP678" s="37"/>
      <c r="CSQ678" s="37"/>
      <c r="CSR678" s="37"/>
      <c r="CSS678" s="37"/>
      <c r="CST678" s="37"/>
      <c r="CSU678" s="37"/>
      <c r="CSV678" s="37"/>
      <c r="CSW678" s="37"/>
      <c r="CSX678" s="37"/>
      <c r="CSY678" s="37"/>
      <c r="CSZ678" s="37"/>
      <c r="CTA678" s="37"/>
      <c r="CTB678" s="37"/>
      <c r="CTC678" s="37"/>
      <c r="CTD678" s="37"/>
      <c r="CTE678" s="37"/>
      <c r="CTF678" s="37"/>
      <c r="CTG678" s="37"/>
      <c r="CTH678" s="37"/>
      <c r="CTI678" s="37"/>
      <c r="CTJ678" s="37"/>
      <c r="CTK678" s="37"/>
      <c r="CTL678" s="37"/>
      <c r="CTM678" s="37"/>
      <c r="CTN678" s="37"/>
      <c r="CTO678" s="37"/>
      <c r="CTP678" s="37"/>
      <c r="CTQ678" s="37"/>
      <c r="CTR678" s="37"/>
      <c r="CTS678" s="37"/>
      <c r="CTT678" s="37"/>
      <c r="CTU678" s="37"/>
      <c r="CTV678" s="37"/>
      <c r="CTW678" s="37"/>
      <c r="CTX678" s="37"/>
      <c r="CTY678" s="37"/>
      <c r="CTZ678" s="37"/>
      <c r="CUA678" s="37"/>
      <c r="CUB678" s="37"/>
      <c r="CUC678" s="37"/>
      <c r="CUD678" s="37"/>
      <c r="CUE678" s="37"/>
      <c r="CUF678" s="37"/>
      <c r="CUG678" s="37"/>
      <c r="CUH678" s="37"/>
      <c r="CUI678" s="37"/>
      <c r="CUJ678" s="37"/>
      <c r="CUK678" s="37"/>
      <c r="CUL678" s="37"/>
      <c r="CUM678" s="37"/>
      <c r="CUN678" s="37"/>
      <c r="CUO678" s="37"/>
      <c r="CUP678" s="37"/>
      <c r="CUQ678" s="37"/>
      <c r="CUR678" s="37"/>
      <c r="CUS678" s="37"/>
      <c r="CUT678" s="37"/>
      <c r="CUU678" s="37"/>
      <c r="CUV678" s="37"/>
      <c r="CUW678" s="37"/>
      <c r="CUX678" s="37"/>
      <c r="CUY678" s="37"/>
      <c r="CUZ678" s="37"/>
      <c r="CVA678" s="37"/>
      <c r="CVB678" s="37"/>
      <c r="CVC678" s="37"/>
      <c r="CVD678" s="37"/>
      <c r="CVE678" s="37"/>
      <c r="CVF678" s="37"/>
      <c r="CVG678" s="37"/>
      <c r="CVH678" s="37"/>
      <c r="CVI678" s="37"/>
      <c r="CVJ678" s="37"/>
      <c r="CVK678" s="37"/>
      <c r="CVL678" s="37"/>
      <c r="CVM678" s="37"/>
      <c r="CVN678" s="37"/>
      <c r="CVO678" s="37"/>
      <c r="CVP678" s="37"/>
      <c r="CVQ678" s="37"/>
      <c r="CVR678" s="37"/>
      <c r="CVS678" s="37"/>
      <c r="CVT678" s="37"/>
      <c r="CVU678" s="37"/>
      <c r="CVV678" s="37"/>
      <c r="CVW678" s="37"/>
      <c r="CVX678" s="37"/>
      <c r="CVY678" s="37"/>
      <c r="CVZ678" s="37"/>
      <c r="CWA678" s="37"/>
      <c r="CWB678" s="37"/>
      <c r="CWC678" s="37"/>
      <c r="CWD678" s="37"/>
      <c r="CWE678" s="37"/>
      <c r="CWF678" s="37"/>
      <c r="CWG678" s="37"/>
      <c r="CWH678" s="37"/>
      <c r="CWI678" s="37"/>
      <c r="CWJ678" s="37"/>
      <c r="CWK678" s="37"/>
      <c r="CWL678" s="37"/>
      <c r="CWM678" s="37"/>
      <c r="CWN678" s="37"/>
      <c r="CWO678" s="37"/>
      <c r="CWP678" s="37"/>
      <c r="CWQ678" s="37"/>
      <c r="CWR678" s="37"/>
      <c r="CWS678" s="37"/>
      <c r="CWT678" s="37"/>
      <c r="CWU678" s="37"/>
      <c r="CWV678" s="37"/>
      <c r="CWW678" s="37"/>
      <c r="CWX678" s="37"/>
      <c r="CWY678" s="37"/>
      <c r="CWZ678" s="37"/>
      <c r="CXA678" s="37"/>
      <c r="CXB678" s="37"/>
      <c r="CXC678" s="37"/>
      <c r="CXD678" s="37"/>
      <c r="CXE678" s="37"/>
      <c r="CXF678" s="37"/>
      <c r="CXG678" s="37"/>
      <c r="CXH678" s="37"/>
      <c r="CXI678" s="37"/>
      <c r="CXJ678" s="37"/>
      <c r="CXK678" s="37"/>
      <c r="CXL678" s="37"/>
      <c r="CXM678" s="37"/>
      <c r="CXN678" s="37"/>
      <c r="CXO678" s="37"/>
      <c r="CXP678" s="37"/>
      <c r="CXQ678" s="37"/>
      <c r="CXR678" s="37"/>
      <c r="CXS678" s="37"/>
      <c r="CXT678" s="37"/>
      <c r="CXU678" s="37"/>
      <c r="CXV678" s="37"/>
      <c r="CXW678" s="37"/>
      <c r="CXX678" s="37"/>
      <c r="CXY678" s="37"/>
      <c r="CXZ678" s="37"/>
      <c r="CYA678" s="37"/>
      <c r="CYB678" s="37"/>
      <c r="CYC678" s="37"/>
      <c r="CYD678" s="37"/>
      <c r="CYE678" s="37"/>
      <c r="CYF678" s="37"/>
      <c r="CYG678" s="37"/>
      <c r="CYH678" s="37"/>
      <c r="CYI678" s="37"/>
      <c r="CYJ678" s="37"/>
      <c r="CYK678" s="37"/>
      <c r="CYL678" s="37"/>
      <c r="CYM678" s="37"/>
      <c r="CYN678" s="37"/>
      <c r="CYO678" s="37"/>
      <c r="CYP678" s="37"/>
      <c r="CYQ678" s="37"/>
      <c r="CYR678" s="37"/>
      <c r="CYS678" s="37"/>
      <c r="CYT678" s="37"/>
      <c r="CYU678" s="37"/>
      <c r="CYV678" s="37"/>
      <c r="CYW678" s="37"/>
      <c r="CYX678" s="37"/>
      <c r="CYY678" s="37"/>
      <c r="CYZ678" s="37"/>
      <c r="CZA678" s="37"/>
      <c r="CZB678" s="37"/>
      <c r="CZC678" s="37"/>
      <c r="CZD678" s="37"/>
      <c r="CZE678" s="37"/>
      <c r="CZF678" s="37"/>
      <c r="CZG678" s="37"/>
      <c r="CZH678" s="37"/>
      <c r="CZI678" s="37"/>
      <c r="CZJ678" s="37"/>
      <c r="CZK678" s="37"/>
      <c r="CZL678" s="37"/>
      <c r="CZM678" s="37"/>
      <c r="CZN678" s="37"/>
      <c r="CZO678" s="37"/>
      <c r="CZP678" s="37"/>
      <c r="CZQ678" s="37"/>
      <c r="CZR678" s="37"/>
      <c r="CZS678" s="37"/>
      <c r="CZT678" s="37"/>
      <c r="CZU678" s="37"/>
      <c r="CZV678" s="37"/>
      <c r="CZW678" s="37"/>
      <c r="CZX678" s="37"/>
      <c r="CZY678" s="37"/>
      <c r="CZZ678" s="37"/>
      <c r="DAA678" s="37"/>
      <c r="DAB678" s="37"/>
      <c r="DAC678" s="37"/>
      <c r="DAD678" s="37"/>
      <c r="DAE678" s="37"/>
      <c r="DAF678" s="37"/>
      <c r="DAG678" s="37"/>
      <c r="DAH678" s="37"/>
      <c r="DAI678" s="37"/>
      <c r="DAJ678" s="37"/>
      <c r="DAK678" s="37"/>
      <c r="DAL678" s="37"/>
      <c r="DAM678" s="37"/>
      <c r="DAN678" s="37"/>
      <c r="DAO678" s="37"/>
      <c r="DAP678" s="37"/>
      <c r="DAQ678" s="37"/>
      <c r="DAR678" s="37"/>
      <c r="DAS678" s="37"/>
      <c r="DAT678" s="37"/>
      <c r="DAU678" s="37"/>
      <c r="DAV678" s="37"/>
      <c r="DAW678" s="37"/>
      <c r="DAX678" s="37"/>
      <c r="DAY678" s="37"/>
      <c r="DAZ678" s="37"/>
      <c r="DBA678" s="37"/>
      <c r="DBB678" s="37"/>
      <c r="DBC678" s="37"/>
      <c r="DBD678" s="37"/>
      <c r="DBE678" s="37"/>
      <c r="DBF678" s="37"/>
      <c r="DBG678" s="37"/>
      <c r="DBH678" s="37"/>
      <c r="DBI678" s="37"/>
      <c r="DBJ678" s="37"/>
      <c r="DBK678" s="37"/>
      <c r="DBL678" s="37"/>
      <c r="DBM678" s="37"/>
      <c r="DBN678" s="37"/>
      <c r="DBO678" s="37"/>
      <c r="DBP678" s="37"/>
      <c r="DBQ678" s="37"/>
      <c r="DBR678" s="37"/>
      <c r="DBS678" s="37"/>
      <c r="DBT678" s="37"/>
      <c r="DBU678" s="37"/>
      <c r="DBV678" s="37"/>
      <c r="DBW678" s="37"/>
      <c r="DBX678" s="37"/>
      <c r="DBY678" s="37"/>
      <c r="DBZ678" s="37"/>
      <c r="DCA678" s="37"/>
      <c r="DCB678" s="37"/>
      <c r="DCC678" s="37"/>
      <c r="DCD678" s="37"/>
      <c r="DCE678" s="37"/>
      <c r="DCF678" s="37"/>
      <c r="DCG678" s="37"/>
      <c r="DCH678" s="37"/>
      <c r="DCI678" s="37"/>
      <c r="DCJ678" s="37"/>
      <c r="DCK678" s="37"/>
      <c r="DCL678" s="37"/>
      <c r="DCM678" s="37"/>
      <c r="DCN678" s="37"/>
      <c r="DCO678" s="37"/>
      <c r="DCP678" s="37"/>
      <c r="DCQ678" s="37"/>
      <c r="DCR678" s="37"/>
      <c r="DCS678" s="37"/>
      <c r="DCT678" s="37"/>
      <c r="DCU678" s="37"/>
      <c r="DCV678" s="37"/>
      <c r="DCW678" s="37"/>
      <c r="DCX678" s="37"/>
      <c r="DCY678" s="37"/>
      <c r="DCZ678" s="37"/>
      <c r="DDA678" s="37"/>
      <c r="DDB678" s="37"/>
      <c r="DDC678" s="37"/>
      <c r="DDD678" s="37"/>
      <c r="DDE678" s="37"/>
      <c r="DDF678" s="37"/>
      <c r="DDG678" s="37"/>
      <c r="DDH678" s="37"/>
      <c r="DDI678" s="37"/>
      <c r="DDJ678" s="37"/>
      <c r="DDK678" s="37"/>
      <c r="DDL678" s="37"/>
      <c r="DDM678" s="37"/>
      <c r="DDN678" s="37"/>
      <c r="DDO678" s="37"/>
      <c r="DDP678" s="37"/>
      <c r="DDQ678" s="37"/>
      <c r="DDR678" s="37"/>
      <c r="DDS678" s="37"/>
      <c r="DDT678" s="37"/>
      <c r="DDU678" s="37"/>
      <c r="DDV678" s="37"/>
      <c r="DDW678" s="37"/>
      <c r="DDX678" s="37"/>
      <c r="DDY678" s="37"/>
      <c r="DDZ678" s="37"/>
      <c r="DEA678" s="37"/>
      <c r="DEB678" s="37"/>
      <c r="DEC678" s="37"/>
      <c r="DED678" s="37"/>
      <c r="DEE678" s="37"/>
      <c r="DEF678" s="37"/>
      <c r="DEG678" s="37"/>
      <c r="DEH678" s="37"/>
      <c r="DEI678" s="37"/>
      <c r="DEJ678" s="37"/>
      <c r="DEK678" s="37"/>
      <c r="DEL678" s="37"/>
      <c r="DEM678" s="37"/>
      <c r="DEN678" s="37"/>
      <c r="DEO678" s="37"/>
      <c r="DEP678" s="37"/>
      <c r="DEQ678" s="37"/>
      <c r="DER678" s="37"/>
      <c r="DES678" s="37"/>
      <c r="DET678" s="37"/>
      <c r="DEU678" s="37"/>
      <c r="DEV678" s="37"/>
      <c r="DEW678" s="37"/>
      <c r="DEX678" s="37"/>
      <c r="DEY678" s="37"/>
      <c r="DEZ678" s="37"/>
      <c r="DFA678" s="37"/>
      <c r="DFB678" s="37"/>
      <c r="DFC678" s="37"/>
      <c r="DFD678" s="37"/>
      <c r="DFE678" s="37"/>
      <c r="DFF678" s="37"/>
      <c r="DFG678" s="37"/>
      <c r="DFH678" s="37"/>
      <c r="DFI678" s="37"/>
      <c r="DFJ678" s="37"/>
      <c r="DFK678" s="37"/>
      <c r="DFL678" s="37"/>
      <c r="DFM678" s="37"/>
      <c r="DFN678" s="37"/>
      <c r="DFO678" s="37"/>
      <c r="DFP678" s="37"/>
      <c r="DFQ678" s="37"/>
      <c r="DFR678" s="37"/>
      <c r="DFS678" s="37"/>
      <c r="DFT678" s="37"/>
      <c r="DFU678" s="37"/>
      <c r="DFV678" s="37"/>
      <c r="DFW678" s="37"/>
      <c r="DFX678" s="37"/>
      <c r="DFY678" s="37"/>
      <c r="DFZ678" s="37"/>
      <c r="DGA678" s="37"/>
      <c r="DGB678" s="37"/>
      <c r="DGC678" s="37"/>
      <c r="DGD678" s="37"/>
      <c r="DGE678" s="37"/>
      <c r="DGF678" s="37"/>
      <c r="DGG678" s="37"/>
      <c r="DGH678" s="37"/>
      <c r="DGI678" s="37"/>
      <c r="DGJ678" s="37"/>
      <c r="DGK678" s="37"/>
      <c r="DGL678" s="37"/>
      <c r="DGM678" s="37"/>
      <c r="DGN678" s="37"/>
      <c r="DGO678" s="37"/>
      <c r="DGP678" s="37"/>
      <c r="DGQ678" s="37"/>
      <c r="DGR678" s="37"/>
      <c r="DGS678" s="37"/>
      <c r="DGT678" s="37"/>
      <c r="DGU678" s="37"/>
      <c r="DGV678" s="37"/>
      <c r="DGW678" s="37"/>
      <c r="DGX678" s="37"/>
      <c r="DGY678" s="37"/>
      <c r="DGZ678" s="37"/>
      <c r="DHA678" s="37"/>
      <c r="DHB678" s="37"/>
      <c r="DHC678" s="37"/>
      <c r="DHD678" s="37"/>
      <c r="DHE678" s="37"/>
      <c r="DHF678" s="37"/>
      <c r="DHG678" s="37"/>
      <c r="DHH678" s="37"/>
      <c r="DHI678" s="37"/>
      <c r="DHJ678" s="37"/>
      <c r="DHK678" s="37"/>
      <c r="DHL678" s="37"/>
      <c r="DHM678" s="37"/>
      <c r="DHN678" s="37"/>
      <c r="DHO678" s="37"/>
      <c r="DHP678" s="37"/>
      <c r="DHQ678" s="37"/>
      <c r="DHR678" s="37"/>
      <c r="DHS678" s="37"/>
      <c r="DHT678" s="37"/>
      <c r="DHU678" s="37"/>
      <c r="DHV678" s="37"/>
      <c r="DHW678" s="37"/>
      <c r="DHX678" s="37"/>
      <c r="DHY678" s="37"/>
      <c r="DHZ678" s="37"/>
      <c r="DIA678" s="37"/>
      <c r="DIB678" s="37"/>
      <c r="DIC678" s="37"/>
      <c r="DID678" s="37"/>
      <c r="DIE678" s="37"/>
      <c r="DIF678" s="37"/>
      <c r="DIG678" s="37"/>
      <c r="DIH678" s="37"/>
      <c r="DII678" s="37"/>
      <c r="DIJ678" s="37"/>
      <c r="DIK678" s="37"/>
      <c r="DIL678" s="37"/>
      <c r="DIM678" s="37"/>
      <c r="DIN678" s="37"/>
      <c r="DIO678" s="37"/>
      <c r="DIP678" s="37"/>
      <c r="DIQ678" s="37"/>
      <c r="DIR678" s="37"/>
      <c r="DIS678" s="37"/>
      <c r="DIT678" s="37"/>
      <c r="DIU678" s="37"/>
      <c r="DIV678" s="37"/>
      <c r="DIW678" s="37"/>
      <c r="DIX678" s="37"/>
      <c r="DIY678" s="37"/>
      <c r="DIZ678" s="37"/>
      <c r="DJA678" s="37"/>
      <c r="DJB678" s="37"/>
      <c r="DJC678" s="37"/>
      <c r="DJD678" s="37"/>
      <c r="DJE678" s="37"/>
      <c r="DJF678" s="37"/>
      <c r="DJG678" s="37"/>
      <c r="DJH678" s="37"/>
      <c r="DJI678" s="37"/>
      <c r="DJJ678" s="37"/>
      <c r="DJK678" s="37"/>
      <c r="DJL678" s="37"/>
      <c r="DJM678" s="37"/>
      <c r="DJN678" s="37"/>
      <c r="DJO678" s="37"/>
      <c r="DJP678" s="37"/>
      <c r="DJQ678" s="37"/>
      <c r="DJR678" s="37"/>
      <c r="DJS678" s="37"/>
      <c r="DJT678" s="37"/>
      <c r="DJU678" s="37"/>
      <c r="DJV678" s="37"/>
      <c r="DJW678" s="37"/>
      <c r="DJX678" s="37"/>
      <c r="DJY678" s="37"/>
      <c r="DJZ678" s="37"/>
      <c r="DKA678" s="37"/>
      <c r="DKB678" s="37"/>
      <c r="DKC678" s="37"/>
      <c r="DKD678" s="37"/>
      <c r="DKE678" s="37"/>
      <c r="DKF678" s="37"/>
      <c r="DKG678" s="37"/>
      <c r="DKH678" s="37"/>
      <c r="DKI678" s="37"/>
      <c r="DKJ678" s="37"/>
      <c r="DKK678" s="37"/>
      <c r="DKL678" s="37"/>
      <c r="DKM678" s="37"/>
      <c r="DKN678" s="37"/>
      <c r="DKO678" s="37"/>
      <c r="DKP678" s="37"/>
      <c r="DKQ678" s="37"/>
      <c r="DKR678" s="37"/>
      <c r="DKS678" s="37"/>
      <c r="DKT678" s="37"/>
      <c r="DKU678" s="37"/>
      <c r="DKV678" s="37"/>
      <c r="DKW678" s="37"/>
      <c r="DKX678" s="37"/>
      <c r="DKY678" s="37"/>
      <c r="DKZ678" s="37"/>
      <c r="DLA678" s="37"/>
      <c r="DLB678" s="37"/>
      <c r="DLC678" s="37"/>
      <c r="DLD678" s="37"/>
      <c r="DLE678" s="37"/>
      <c r="DLF678" s="37"/>
      <c r="DLG678" s="37"/>
      <c r="DLH678" s="37"/>
      <c r="DLI678" s="37"/>
      <c r="DLJ678" s="37"/>
      <c r="DLK678" s="37"/>
      <c r="DLL678" s="37"/>
      <c r="DLM678" s="37"/>
      <c r="DLN678" s="37"/>
      <c r="DLO678" s="37"/>
      <c r="DLP678" s="37"/>
      <c r="DLQ678" s="37"/>
      <c r="DLR678" s="37"/>
      <c r="DLS678" s="37"/>
      <c r="DLT678" s="37"/>
      <c r="DLU678" s="37"/>
      <c r="DLV678" s="37"/>
      <c r="DLW678" s="37"/>
      <c r="DLX678" s="37"/>
      <c r="DLY678" s="37"/>
      <c r="DLZ678" s="37"/>
      <c r="DMA678" s="37"/>
      <c r="DMB678" s="37"/>
      <c r="DMC678" s="37"/>
      <c r="DMD678" s="37"/>
      <c r="DME678" s="37"/>
      <c r="DMF678" s="37"/>
      <c r="DMG678" s="37"/>
      <c r="DMH678" s="37"/>
      <c r="DMI678" s="37"/>
      <c r="DMJ678" s="37"/>
      <c r="DMK678" s="37"/>
      <c r="DML678" s="37"/>
      <c r="DMM678" s="37"/>
      <c r="DMN678" s="37"/>
      <c r="DMO678" s="37"/>
      <c r="DMP678" s="37"/>
      <c r="DMQ678" s="37"/>
      <c r="DMR678" s="37"/>
      <c r="DMS678" s="37"/>
      <c r="DMT678" s="37"/>
      <c r="DMU678" s="37"/>
      <c r="DMV678" s="37"/>
      <c r="DMW678" s="37"/>
      <c r="DMX678" s="37"/>
      <c r="DMY678" s="37"/>
      <c r="DMZ678" s="37"/>
      <c r="DNA678" s="37"/>
      <c r="DNB678" s="37"/>
      <c r="DNC678" s="37"/>
      <c r="DND678" s="37"/>
      <c r="DNE678" s="37"/>
      <c r="DNF678" s="37"/>
      <c r="DNG678" s="37"/>
      <c r="DNH678" s="37"/>
      <c r="DNI678" s="37"/>
      <c r="DNJ678" s="37"/>
      <c r="DNK678" s="37"/>
      <c r="DNL678" s="37"/>
      <c r="DNM678" s="37"/>
      <c r="DNN678" s="37"/>
      <c r="DNO678" s="37"/>
      <c r="DNP678" s="37"/>
      <c r="DNQ678" s="37"/>
      <c r="DNR678" s="37"/>
      <c r="DNS678" s="37"/>
      <c r="DNT678" s="37"/>
      <c r="DNU678" s="37"/>
      <c r="DNV678" s="37"/>
      <c r="DNW678" s="37"/>
      <c r="DNX678" s="37"/>
      <c r="DNY678" s="37"/>
      <c r="DNZ678" s="37"/>
      <c r="DOA678" s="37"/>
      <c r="DOB678" s="37"/>
      <c r="DOC678" s="37"/>
      <c r="DOD678" s="37"/>
      <c r="DOE678" s="37"/>
      <c r="DOF678" s="37"/>
      <c r="DOG678" s="37"/>
      <c r="DOH678" s="37"/>
      <c r="DOI678" s="37"/>
      <c r="DOJ678" s="37"/>
      <c r="DOK678" s="37"/>
      <c r="DOL678" s="37"/>
      <c r="DOM678" s="37"/>
      <c r="DON678" s="37"/>
      <c r="DOO678" s="37"/>
      <c r="DOP678" s="37"/>
      <c r="DOQ678" s="37"/>
      <c r="DOR678" s="37"/>
      <c r="DOS678" s="37"/>
      <c r="DOT678" s="37"/>
      <c r="DOU678" s="37"/>
      <c r="DOV678" s="37"/>
      <c r="DOW678" s="37"/>
      <c r="DOX678" s="37"/>
      <c r="DOY678" s="37"/>
      <c r="DOZ678" s="37"/>
      <c r="DPA678" s="37"/>
      <c r="DPB678" s="37"/>
      <c r="DPC678" s="37"/>
      <c r="DPD678" s="37"/>
      <c r="DPE678" s="37"/>
      <c r="DPF678" s="37"/>
      <c r="DPG678" s="37"/>
      <c r="DPH678" s="37"/>
      <c r="DPI678" s="37"/>
      <c r="DPJ678" s="37"/>
      <c r="DPK678" s="37"/>
      <c r="DPL678" s="37"/>
      <c r="DPM678" s="37"/>
      <c r="DPN678" s="37"/>
      <c r="DPO678" s="37"/>
      <c r="DPP678" s="37"/>
      <c r="DPQ678" s="37"/>
      <c r="DPR678" s="37"/>
      <c r="DPS678" s="37"/>
      <c r="DPT678" s="37"/>
      <c r="DPU678" s="37"/>
      <c r="DPV678" s="37"/>
      <c r="DPW678" s="37"/>
      <c r="DPX678" s="37"/>
      <c r="DPY678" s="37"/>
      <c r="DPZ678" s="37"/>
      <c r="DQA678" s="37"/>
      <c r="DQB678" s="37"/>
      <c r="DQC678" s="37"/>
      <c r="DQD678" s="37"/>
      <c r="DQE678" s="37"/>
      <c r="DQF678" s="37"/>
      <c r="DQG678" s="37"/>
      <c r="DQH678" s="37"/>
      <c r="DQI678" s="37"/>
      <c r="DQJ678" s="37"/>
      <c r="DQK678" s="37"/>
      <c r="DQL678" s="37"/>
      <c r="DQM678" s="37"/>
      <c r="DQN678" s="37"/>
      <c r="DQO678" s="37"/>
      <c r="DQP678" s="37"/>
      <c r="DQQ678" s="37"/>
      <c r="DQR678" s="37"/>
      <c r="DQS678" s="37"/>
      <c r="DQT678" s="37"/>
      <c r="DQU678" s="37"/>
      <c r="DQV678" s="37"/>
      <c r="DQW678" s="37"/>
      <c r="DQX678" s="37"/>
      <c r="DQY678" s="37"/>
      <c r="DQZ678" s="37"/>
      <c r="DRA678" s="37"/>
      <c r="DRB678" s="37"/>
      <c r="DRC678" s="37"/>
      <c r="DRD678" s="37"/>
      <c r="DRE678" s="37"/>
      <c r="DRF678" s="37"/>
      <c r="DRG678" s="37"/>
      <c r="DRH678" s="37"/>
      <c r="DRI678" s="37"/>
      <c r="DRJ678" s="37"/>
      <c r="DRK678" s="37"/>
      <c r="DRL678" s="37"/>
      <c r="DRM678" s="37"/>
      <c r="DRN678" s="37"/>
      <c r="DRO678" s="37"/>
      <c r="DRP678" s="37"/>
      <c r="DRQ678" s="37"/>
      <c r="DRR678" s="37"/>
      <c r="DRS678" s="37"/>
      <c r="DRT678" s="37"/>
      <c r="DRU678" s="37"/>
      <c r="DRV678" s="37"/>
      <c r="DRW678" s="37"/>
      <c r="DRX678" s="37"/>
      <c r="DRY678" s="37"/>
      <c r="DRZ678" s="37"/>
      <c r="DSA678" s="37"/>
      <c r="DSB678" s="37"/>
      <c r="DSC678" s="37"/>
      <c r="DSD678" s="37"/>
      <c r="DSE678" s="37"/>
      <c r="DSF678" s="37"/>
      <c r="DSG678" s="37"/>
      <c r="DSH678" s="37"/>
      <c r="DSI678" s="37"/>
      <c r="DSJ678" s="37"/>
      <c r="DSK678" s="37"/>
      <c r="DSL678" s="37"/>
      <c r="DSM678" s="37"/>
      <c r="DSN678" s="37"/>
      <c r="DSO678" s="37"/>
      <c r="DSP678" s="37"/>
      <c r="DSQ678" s="37"/>
      <c r="DSR678" s="37"/>
      <c r="DSS678" s="37"/>
      <c r="DST678" s="37"/>
      <c r="DSU678" s="37"/>
      <c r="DSV678" s="37"/>
      <c r="DSW678" s="37"/>
      <c r="DSX678" s="37"/>
      <c r="DSY678" s="37"/>
      <c r="DSZ678" s="37"/>
      <c r="DTA678" s="37"/>
      <c r="DTB678" s="37"/>
      <c r="DTC678" s="37"/>
      <c r="DTD678" s="37"/>
      <c r="DTE678" s="37"/>
      <c r="DTF678" s="37"/>
      <c r="DTG678" s="37"/>
      <c r="DTH678" s="37"/>
      <c r="DTI678" s="37"/>
      <c r="DTJ678" s="37"/>
      <c r="DTK678" s="37"/>
      <c r="DTL678" s="37"/>
      <c r="DTM678" s="37"/>
      <c r="DTN678" s="37"/>
      <c r="DTO678" s="37"/>
      <c r="DTP678" s="37"/>
      <c r="DTQ678" s="37"/>
      <c r="DTR678" s="37"/>
      <c r="DTS678" s="37"/>
      <c r="DTT678" s="37"/>
      <c r="DTU678" s="37"/>
      <c r="DTV678" s="37"/>
      <c r="DTW678" s="37"/>
      <c r="DTX678" s="37"/>
      <c r="DTY678" s="37"/>
      <c r="DTZ678" s="37"/>
      <c r="DUA678" s="37"/>
      <c r="DUB678" s="37"/>
      <c r="DUC678" s="37"/>
      <c r="DUD678" s="37"/>
      <c r="DUE678" s="37"/>
      <c r="DUF678" s="37"/>
      <c r="DUG678" s="37"/>
      <c r="DUH678" s="37"/>
      <c r="DUI678" s="37"/>
      <c r="DUJ678" s="37"/>
      <c r="DUK678" s="37"/>
      <c r="DUL678" s="37"/>
      <c r="DUM678" s="37"/>
      <c r="DUN678" s="37"/>
      <c r="DUO678" s="37"/>
      <c r="DUP678" s="37"/>
      <c r="DUQ678" s="37"/>
      <c r="DUR678" s="37"/>
      <c r="DUS678" s="37"/>
      <c r="DUT678" s="37"/>
      <c r="DUU678" s="37"/>
      <c r="DUV678" s="37"/>
      <c r="DUW678" s="37"/>
      <c r="DUX678" s="37"/>
      <c r="DUY678" s="37"/>
      <c r="DUZ678" s="37"/>
      <c r="DVA678" s="37"/>
      <c r="DVB678" s="37"/>
      <c r="DVC678" s="37"/>
      <c r="DVD678" s="37"/>
      <c r="DVE678" s="37"/>
      <c r="DVF678" s="37"/>
      <c r="DVG678" s="37"/>
      <c r="DVH678" s="37"/>
      <c r="DVI678" s="37"/>
      <c r="DVJ678" s="37"/>
      <c r="DVK678" s="37"/>
      <c r="DVL678" s="37"/>
      <c r="DVM678" s="37"/>
      <c r="DVN678" s="37"/>
      <c r="DVO678" s="37"/>
      <c r="DVP678" s="37"/>
      <c r="DVQ678" s="37"/>
      <c r="DVR678" s="37"/>
      <c r="DVS678" s="37"/>
      <c r="DVT678" s="37"/>
      <c r="DVU678" s="37"/>
      <c r="DVV678" s="37"/>
      <c r="DVW678" s="37"/>
      <c r="DVX678" s="37"/>
      <c r="DVY678" s="37"/>
      <c r="DVZ678" s="37"/>
      <c r="DWA678" s="37"/>
      <c r="DWB678" s="37"/>
      <c r="DWC678" s="37"/>
      <c r="DWD678" s="37"/>
      <c r="DWE678" s="37"/>
      <c r="DWF678" s="37"/>
      <c r="DWG678" s="37"/>
      <c r="DWH678" s="37"/>
      <c r="DWI678" s="37"/>
      <c r="DWJ678" s="37"/>
      <c r="DWK678" s="37"/>
      <c r="DWL678" s="37"/>
      <c r="DWM678" s="37"/>
      <c r="DWN678" s="37"/>
      <c r="DWO678" s="37"/>
      <c r="DWP678" s="37"/>
      <c r="DWQ678" s="37"/>
      <c r="DWR678" s="37"/>
      <c r="DWS678" s="37"/>
      <c r="DWT678" s="37"/>
      <c r="DWU678" s="37"/>
      <c r="DWV678" s="37"/>
      <c r="DWW678" s="37"/>
      <c r="DWX678" s="37"/>
      <c r="DWY678" s="37"/>
      <c r="DWZ678" s="37"/>
      <c r="DXA678" s="37"/>
      <c r="DXB678" s="37"/>
      <c r="DXC678" s="37"/>
      <c r="DXD678" s="37"/>
      <c r="DXE678" s="37"/>
      <c r="DXF678" s="37"/>
      <c r="DXG678" s="37"/>
      <c r="DXH678" s="37"/>
      <c r="DXI678" s="37"/>
      <c r="DXJ678" s="37"/>
      <c r="DXK678" s="37"/>
      <c r="DXL678" s="37"/>
      <c r="DXM678" s="37"/>
      <c r="DXN678" s="37"/>
      <c r="DXO678" s="37"/>
      <c r="DXP678" s="37"/>
      <c r="DXQ678" s="37"/>
      <c r="DXR678" s="37"/>
      <c r="DXS678" s="37"/>
      <c r="DXT678" s="37"/>
      <c r="DXU678" s="37"/>
      <c r="DXV678" s="37"/>
      <c r="DXW678" s="37"/>
      <c r="DXX678" s="37"/>
      <c r="DXY678" s="37"/>
      <c r="DXZ678" s="37"/>
      <c r="DYA678" s="37"/>
      <c r="DYB678" s="37"/>
      <c r="DYC678" s="37"/>
      <c r="DYD678" s="37"/>
      <c r="DYE678" s="37"/>
      <c r="DYF678" s="37"/>
      <c r="DYG678" s="37"/>
      <c r="DYH678" s="37"/>
      <c r="DYI678" s="37"/>
      <c r="DYJ678" s="37"/>
      <c r="DYK678" s="37"/>
      <c r="DYL678" s="37"/>
      <c r="DYM678" s="37"/>
      <c r="DYN678" s="37"/>
      <c r="DYO678" s="37"/>
      <c r="DYP678" s="37"/>
      <c r="DYQ678" s="37"/>
      <c r="DYR678" s="37"/>
      <c r="DYS678" s="37"/>
      <c r="DYT678" s="37"/>
      <c r="DYU678" s="37"/>
      <c r="DYV678" s="37"/>
      <c r="DYW678" s="37"/>
      <c r="DYX678" s="37"/>
      <c r="DYY678" s="37"/>
      <c r="DYZ678" s="37"/>
      <c r="DZA678" s="37"/>
      <c r="DZB678" s="37"/>
      <c r="DZC678" s="37"/>
      <c r="DZD678" s="37"/>
      <c r="DZE678" s="37"/>
      <c r="DZF678" s="37"/>
      <c r="DZG678" s="37"/>
      <c r="DZH678" s="37"/>
      <c r="DZI678" s="37"/>
      <c r="DZJ678" s="37"/>
      <c r="DZK678" s="37"/>
      <c r="DZL678" s="37"/>
      <c r="DZM678" s="37"/>
      <c r="DZN678" s="37"/>
      <c r="DZO678" s="37"/>
      <c r="DZP678" s="37"/>
      <c r="DZQ678" s="37"/>
      <c r="DZR678" s="37"/>
      <c r="DZS678" s="37"/>
      <c r="DZT678" s="37"/>
      <c r="DZU678" s="37"/>
      <c r="DZV678" s="37"/>
      <c r="DZW678" s="37"/>
      <c r="DZX678" s="37"/>
      <c r="DZY678" s="37"/>
      <c r="DZZ678" s="37"/>
      <c r="EAA678" s="37"/>
      <c r="EAB678" s="37"/>
      <c r="EAC678" s="37"/>
      <c r="EAD678" s="37"/>
      <c r="EAE678" s="37"/>
      <c r="EAF678" s="37"/>
      <c r="EAG678" s="37"/>
      <c r="EAH678" s="37"/>
      <c r="EAI678" s="37"/>
      <c r="EAJ678" s="37"/>
      <c r="EAK678" s="37"/>
      <c r="EAL678" s="37"/>
      <c r="EAM678" s="37"/>
      <c r="EAN678" s="37"/>
      <c r="EAO678" s="37"/>
      <c r="EAP678" s="37"/>
      <c r="EAQ678" s="37"/>
      <c r="EAR678" s="37"/>
      <c r="EAS678" s="37"/>
      <c r="EAT678" s="37"/>
      <c r="EAU678" s="37"/>
      <c r="EAV678" s="37"/>
      <c r="EAW678" s="37"/>
      <c r="EAX678" s="37"/>
      <c r="EAY678" s="37"/>
      <c r="EAZ678" s="37"/>
      <c r="EBA678" s="37"/>
      <c r="EBB678" s="37"/>
      <c r="EBC678" s="37"/>
      <c r="EBD678" s="37"/>
      <c r="EBE678" s="37"/>
      <c r="EBF678" s="37"/>
      <c r="EBG678" s="37"/>
      <c r="EBH678" s="37"/>
      <c r="EBI678" s="37"/>
      <c r="EBJ678" s="37"/>
      <c r="EBK678" s="37"/>
      <c r="EBL678" s="37"/>
      <c r="EBM678" s="37"/>
      <c r="EBN678" s="37"/>
      <c r="EBO678" s="37"/>
      <c r="EBP678" s="37"/>
      <c r="EBQ678" s="37"/>
      <c r="EBR678" s="37"/>
      <c r="EBS678" s="37"/>
      <c r="EBT678" s="37"/>
      <c r="EBU678" s="37"/>
      <c r="EBV678" s="37"/>
      <c r="EBW678" s="37"/>
      <c r="EBX678" s="37"/>
      <c r="EBY678" s="37"/>
      <c r="EBZ678" s="37"/>
      <c r="ECA678" s="37"/>
      <c r="ECB678" s="37"/>
      <c r="ECC678" s="37"/>
      <c r="ECD678" s="37"/>
      <c r="ECE678" s="37"/>
      <c r="ECF678" s="37"/>
      <c r="ECG678" s="37"/>
      <c r="ECH678" s="37"/>
      <c r="ECI678" s="37"/>
      <c r="ECJ678" s="37"/>
      <c r="ECK678" s="37"/>
      <c r="ECL678" s="37"/>
      <c r="ECM678" s="37"/>
      <c r="ECN678" s="37"/>
      <c r="ECO678" s="37"/>
      <c r="ECP678" s="37"/>
      <c r="ECQ678" s="37"/>
      <c r="ECR678" s="37"/>
      <c r="ECS678" s="37"/>
      <c r="ECT678" s="37"/>
      <c r="ECU678" s="37"/>
      <c r="ECV678" s="37"/>
      <c r="ECW678" s="37"/>
      <c r="ECX678" s="37"/>
      <c r="ECY678" s="37"/>
      <c r="ECZ678" s="37"/>
      <c r="EDA678" s="37"/>
      <c r="EDB678" s="37"/>
      <c r="EDC678" s="37"/>
      <c r="EDD678" s="37"/>
      <c r="EDE678" s="37"/>
      <c r="EDF678" s="37"/>
      <c r="EDG678" s="37"/>
      <c r="EDH678" s="37"/>
      <c r="EDI678" s="37"/>
      <c r="EDJ678" s="37"/>
      <c r="EDK678" s="37"/>
      <c r="EDL678" s="37"/>
      <c r="EDM678" s="37"/>
      <c r="EDN678" s="37"/>
      <c r="EDO678" s="37"/>
      <c r="EDP678" s="37"/>
      <c r="EDQ678" s="37"/>
      <c r="EDR678" s="37"/>
      <c r="EDS678" s="37"/>
      <c r="EDT678" s="37"/>
      <c r="EDU678" s="37"/>
      <c r="EDV678" s="37"/>
      <c r="EDW678" s="37"/>
      <c r="EDX678" s="37"/>
      <c r="EDY678" s="37"/>
      <c r="EDZ678" s="37"/>
      <c r="EEA678" s="37"/>
      <c r="EEB678" s="37"/>
      <c r="EEC678" s="37"/>
      <c r="EED678" s="37"/>
      <c r="EEE678" s="37"/>
      <c r="EEF678" s="37"/>
      <c r="EEG678" s="37"/>
      <c r="EEH678" s="37"/>
      <c r="EEI678" s="37"/>
      <c r="EEJ678" s="37"/>
      <c r="EEK678" s="37"/>
      <c r="EEL678" s="37"/>
      <c r="EEM678" s="37"/>
      <c r="EEN678" s="37"/>
      <c r="EEO678" s="37"/>
      <c r="EEP678" s="37"/>
      <c r="EEQ678" s="37"/>
      <c r="EER678" s="37"/>
      <c r="EES678" s="37"/>
      <c r="EET678" s="37"/>
      <c r="EEU678" s="37"/>
      <c r="EEV678" s="37"/>
      <c r="EEW678" s="37"/>
      <c r="EEX678" s="37"/>
      <c r="EEY678" s="37"/>
      <c r="EEZ678" s="37"/>
      <c r="EFA678" s="37"/>
      <c r="EFB678" s="37"/>
      <c r="EFC678" s="37"/>
      <c r="EFD678" s="37"/>
      <c r="EFE678" s="37"/>
      <c r="EFF678" s="37"/>
      <c r="EFG678" s="37"/>
      <c r="EFH678" s="37"/>
      <c r="EFI678" s="37"/>
      <c r="EFJ678" s="37"/>
      <c r="EFK678" s="37"/>
      <c r="EFL678" s="37"/>
      <c r="EFM678" s="37"/>
      <c r="EFN678" s="37"/>
      <c r="EFO678" s="37"/>
      <c r="EFP678" s="37"/>
      <c r="EFQ678" s="37"/>
      <c r="EFR678" s="37"/>
      <c r="EFS678" s="37"/>
      <c r="EFT678" s="37"/>
      <c r="EFU678" s="37"/>
      <c r="EFV678" s="37"/>
      <c r="EFW678" s="37"/>
      <c r="EFX678" s="37"/>
      <c r="EFY678" s="37"/>
      <c r="EFZ678" s="37"/>
      <c r="EGA678" s="37"/>
      <c r="EGB678" s="37"/>
      <c r="EGC678" s="37"/>
      <c r="EGD678" s="37"/>
      <c r="EGE678" s="37"/>
      <c r="EGF678" s="37"/>
      <c r="EGG678" s="37"/>
      <c r="EGH678" s="37"/>
      <c r="EGI678" s="37"/>
      <c r="EGJ678" s="37"/>
      <c r="EGK678" s="37"/>
      <c r="EGL678" s="37"/>
      <c r="EGM678" s="37"/>
      <c r="EGN678" s="37"/>
      <c r="EGO678" s="37"/>
      <c r="EGP678" s="37"/>
      <c r="EGQ678" s="37"/>
      <c r="EGR678" s="37"/>
      <c r="EGS678" s="37"/>
      <c r="EGT678" s="37"/>
      <c r="EGU678" s="37"/>
      <c r="EGV678" s="37"/>
      <c r="EGW678" s="37"/>
      <c r="EGX678" s="37"/>
      <c r="EGY678" s="37"/>
      <c r="EGZ678" s="37"/>
      <c r="EHA678" s="37"/>
      <c r="EHB678" s="37"/>
      <c r="EHC678" s="37"/>
      <c r="EHD678" s="37"/>
      <c r="EHE678" s="37"/>
      <c r="EHF678" s="37"/>
      <c r="EHG678" s="37"/>
      <c r="EHH678" s="37"/>
      <c r="EHI678" s="37"/>
      <c r="EHJ678" s="37"/>
      <c r="EHK678" s="37"/>
      <c r="EHL678" s="37"/>
      <c r="EHM678" s="37"/>
      <c r="EHN678" s="37"/>
      <c r="EHO678" s="37"/>
      <c r="EHP678" s="37"/>
      <c r="EHQ678" s="37"/>
      <c r="EHR678" s="37"/>
      <c r="EHS678" s="37"/>
      <c r="EHT678" s="37"/>
      <c r="EHU678" s="37"/>
      <c r="EHV678" s="37"/>
      <c r="EHW678" s="37"/>
      <c r="EHX678" s="37"/>
      <c r="EHY678" s="37"/>
      <c r="EHZ678" s="37"/>
      <c r="EIA678" s="37"/>
      <c r="EIB678" s="37"/>
      <c r="EIC678" s="37"/>
      <c r="EID678" s="37"/>
      <c r="EIE678" s="37"/>
      <c r="EIF678" s="37"/>
      <c r="EIG678" s="37"/>
      <c r="EIH678" s="37"/>
      <c r="EII678" s="37"/>
      <c r="EIJ678" s="37"/>
      <c r="EIK678" s="37"/>
      <c r="EIL678" s="37"/>
      <c r="EIM678" s="37"/>
      <c r="EIN678" s="37"/>
      <c r="EIO678" s="37"/>
      <c r="EIP678" s="37"/>
      <c r="EIQ678" s="37"/>
      <c r="EIR678" s="37"/>
      <c r="EIS678" s="37"/>
      <c r="EIT678" s="37"/>
      <c r="EIU678" s="37"/>
      <c r="EIV678" s="37"/>
      <c r="EIW678" s="37"/>
      <c r="EIX678" s="37"/>
      <c r="EIY678" s="37"/>
      <c r="EIZ678" s="37"/>
      <c r="EJA678" s="37"/>
      <c r="EJB678" s="37"/>
      <c r="EJC678" s="37"/>
      <c r="EJD678" s="37"/>
      <c r="EJE678" s="37"/>
      <c r="EJF678" s="37"/>
      <c r="EJG678" s="37"/>
      <c r="EJH678" s="37"/>
      <c r="EJI678" s="37"/>
      <c r="EJJ678" s="37"/>
      <c r="EJK678" s="37"/>
      <c r="EJL678" s="37"/>
      <c r="EJM678" s="37"/>
      <c r="EJN678" s="37"/>
      <c r="EJO678" s="37"/>
      <c r="EJP678" s="37"/>
      <c r="EJQ678" s="37"/>
      <c r="EJR678" s="37"/>
      <c r="EJS678" s="37"/>
      <c r="EJT678" s="37"/>
      <c r="EJU678" s="37"/>
      <c r="EJV678" s="37"/>
      <c r="EJW678" s="37"/>
      <c r="EJX678" s="37"/>
      <c r="EJY678" s="37"/>
      <c r="EJZ678" s="37"/>
      <c r="EKA678" s="37"/>
      <c r="EKB678" s="37"/>
      <c r="EKC678" s="37"/>
      <c r="EKD678" s="37"/>
      <c r="EKE678" s="37"/>
      <c r="EKF678" s="37"/>
      <c r="EKG678" s="37"/>
      <c r="EKH678" s="37"/>
      <c r="EKI678" s="37"/>
      <c r="EKJ678" s="37"/>
      <c r="EKK678" s="37"/>
      <c r="EKL678" s="37"/>
      <c r="EKM678" s="37"/>
      <c r="EKN678" s="37"/>
      <c r="EKO678" s="37"/>
      <c r="EKP678" s="37"/>
      <c r="EKQ678" s="37"/>
      <c r="EKR678" s="37"/>
      <c r="EKS678" s="37"/>
      <c r="EKT678" s="37"/>
      <c r="EKU678" s="37"/>
      <c r="EKV678" s="37"/>
      <c r="EKW678" s="37"/>
      <c r="EKX678" s="37"/>
      <c r="EKY678" s="37"/>
      <c r="EKZ678" s="37"/>
      <c r="ELA678" s="37"/>
      <c r="ELB678" s="37"/>
      <c r="ELC678" s="37"/>
      <c r="ELD678" s="37"/>
      <c r="ELE678" s="37"/>
      <c r="ELF678" s="37"/>
      <c r="ELG678" s="37"/>
      <c r="ELH678" s="37"/>
      <c r="ELI678" s="37"/>
      <c r="ELJ678" s="37"/>
      <c r="ELK678" s="37"/>
      <c r="ELL678" s="37"/>
      <c r="ELM678" s="37"/>
      <c r="ELN678" s="37"/>
      <c r="ELO678" s="37"/>
      <c r="ELP678" s="37"/>
      <c r="ELQ678" s="37"/>
      <c r="ELR678" s="37"/>
      <c r="ELS678" s="37"/>
      <c r="ELT678" s="37"/>
      <c r="ELU678" s="37"/>
      <c r="ELV678" s="37"/>
      <c r="ELW678" s="37"/>
      <c r="ELX678" s="37"/>
      <c r="ELY678" s="37"/>
      <c r="ELZ678" s="37"/>
      <c r="EMA678" s="37"/>
      <c r="EMB678" s="37"/>
      <c r="EMC678" s="37"/>
      <c r="EMD678" s="37"/>
      <c r="EME678" s="37"/>
      <c r="EMF678" s="37"/>
      <c r="EMG678" s="37"/>
      <c r="EMH678" s="37"/>
      <c r="EMI678" s="37"/>
      <c r="EMJ678" s="37"/>
      <c r="EMK678" s="37"/>
      <c r="EML678" s="37"/>
      <c r="EMM678" s="37"/>
      <c r="EMN678" s="37"/>
      <c r="EMO678" s="37"/>
      <c r="EMP678" s="37"/>
      <c r="EMQ678" s="37"/>
      <c r="EMR678" s="37"/>
      <c r="EMS678" s="37"/>
      <c r="EMT678" s="37"/>
      <c r="EMU678" s="37"/>
      <c r="EMV678" s="37"/>
      <c r="EMW678" s="37"/>
      <c r="EMX678" s="37"/>
      <c r="EMY678" s="37"/>
      <c r="EMZ678" s="37"/>
      <c r="ENA678" s="37"/>
      <c r="ENB678" s="37"/>
      <c r="ENC678" s="37"/>
      <c r="END678" s="37"/>
      <c r="ENE678" s="37"/>
      <c r="ENF678" s="37"/>
      <c r="ENG678" s="37"/>
      <c r="ENH678" s="37"/>
      <c r="ENI678" s="37"/>
      <c r="ENJ678" s="37"/>
      <c r="ENK678" s="37"/>
      <c r="ENL678" s="37"/>
      <c r="ENM678" s="37"/>
      <c r="ENN678" s="37"/>
      <c r="ENO678" s="37"/>
      <c r="ENP678" s="37"/>
      <c r="ENQ678" s="37"/>
      <c r="ENR678" s="37"/>
      <c r="ENS678" s="37"/>
      <c r="ENT678" s="37"/>
      <c r="ENU678" s="37"/>
      <c r="ENV678" s="37"/>
      <c r="ENW678" s="37"/>
      <c r="ENX678" s="37"/>
      <c r="ENY678" s="37"/>
      <c r="ENZ678" s="37"/>
      <c r="EOA678" s="37"/>
      <c r="EOB678" s="37"/>
      <c r="EOC678" s="37"/>
      <c r="EOD678" s="37"/>
      <c r="EOE678" s="37"/>
      <c r="EOF678" s="37"/>
      <c r="EOG678" s="37"/>
      <c r="EOH678" s="37"/>
      <c r="EOI678" s="37"/>
      <c r="EOJ678" s="37"/>
      <c r="EOK678" s="37"/>
      <c r="EOL678" s="37"/>
      <c r="EOM678" s="37"/>
      <c r="EON678" s="37"/>
      <c r="EOO678" s="37"/>
      <c r="EOP678" s="37"/>
      <c r="EOQ678" s="37"/>
      <c r="EOR678" s="37"/>
      <c r="EOS678" s="37"/>
      <c r="EOT678" s="37"/>
      <c r="EOU678" s="37"/>
      <c r="EOV678" s="37"/>
      <c r="EOW678" s="37"/>
      <c r="EOX678" s="37"/>
      <c r="EOY678" s="37"/>
      <c r="EOZ678" s="37"/>
      <c r="EPA678" s="37"/>
      <c r="EPB678" s="37"/>
      <c r="EPC678" s="37"/>
      <c r="EPD678" s="37"/>
      <c r="EPE678" s="37"/>
      <c r="EPF678" s="37"/>
      <c r="EPG678" s="37"/>
      <c r="EPH678" s="37"/>
      <c r="EPI678" s="37"/>
      <c r="EPJ678" s="37"/>
      <c r="EPK678" s="37"/>
      <c r="EPL678" s="37"/>
      <c r="EPM678" s="37"/>
      <c r="EPN678" s="37"/>
      <c r="EPO678" s="37"/>
      <c r="EPP678" s="37"/>
      <c r="EPQ678" s="37"/>
      <c r="EPR678" s="37"/>
      <c r="EPS678" s="37"/>
      <c r="EPT678" s="37"/>
      <c r="EPU678" s="37"/>
      <c r="EPV678" s="37"/>
      <c r="EPW678" s="37"/>
      <c r="EPX678" s="37"/>
      <c r="EPY678" s="37"/>
      <c r="EPZ678" s="37"/>
      <c r="EQA678" s="37"/>
      <c r="EQB678" s="37"/>
      <c r="EQC678" s="37"/>
      <c r="EQD678" s="37"/>
      <c r="EQE678" s="37"/>
      <c r="EQF678" s="37"/>
      <c r="EQG678" s="37"/>
      <c r="EQH678" s="37"/>
      <c r="EQI678" s="37"/>
      <c r="EQJ678" s="37"/>
      <c r="EQK678" s="37"/>
      <c r="EQL678" s="37"/>
      <c r="EQM678" s="37"/>
      <c r="EQN678" s="37"/>
      <c r="EQO678" s="37"/>
      <c r="EQP678" s="37"/>
      <c r="EQQ678" s="37"/>
      <c r="EQR678" s="37"/>
      <c r="EQS678" s="37"/>
      <c r="EQT678" s="37"/>
      <c r="EQU678" s="37"/>
      <c r="EQV678" s="37"/>
      <c r="EQW678" s="37"/>
      <c r="EQX678" s="37"/>
      <c r="EQY678" s="37"/>
      <c r="EQZ678" s="37"/>
      <c r="ERA678" s="37"/>
      <c r="ERB678" s="37"/>
      <c r="ERC678" s="37"/>
      <c r="ERD678" s="37"/>
      <c r="ERE678" s="37"/>
      <c r="ERF678" s="37"/>
      <c r="ERG678" s="37"/>
      <c r="ERH678" s="37"/>
      <c r="ERI678" s="37"/>
      <c r="ERJ678" s="37"/>
      <c r="ERK678" s="37"/>
      <c r="ERL678" s="37"/>
      <c r="ERM678" s="37"/>
      <c r="ERN678" s="37"/>
      <c r="ERO678" s="37"/>
      <c r="ERP678" s="37"/>
      <c r="ERQ678" s="37"/>
      <c r="ERR678" s="37"/>
      <c r="ERS678" s="37"/>
      <c r="ERT678" s="37"/>
      <c r="ERU678" s="37"/>
      <c r="ERV678" s="37"/>
      <c r="ERW678" s="37"/>
      <c r="ERX678" s="37"/>
      <c r="ERY678" s="37"/>
      <c r="ERZ678" s="37"/>
      <c r="ESA678" s="37"/>
      <c r="ESB678" s="37"/>
      <c r="ESC678" s="37"/>
      <c r="ESD678" s="37"/>
      <c r="ESE678" s="37"/>
      <c r="ESF678" s="37"/>
      <c r="ESG678" s="37"/>
      <c r="ESH678" s="37"/>
      <c r="ESI678" s="37"/>
      <c r="ESJ678" s="37"/>
      <c r="ESK678" s="37"/>
      <c r="ESL678" s="37"/>
      <c r="ESM678" s="37"/>
      <c r="ESN678" s="37"/>
      <c r="ESO678" s="37"/>
      <c r="ESP678" s="37"/>
      <c r="ESQ678" s="37"/>
      <c r="ESR678" s="37"/>
      <c r="ESS678" s="37"/>
      <c r="EST678" s="37"/>
      <c r="ESU678" s="37"/>
      <c r="ESV678" s="37"/>
      <c r="ESW678" s="37"/>
      <c r="ESX678" s="37"/>
      <c r="ESY678" s="37"/>
      <c r="ESZ678" s="37"/>
      <c r="ETA678" s="37"/>
      <c r="ETB678" s="37"/>
      <c r="ETC678" s="37"/>
      <c r="ETD678" s="37"/>
      <c r="ETE678" s="37"/>
      <c r="ETF678" s="37"/>
      <c r="ETG678" s="37"/>
      <c r="ETH678" s="37"/>
      <c r="ETI678" s="37"/>
      <c r="ETJ678" s="37"/>
      <c r="ETK678" s="37"/>
      <c r="ETL678" s="37"/>
      <c r="ETM678" s="37"/>
      <c r="ETN678" s="37"/>
      <c r="ETO678" s="37"/>
      <c r="ETP678" s="37"/>
      <c r="ETQ678" s="37"/>
      <c r="ETR678" s="37"/>
      <c r="ETS678" s="37"/>
      <c r="ETT678" s="37"/>
      <c r="ETU678" s="37"/>
      <c r="ETV678" s="37"/>
      <c r="ETW678" s="37"/>
      <c r="ETX678" s="37"/>
      <c r="ETY678" s="37"/>
      <c r="ETZ678" s="37"/>
      <c r="EUA678" s="37"/>
      <c r="EUB678" s="37"/>
      <c r="EUC678" s="37"/>
      <c r="EUD678" s="37"/>
      <c r="EUE678" s="37"/>
      <c r="EUF678" s="37"/>
      <c r="EUG678" s="37"/>
      <c r="EUH678" s="37"/>
      <c r="EUI678" s="37"/>
      <c r="EUJ678" s="37"/>
      <c r="EUK678" s="37"/>
      <c r="EUL678" s="37"/>
      <c r="EUM678" s="37"/>
      <c r="EUN678" s="37"/>
      <c r="EUO678" s="37"/>
      <c r="EUP678" s="37"/>
      <c r="EUQ678" s="37"/>
      <c r="EUR678" s="37"/>
      <c r="EUS678" s="37"/>
      <c r="EUT678" s="37"/>
      <c r="EUU678" s="37"/>
      <c r="EUV678" s="37"/>
      <c r="EUW678" s="37"/>
      <c r="EUX678" s="37"/>
      <c r="EUY678" s="37"/>
      <c r="EUZ678" s="37"/>
      <c r="EVA678" s="37"/>
      <c r="EVB678" s="37"/>
      <c r="EVC678" s="37"/>
      <c r="EVD678" s="37"/>
      <c r="EVE678" s="37"/>
      <c r="EVF678" s="37"/>
      <c r="EVG678" s="37"/>
      <c r="EVH678" s="37"/>
      <c r="EVI678" s="37"/>
      <c r="EVJ678" s="37"/>
      <c r="EVK678" s="37"/>
      <c r="EVL678" s="37"/>
      <c r="EVM678" s="37"/>
      <c r="EVN678" s="37"/>
      <c r="EVO678" s="37"/>
      <c r="EVP678" s="37"/>
      <c r="EVQ678" s="37"/>
      <c r="EVR678" s="37"/>
      <c r="EVS678" s="37"/>
      <c r="EVT678" s="37"/>
      <c r="EVU678" s="37"/>
      <c r="EVV678" s="37"/>
      <c r="EVW678" s="37"/>
      <c r="EVX678" s="37"/>
      <c r="EVY678" s="37"/>
      <c r="EVZ678" s="37"/>
      <c r="EWA678" s="37"/>
      <c r="EWB678" s="37"/>
      <c r="EWC678" s="37"/>
      <c r="EWD678" s="37"/>
      <c r="EWE678" s="37"/>
      <c r="EWF678" s="37"/>
      <c r="EWG678" s="37"/>
      <c r="EWH678" s="37"/>
      <c r="EWI678" s="37"/>
      <c r="EWJ678" s="37"/>
      <c r="EWK678" s="37"/>
      <c r="EWL678" s="37"/>
      <c r="EWM678" s="37"/>
      <c r="EWN678" s="37"/>
      <c r="EWO678" s="37"/>
      <c r="EWP678" s="37"/>
      <c r="EWQ678" s="37"/>
      <c r="EWR678" s="37"/>
      <c r="EWS678" s="37"/>
      <c r="EWT678" s="37"/>
      <c r="EWU678" s="37"/>
      <c r="EWV678" s="37"/>
      <c r="EWW678" s="37"/>
      <c r="EWX678" s="37"/>
      <c r="EWY678" s="37"/>
      <c r="EWZ678" s="37"/>
      <c r="EXA678" s="37"/>
      <c r="EXB678" s="37"/>
      <c r="EXC678" s="37"/>
      <c r="EXD678" s="37"/>
      <c r="EXE678" s="37"/>
      <c r="EXF678" s="37"/>
      <c r="EXG678" s="37"/>
      <c r="EXH678" s="37"/>
      <c r="EXI678" s="37"/>
      <c r="EXJ678" s="37"/>
      <c r="EXK678" s="37"/>
      <c r="EXL678" s="37"/>
      <c r="EXM678" s="37"/>
      <c r="EXN678" s="37"/>
      <c r="EXO678" s="37"/>
      <c r="EXP678" s="37"/>
      <c r="EXQ678" s="37"/>
      <c r="EXR678" s="37"/>
      <c r="EXS678" s="37"/>
      <c r="EXT678" s="37"/>
      <c r="EXU678" s="37"/>
      <c r="EXV678" s="37"/>
      <c r="EXW678" s="37"/>
      <c r="EXX678" s="37"/>
      <c r="EXY678" s="37"/>
      <c r="EXZ678" s="37"/>
      <c r="EYA678" s="37"/>
      <c r="EYB678" s="37"/>
      <c r="EYC678" s="37"/>
      <c r="EYD678" s="37"/>
      <c r="EYE678" s="37"/>
      <c r="EYF678" s="37"/>
      <c r="EYG678" s="37"/>
      <c r="EYH678" s="37"/>
      <c r="EYI678" s="37"/>
      <c r="EYJ678" s="37"/>
      <c r="EYK678" s="37"/>
      <c r="EYL678" s="37"/>
      <c r="EYM678" s="37"/>
      <c r="EYN678" s="37"/>
      <c r="EYO678" s="37"/>
      <c r="EYP678" s="37"/>
      <c r="EYQ678" s="37"/>
      <c r="EYR678" s="37"/>
      <c r="EYS678" s="37"/>
      <c r="EYT678" s="37"/>
      <c r="EYU678" s="37"/>
      <c r="EYV678" s="37"/>
      <c r="EYW678" s="37"/>
      <c r="EYX678" s="37"/>
      <c r="EYY678" s="37"/>
      <c r="EYZ678" s="37"/>
      <c r="EZA678" s="37"/>
      <c r="EZB678" s="37"/>
      <c r="EZC678" s="37"/>
      <c r="EZD678" s="37"/>
      <c r="EZE678" s="37"/>
      <c r="EZF678" s="37"/>
      <c r="EZG678" s="37"/>
      <c r="EZH678" s="37"/>
      <c r="EZI678" s="37"/>
      <c r="EZJ678" s="37"/>
      <c r="EZK678" s="37"/>
      <c r="EZL678" s="37"/>
      <c r="EZM678" s="37"/>
      <c r="EZN678" s="37"/>
      <c r="EZO678" s="37"/>
      <c r="EZP678" s="37"/>
      <c r="EZQ678" s="37"/>
      <c r="EZR678" s="37"/>
      <c r="EZS678" s="37"/>
      <c r="EZT678" s="37"/>
      <c r="EZU678" s="37"/>
      <c r="EZV678" s="37"/>
      <c r="EZW678" s="37"/>
      <c r="EZX678" s="37"/>
      <c r="EZY678" s="37"/>
      <c r="EZZ678" s="37"/>
      <c r="FAA678" s="37"/>
      <c r="FAB678" s="37"/>
      <c r="FAC678" s="37"/>
      <c r="FAD678" s="37"/>
      <c r="FAE678" s="37"/>
      <c r="FAF678" s="37"/>
      <c r="FAG678" s="37"/>
      <c r="FAH678" s="37"/>
      <c r="FAI678" s="37"/>
      <c r="FAJ678" s="37"/>
      <c r="FAK678" s="37"/>
      <c r="FAL678" s="37"/>
      <c r="FAM678" s="37"/>
      <c r="FAN678" s="37"/>
      <c r="FAO678" s="37"/>
      <c r="FAP678" s="37"/>
      <c r="FAQ678" s="37"/>
      <c r="FAR678" s="37"/>
      <c r="FAS678" s="37"/>
      <c r="FAT678" s="37"/>
      <c r="FAU678" s="37"/>
      <c r="FAV678" s="37"/>
      <c r="FAW678" s="37"/>
      <c r="FAX678" s="37"/>
      <c r="FAY678" s="37"/>
      <c r="FAZ678" s="37"/>
      <c r="FBA678" s="37"/>
      <c r="FBB678" s="37"/>
      <c r="FBC678" s="37"/>
      <c r="FBD678" s="37"/>
      <c r="FBE678" s="37"/>
      <c r="FBF678" s="37"/>
      <c r="FBG678" s="37"/>
      <c r="FBH678" s="37"/>
      <c r="FBI678" s="37"/>
      <c r="FBJ678" s="37"/>
      <c r="FBK678" s="37"/>
      <c r="FBL678" s="37"/>
      <c r="FBM678" s="37"/>
      <c r="FBN678" s="37"/>
      <c r="FBO678" s="37"/>
      <c r="FBP678" s="37"/>
      <c r="FBQ678" s="37"/>
      <c r="FBR678" s="37"/>
      <c r="FBS678" s="37"/>
      <c r="FBT678" s="37"/>
      <c r="FBU678" s="37"/>
      <c r="FBV678" s="37"/>
      <c r="FBW678" s="37"/>
      <c r="FBX678" s="37"/>
      <c r="FBY678" s="37"/>
      <c r="FBZ678" s="37"/>
      <c r="FCA678" s="37"/>
      <c r="FCB678" s="37"/>
      <c r="FCC678" s="37"/>
      <c r="FCD678" s="37"/>
      <c r="FCE678" s="37"/>
      <c r="FCF678" s="37"/>
      <c r="FCG678" s="37"/>
      <c r="FCH678" s="37"/>
      <c r="FCI678" s="37"/>
      <c r="FCJ678" s="37"/>
      <c r="FCK678" s="37"/>
      <c r="FCL678" s="37"/>
      <c r="FCM678" s="37"/>
      <c r="FCN678" s="37"/>
      <c r="FCO678" s="37"/>
      <c r="FCP678" s="37"/>
      <c r="FCQ678" s="37"/>
      <c r="FCR678" s="37"/>
      <c r="FCS678" s="37"/>
      <c r="FCT678" s="37"/>
      <c r="FCU678" s="37"/>
      <c r="FCV678" s="37"/>
      <c r="FCW678" s="37"/>
      <c r="FCX678" s="37"/>
      <c r="FCY678" s="37"/>
      <c r="FCZ678" s="37"/>
      <c r="FDA678" s="37"/>
      <c r="FDB678" s="37"/>
      <c r="FDC678" s="37"/>
      <c r="FDD678" s="37"/>
      <c r="FDE678" s="37"/>
      <c r="FDF678" s="37"/>
      <c r="FDG678" s="37"/>
      <c r="FDH678" s="37"/>
      <c r="FDI678" s="37"/>
      <c r="FDJ678" s="37"/>
      <c r="FDK678" s="37"/>
      <c r="FDL678" s="37"/>
      <c r="FDM678" s="37"/>
      <c r="FDN678" s="37"/>
      <c r="FDO678" s="37"/>
      <c r="FDP678" s="37"/>
      <c r="FDQ678" s="37"/>
      <c r="FDR678" s="37"/>
      <c r="FDS678" s="37"/>
      <c r="FDT678" s="37"/>
      <c r="FDU678" s="37"/>
      <c r="FDV678" s="37"/>
      <c r="FDW678" s="37"/>
      <c r="FDX678" s="37"/>
      <c r="FDY678" s="37"/>
      <c r="FDZ678" s="37"/>
      <c r="FEA678" s="37"/>
      <c r="FEB678" s="37"/>
      <c r="FEC678" s="37"/>
      <c r="FED678" s="37"/>
      <c r="FEE678" s="37"/>
      <c r="FEF678" s="37"/>
      <c r="FEG678" s="37"/>
      <c r="FEH678" s="37"/>
      <c r="FEI678" s="37"/>
      <c r="FEJ678" s="37"/>
      <c r="FEK678" s="37"/>
      <c r="FEL678" s="37"/>
      <c r="FEM678" s="37"/>
      <c r="FEN678" s="37"/>
      <c r="FEO678" s="37"/>
      <c r="FEP678" s="37"/>
      <c r="FEQ678" s="37"/>
      <c r="FER678" s="37"/>
      <c r="FES678" s="37"/>
      <c r="FET678" s="37"/>
      <c r="FEU678" s="37"/>
      <c r="FEV678" s="37"/>
      <c r="FEW678" s="37"/>
      <c r="FEX678" s="37"/>
      <c r="FEY678" s="37"/>
      <c r="FEZ678" s="37"/>
      <c r="FFA678" s="37"/>
      <c r="FFB678" s="37"/>
      <c r="FFC678" s="37"/>
      <c r="FFD678" s="37"/>
      <c r="FFE678" s="37"/>
      <c r="FFF678" s="37"/>
      <c r="FFG678" s="37"/>
      <c r="FFH678" s="37"/>
      <c r="FFI678" s="37"/>
      <c r="FFJ678" s="37"/>
      <c r="FFK678" s="37"/>
      <c r="FFL678" s="37"/>
      <c r="FFM678" s="37"/>
      <c r="FFN678" s="37"/>
      <c r="FFO678" s="37"/>
      <c r="FFP678" s="37"/>
      <c r="FFQ678" s="37"/>
      <c r="FFR678" s="37"/>
      <c r="FFS678" s="37"/>
      <c r="FFT678" s="37"/>
      <c r="FFU678" s="37"/>
      <c r="FFV678" s="37"/>
      <c r="FFW678" s="37"/>
      <c r="FFX678" s="37"/>
      <c r="FFY678" s="37"/>
      <c r="FFZ678" s="37"/>
      <c r="FGA678" s="37"/>
      <c r="FGB678" s="37"/>
      <c r="FGC678" s="37"/>
      <c r="FGD678" s="37"/>
      <c r="FGE678" s="37"/>
      <c r="FGF678" s="37"/>
      <c r="FGG678" s="37"/>
      <c r="FGH678" s="37"/>
      <c r="FGI678" s="37"/>
      <c r="FGJ678" s="37"/>
      <c r="FGK678" s="37"/>
      <c r="FGL678" s="37"/>
      <c r="FGM678" s="37"/>
      <c r="FGN678" s="37"/>
      <c r="FGO678" s="37"/>
      <c r="FGP678" s="37"/>
      <c r="FGQ678" s="37"/>
      <c r="FGR678" s="37"/>
      <c r="FGS678" s="37"/>
      <c r="FGT678" s="37"/>
      <c r="FGU678" s="37"/>
      <c r="FGV678" s="37"/>
      <c r="FGW678" s="37"/>
      <c r="FGX678" s="37"/>
      <c r="FGY678" s="37"/>
      <c r="FGZ678" s="37"/>
      <c r="FHA678" s="37"/>
      <c r="FHB678" s="37"/>
      <c r="FHC678" s="37"/>
      <c r="FHD678" s="37"/>
      <c r="FHE678" s="37"/>
      <c r="FHF678" s="37"/>
      <c r="FHG678" s="37"/>
      <c r="FHH678" s="37"/>
      <c r="FHI678" s="37"/>
      <c r="FHJ678" s="37"/>
      <c r="FHK678" s="37"/>
      <c r="FHL678" s="37"/>
      <c r="FHM678" s="37"/>
      <c r="FHN678" s="37"/>
      <c r="FHO678" s="37"/>
      <c r="FHP678" s="37"/>
      <c r="FHQ678" s="37"/>
      <c r="FHR678" s="37"/>
      <c r="FHS678" s="37"/>
      <c r="FHT678" s="37"/>
      <c r="FHU678" s="37"/>
      <c r="FHV678" s="37"/>
      <c r="FHW678" s="37"/>
      <c r="FHX678" s="37"/>
      <c r="FHY678" s="37"/>
      <c r="FHZ678" s="37"/>
      <c r="FIA678" s="37"/>
      <c r="FIB678" s="37"/>
      <c r="FIC678" s="37"/>
      <c r="FID678" s="37"/>
      <c r="FIE678" s="37"/>
      <c r="FIF678" s="37"/>
      <c r="FIG678" s="37"/>
      <c r="FIH678" s="37"/>
      <c r="FII678" s="37"/>
      <c r="FIJ678" s="37"/>
      <c r="FIK678" s="37"/>
      <c r="FIL678" s="37"/>
      <c r="FIM678" s="37"/>
      <c r="FIN678" s="37"/>
      <c r="FIO678" s="37"/>
      <c r="FIP678" s="37"/>
      <c r="FIQ678" s="37"/>
      <c r="FIR678" s="37"/>
      <c r="FIS678" s="37"/>
      <c r="FIT678" s="37"/>
      <c r="FIU678" s="37"/>
      <c r="FIV678" s="37"/>
      <c r="FIW678" s="37"/>
      <c r="FIX678" s="37"/>
      <c r="FIY678" s="37"/>
      <c r="FIZ678" s="37"/>
      <c r="FJA678" s="37"/>
      <c r="FJB678" s="37"/>
      <c r="FJC678" s="37"/>
      <c r="FJD678" s="37"/>
      <c r="FJE678" s="37"/>
      <c r="FJF678" s="37"/>
      <c r="FJG678" s="37"/>
      <c r="FJH678" s="37"/>
      <c r="FJI678" s="37"/>
      <c r="FJJ678" s="37"/>
      <c r="FJK678" s="37"/>
      <c r="FJL678" s="37"/>
      <c r="FJM678" s="37"/>
      <c r="FJN678" s="37"/>
      <c r="FJO678" s="37"/>
      <c r="FJP678" s="37"/>
      <c r="FJQ678" s="37"/>
      <c r="FJR678" s="37"/>
      <c r="FJS678" s="37"/>
      <c r="FJT678" s="37"/>
      <c r="FJU678" s="37"/>
      <c r="FJV678" s="37"/>
      <c r="FJW678" s="37"/>
      <c r="FJX678" s="37"/>
      <c r="FJY678" s="37"/>
      <c r="FJZ678" s="37"/>
      <c r="FKA678" s="37"/>
      <c r="FKB678" s="37"/>
      <c r="FKC678" s="37"/>
      <c r="FKD678" s="37"/>
      <c r="FKE678" s="37"/>
      <c r="FKF678" s="37"/>
      <c r="FKG678" s="37"/>
      <c r="FKH678" s="37"/>
      <c r="FKI678" s="37"/>
      <c r="FKJ678" s="37"/>
      <c r="FKK678" s="37"/>
      <c r="FKL678" s="37"/>
      <c r="FKM678" s="37"/>
      <c r="FKN678" s="37"/>
      <c r="FKO678" s="37"/>
      <c r="FKP678" s="37"/>
      <c r="FKQ678" s="37"/>
      <c r="FKR678" s="37"/>
      <c r="FKS678" s="37"/>
      <c r="FKT678" s="37"/>
      <c r="FKU678" s="37"/>
      <c r="FKV678" s="37"/>
      <c r="FKW678" s="37"/>
      <c r="FKX678" s="37"/>
      <c r="FKY678" s="37"/>
      <c r="FKZ678" s="37"/>
      <c r="FLA678" s="37"/>
      <c r="FLB678" s="37"/>
      <c r="FLC678" s="37"/>
      <c r="FLD678" s="37"/>
      <c r="FLE678" s="37"/>
      <c r="FLF678" s="37"/>
      <c r="FLG678" s="37"/>
      <c r="FLH678" s="37"/>
      <c r="FLI678" s="37"/>
      <c r="FLJ678" s="37"/>
      <c r="FLK678" s="37"/>
      <c r="FLL678" s="37"/>
      <c r="FLM678" s="37"/>
      <c r="FLN678" s="37"/>
      <c r="FLO678" s="37"/>
      <c r="FLP678" s="37"/>
      <c r="FLQ678" s="37"/>
      <c r="FLR678" s="37"/>
      <c r="FLS678" s="37"/>
      <c r="FLT678" s="37"/>
      <c r="FLU678" s="37"/>
      <c r="FLV678" s="37"/>
      <c r="FLW678" s="37"/>
      <c r="FLX678" s="37"/>
      <c r="FLY678" s="37"/>
      <c r="FLZ678" s="37"/>
      <c r="FMA678" s="37"/>
      <c r="FMB678" s="37"/>
      <c r="FMC678" s="37"/>
      <c r="FMD678" s="37"/>
      <c r="FME678" s="37"/>
      <c r="FMF678" s="37"/>
      <c r="FMG678" s="37"/>
      <c r="FMH678" s="37"/>
      <c r="FMI678" s="37"/>
      <c r="FMJ678" s="37"/>
      <c r="FMK678" s="37"/>
      <c r="FML678" s="37"/>
      <c r="FMM678" s="37"/>
      <c r="FMN678" s="37"/>
      <c r="FMO678" s="37"/>
      <c r="FMP678" s="37"/>
      <c r="FMQ678" s="37"/>
      <c r="FMR678" s="37"/>
      <c r="FMS678" s="37"/>
      <c r="FMT678" s="37"/>
      <c r="FMU678" s="37"/>
      <c r="FMV678" s="37"/>
      <c r="FMW678" s="37"/>
      <c r="FMX678" s="37"/>
      <c r="FMY678" s="37"/>
      <c r="FMZ678" s="37"/>
      <c r="FNA678" s="37"/>
      <c r="FNB678" s="37"/>
      <c r="FNC678" s="37"/>
      <c r="FND678" s="37"/>
      <c r="FNE678" s="37"/>
      <c r="FNF678" s="37"/>
      <c r="FNG678" s="37"/>
      <c r="FNH678" s="37"/>
      <c r="FNI678" s="37"/>
      <c r="FNJ678" s="37"/>
      <c r="FNK678" s="37"/>
      <c r="FNL678" s="37"/>
      <c r="FNM678" s="37"/>
      <c r="FNN678" s="37"/>
      <c r="FNO678" s="37"/>
      <c r="FNP678" s="37"/>
      <c r="FNQ678" s="37"/>
      <c r="FNR678" s="37"/>
      <c r="FNS678" s="37"/>
      <c r="FNT678" s="37"/>
      <c r="FNU678" s="37"/>
      <c r="FNV678" s="37"/>
      <c r="FNW678" s="37"/>
      <c r="FNX678" s="37"/>
      <c r="FNY678" s="37"/>
      <c r="FNZ678" s="37"/>
      <c r="FOA678" s="37"/>
      <c r="FOB678" s="37"/>
      <c r="FOC678" s="37"/>
      <c r="FOD678" s="37"/>
      <c r="FOE678" s="37"/>
      <c r="FOF678" s="37"/>
      <c r="FOG678" s="37"/>
      <c r="FOH678" s="37"/>
      <c r="FOI678" s="37"/>
      <c r="FOJ678" s="37"/>
      <c r="FOK678" s="37"/>
      <c r="FOL678" s="37"/>
      <c r="FOM678" s="37"/>
      <c r="FON678" s="37"/>
      <c r="FOO678" s="37"/>
      <c r="FOP678" s="37"/>
      <c r="FOQ678" s="37"/>
      <c r="FOR678" s="37"/>
      <c r="FOS678" s="37"/>
      <c r="FOT678" s="37"/>
      <c r="FOU678" s="37"/>
      <c r="FOV678" s="37"/>
      <c r="FOW678" s="37"/>
      <c r="FOX678" s="37"/>
      <c r="FOY678" s="37"/>
      <c r="FOZ678" s="37"/>
      <c r="FPA678" s="37"/>
      <c r="FPB678" s="37"/>
      <c r="FPC678" s="37"/>
      <c r="FPD678" s="37"/>
      <c r="FPE678" s="37"/>
      <c r="FPF678" s="37"/>
      <c r="FPG678" s="37"/>
      <c r="FPH678" s="37"/>
      <c r="FPI678" s="37"/>
      <c r="FPJ678" s="37"/>
      <c r="FPK678" s="37"/>
      <c r="FPL678" s="37"/>
      <c r="FPM678" s="37"/>
      <c r="FPN678" s="37"/>
      <c r="FPO678" s="37"/>
      <c r="FPP678" s="37"/>
      <c r="FPQ678" s="37"/>
      <c r="FPR678" s="37"/>
      <c r="FPS678" s="37"/>
      <c r="FPT678" s="37"/>
      <c r="FPU678" s="37"/>
      <c r="FPV678" s="37"/>
      <c r="FPW678" s="37"/>
      <c r="FPX678" s="37"/>
      <c r="FPY678" s="37"/>
      <c r="FPZ678" s="37"/>
      <c r="FQA678" s="37"/>
      <c r="FQB678" s="37"/>
      <c r="FQC678" s="37"/>
      <c r="FQD678" s="37"/>
      <c r="FQE678" s="37"/>
      <c r="FQF678" s="37"/>
      <c r="FQG678" s="37"/>
      <c r="FQH678" s="37"/>
      <c r="FQI678" s="37"/>
      <c r="FQJ678" s="37"/>
      <c r="FQK678" s="37"/>
      <c r="FQL678" s="37"/>
      <c r="FQM678" s="37"/>
      <c r="FQN678" s="37"/>
      <c r="FQO678" s="37"/>
      <c r="FQP678" s="37"/>
      <c r="FQQ678" s="37"/>
      <c r="FQR678" s="37"/>
      <c r="FQS678" s="37"/>
      <c r="FQT678" s="37"/>
      <c r="FQU678" s="37"/>
      <c r="FQV678" s="37"/>
      <c r="FQW678" s="37"/>
      <c r="FQX678" s="37"/>
      <c r="FQY678" s="37"/>
      <c r="FQZ678" s="37"/>
      <c r="FRA678" s="37"/>
      <c r="FRB678" s="37"/>
      <c r="FRC678" s="37"/>
      <c r="FRD678" s="37"/>
      <c r="FRE678" s="37"/>
      <c r="FRF678" s="37"/>
      <c r="FRG678" s="37"/>
      <c r="FRH678" s="37"/>
      <c r="FRI678" s="37"/>
      <c r="FRJ678" s="37"/>
      <c r="FRK678" s="37"/>
      <c r="FRL678" s="37"/>
      <c r="FRM678" s="37"/>
      <c r="FRN678" s="37"/>
      <c r="FRO678" s="37"/>
      <c r="FRP678" s="37"/>
      <c r="FRQ678" s="37"/>
      <c r="FRR678" s="37"/>
      <c r="FRS678" s="37"/>
      <c r="FRT678" s="37"/>
      <c r="FRU678" s="37"/>
      <c r="FRV678" s="37"/>
      <c r="FRW678" s="37"/>
      <c r="FRX678" s="37"/>
      <c r="FRY678" s="37"/>
      <c r="FRZ678" s="37"/>
      <c r="FSA678" s="37"/>
      <c r="FSB678" s="37"/>
      <c r="FSC678" s="37"/>
      <c r="FSD678" s="37"/>
      <c r="FSE678" s="37"/>
      <c r="FSF678" s="37"/>
      <c r="FSG678" s="37"/>
      <c r="FSH678" s="37"/>
      <c r="FSI678" s="37"/>
      <c r="FSJ678" s="37"/>
      <c r="FSK678" s="37"/>
      <c r="FSL678" s="37"/>
      <c r="FSM678" s="37"/>
      <c r="FSN678" s="37"/>
      <c r="FSO678" s="37"/>
      <c r="FSP678" s="37"/>
      <c r="FSQ678" s="37"/>
      <c r="FSR678" s="37"/>
      <c r="FSS678" s="37"/>
      <c r="FST678" s="37"/>
      <c r="FSU678" s="37"/>
      <c r="FSV678" s="37"/>
      <c r="FSW678" s="37"/>
      <c r="FSX678" s="37"/>
      <c r="FSY678" s="37"/>
      <c r="FSZ678" s="37"/>
      <c r="FTA678" s="37"/>
      <c r="FTB678" s="37"/>
      <c r="FTC678" s="37"/>
      <c r="FTD678" s="37"/>
      <c r="FTE678" s="37"/>
      <c r="FTF678" s="37"/>
      <c r="FTG678" s="37"/>
      <c r="FTH678" s="37"/>
      <c r="FTI678" s="37"/>
      <c r="FTJ678" s="37"/>
      <c r="FTK678" s="37"/>
      <c r="FTL678" s="37"/>
      <c r="FTM678" s="37"/>
      <c r="FTN678" s="37"/>
      <c r="FTO678" s="37"/>
      <c r="FTP678" s="37"/>
      <c r="FTQ678" s="37"/>
      <c r="FTR678" s="37"/>
      <c r="FTS678" s="37"/>
      <c r="FTT678" s="37"/>
      <c r="FTU678" s="37"/>
      <c r="FTV678" s="37"/>
      <c r="FTW678" s="37"/>
      <c r="FTX678" s="37"/>
      <c r="FTY678" s="37"/>
      <c r="FTZ678" s="37"/>
      <c r="FUA678" s="37"/>
      <c r="FUB678" s="37"/>
      <c r="FUC678" s="37"/>
      <c r="FUD678" s="37"/>
      <c r="FUE678" s="37"/>
      <c r="FUF678" s="37"/>
      <c r="FUG678" s="37"/>
      <c r="FUH678" s="37"/>
      <c r="FUI678" s="37"/>
      <c r="FUJ678" s="37"/>
      <c r="FUK678" s="37"/>
      <c r="FUL678" s="37"/>
      <c r="FUM678" s="37"/>
      <c r="FUN678" s="37"/>
      <c r="FUO678" s="37"/>
      <c r="FUP678" s="37"/>
      <c r="FUQ678" s="37"/>
      <c r="FUR678" s="37"/>
      <c r="FUS678" s="37"/>
      <c r="FUT678" s="37"/>
      <c r="FUU678" s="37"/>
      <c r="FUV678" s="37"/>
      <c r="FUW678" s="37"/>
      <c r="FUX678" s="37"/>
      <c r="FUY678" s="37"/>
      <c r="FUZ678" s="37"/>
      <c r="FVA678" s="37"/>
      <c r="FVB678" s="37"/>
      <c r="FVC678" s="37"/>
      <c r="FVD678" s="37"/>
      <c r="FVE678" s="37"/>
      <c r="FVF678" s="37"/>
      <c r="FVG678" s="37"/>
      <c r="FVH678" s="37"/>
      <c r="FVI678" s="37"/>
      <c r="FVJ678" s="37"/>
      <c r="FVK678" s="37"/>
      <c r="FVL678" s="37"/>
      <c r="FVM678" s="37"/>
      <c r="FVN678" s="37"/>
      <c r="FVO678" s="37"/>
      <c r="FVP678" s="37"/>
      <c r="FVQ678" s="37"/>
      <c r="FVR678" s="37"/>
      <c r="FVS678" s="37"/>
      <c r="FVT678" s="37"/>
      <c r="FVU678" s="37"/>
      <c r="FVV678" s="37"/>
      <c r="FVW678" s="37"/>
      <c r="FVX678" s="37"/>
      <c r="FVY678" s="37"/>
      <c r="FVZ678" s="37"/>
      <c r="FWA678" s="37"/>
      <c r="FWB678" s="37"/>
      <c r="FWC678" s="37"/>
      <c r="FWD678" s="37"/>
      <c r="FWE678" s="37"/>
      <c r="FWF678" s="37"/>
      <c r="FWG678" s="37"/>
      <c r="FWH678" s="37"/>
      <c r="FWI678" s="37"/>
      <c r="FWJ678" s="37"/>
      <c r="FWK678" s="37"/>
      <c r="FWL678" s="37"/>
      <c r="FWM678" s="37"/>
      <c r="FWN678" s="37"/>
      <c r="FWO678" s="37"/>
      <c r="FWP678" s="37"/>
      <c r="FWQ678" s="37"/>
      <c r="FWR678" s="37"/>
      <c r="FWS678" s="37"/>
      <c r="FWT678" s="37"/>
      <c r="FWU678" s="37"/>
      <c r="FWV678" s="37"/>
      <c r="FWW678" s="37"/>
      <c r="FWX678" s="37"/>
      <c r="FWY678" s="37"/>
      <c r="FWZ678" s="37"/>
      <c r="FXA678" s="37"/>
      <c r="FXB678" s="37"/>
      <c r="FXC678" s="37"/>
      <c r="FXD678" s="37"/>
      <c r="FXE678" s="37"/>
      <c r="FXF678" s="37"/>
      <c r="FXG678" s="37"/>
      <c r="FXH678" s="37"/>
      <c r="FXI678" s="37"/>
      <c r="FXJ678" s="37"/>
      <c r="FXK678" s="37"/>
      <c r="FXL678" s="37"/>
      <c r="FXM678" s="37"/>
      <c r="FXN678" s="37"/>
      <c r="FXO678" s="37"/>
      <c r="FXP678" s="37"/>
      <c r="FXQ678" s="37"/>
      <c r="FXR678" s="37"/>
      <c r="FXS678" s="37"/>
      <c r="FXT678" s="37"/>
      <c r="FXU678" s="37"/>
      <c r="FXV678" s="37"/>
      <c r="FXW678" s="37"/>
      <c r="FXX678" s="37"/>
      <c r="FXY678" s="37"/>
      <c r="FXZ678" s="37"/>
      <c r="FYA678" s="37"/>
      <c r="FYB678" s="37"/>
      <c r="FYC678" s="37"/>
      <c r="FYD678" s="37"/>
      <c r="FYE678" s="37"/>
      <c r="FYF678" s="37"/>
      <c r="FYG678" s="37"/>
      <c r="FYH678" s="37"/>
      <c r="FYI678" s="37"/>
      <c r="FYJ678" s="37"/>
      <c r="FYK678" s="37"/>
      <c r="FYL678" s="37"/>
      <c r="FYM678" s="37"/>
      <c r="FYN678" s="37"/>
      <c r="FYO678" s="37"/>
      <c r="FYP678" s="37"/>
      <c r="FYQ678" s="37"/>
      <c r="FYR678" s="37"/>
      <c r="FYS678" s="37"/>
      <c r="FYT678" s="37"/>
      <c r="FYU678" s="37"/>
      <c r="FYV678" s="37"/>
      <c r="FYW678" s="37"/>
      <c r="FYX678" s="37"/>
      <c r="FYY678" s="37"/>
      <c r="FYZ678" s="37"/>
      <c r="FZA678" s="37"/>
      <c r="FZB678" s="37"/>
      <c r="FZC678" s="37"/>
      <c r="FZD678" s="37"/>
      <c r="FZE678" s="37"/>
      <c r="FZF678" s="37"/>
      <c r="FZG678" s="37"/>
      <c r="FZH678" s="37"/>
      <c r="FZI678" s="37"/>
      <c r="FZJ678" s="37"/>
      <c r="FZK678" s="37"/>
      <c r="FZL678" s="37"/>
      <c r="FZM678" s="37"/>
      <c r="FZN678" s="37"/>
      <c r="FZO678" s="37"/>
      <c r="FZP678" s="37"/>
      <c r="FZQ678" s="37"/>
      <c r="FZR678" s="37"/>
      <c r="FZS678" s="37"/>
      <c r="FZT678" s="37"/>
      <c r="FZU678" s="37"/>
      <c r="FZV678" s="37"/>
      <c r="FZW678" s="37"/>
      <c r="FZX678" s="37"/>
      <c r="FZY678" s="37"/>
      <c r="FZZ678" s="37"/>
      <c r="GAA678" s="37"/>
      <c r="GAB678" s="37"/>
      <c r="GAC678" s="37"/>
      <c r="GAD678" s="37"/>
      <c r="GAE678" s="37"/>
      <c r="GAF678" s="37"/>
      <c r="GAG678" s="37"/>
      <c r="GAH678" s="37"/>
      <c r="GAI678" s="37"/>
      <c r="GAJ678" s="37"/>
      <c r="GAK678" s="37"/>
      <c r="GAL678" s="37"/>
      <c r="GAM678" s="37"/>
      <c r="GAN678" s="37"/>
      <c r="GAO678" s="37"/>
      <c r="GAP678" s="37"/>
      <c r="GAQ678" s="37"/>
      <c r="GAR678" s="37"/>
      <c r="GAS678" s="37"/>
      <c r="GAT678" s="37"/>
      <c r="GAU678" s="37"/>
      <c r="GAV678" s="37"/>
      <c r="GAW678" s="37"/>
      <c r="GAX678" s="37"/>
      <c r="GAY678" s="37"/>
      <c r="GAZ678" s="37"/>
      <c r="GBA678" s="37"/>
      <c r="GBB678" s="37"/>
      <c r="GBC678" s="37"/>
      <c r="GBD678" s="37"/>
      <c r="GBE678" s="37"/>
      <c r="GBF678" s="37"/>
      <c r="GBG678" s="37"/>
      <c r="GBH678" s="37"/>
      <c r="GBI678" s="37"/>
      <c r="GBJ678" s="37"/>
      <c r="GBK678" s="37"/>
      <c r="GBL678" s="37"/>
      <c r="GBM678" s="37"/>
      <c r="GBN678" s="37"/>
      <c r="GBO678" s="37"/>
      <c r="GBP678" s="37"/>
      <c r="GBQ678" s="37"/>
      <c r="GBR678" s="37"/>
      <c r="GBS678" s="37"/>
      <c r="GBT678" s="37"/>
      <c r="GBU678" s="37"/>
      <c r="GBV678" s="37"/>
      <c r="GBW678" s="37"/>
      <c r="GBX678" s="37"/>
      <c r="GBY678" s="37"/>
      <c r="GBZ678" s="37"/>
      <c r="GCA678" s="37"/>
      <c r="GCB678" s="37"/>
      <c r="GCC678" s="37"/>
      <c r="GCD678" s="37"/>
      <c r="GCE678" s="37"/>
      <c r="GCF678" s="37"/>
      <c r="GCG678" s="37"/>
      <c r="GCH678" s="37"/>
      <c r="GCI678" s="37"/>
      <c r="GCJ678" s="37"/>
      <c r="GCK678" s="37"/>
      <c r="GCL678" s="37"/>
      <c r="GCM678" s="37"/>
      <c r="GCN678" s="37"/>
      <c r="GCO678" s="37"/>
      <c r="GCP678" s="37"/>
      <c r="GCQ678" s="37"/>
      <c r="GCR678" s="37"/>
      <c r="GCS678" s="37"/>
      <c r="GCT678" s="37"/>
      <c r="GCU678" s="37"/>
      <c r="GCV678" s="37"/>
      <c r="GCW678" s="37"/>
      <c r="GCX678" s="37"/>
      <c r="GCY678" s="37"/>
      <c r="GCZ678" s="37"/>
      <c r="GDA678" s="37"/>
      <c r="GDB678" s="37"/>
      <c r="GDC678" s="37"/>
      <c r="GDD678" s="37"/>
      <c r="GDE678" s="37"/>
      <c r="GDF678" s="37"/>
      <c r="GDG678" s="37"/>
      <c r="GDH678" s="37"/>
      <c r="GDI678" s="37"/>
      <c r="GDJ678" s="37"/>
      <c r="GDK678" s="37"/>
      <c r="GDL678" s="37"/>
      <c r="GDM678" s="37"/>
      <c r="GDN678" s="37"/>
      <c r="GDO678" s="37"/>
      <c r="GDP678" s="37"/>
      <c r="GDQ678" s="37"/>
      <c r="GDR678" s="37"/>
      <c r="GDS678" s="37"/>
      <c r="GDT678" s="37"/>
      <c r="GDU678" s="37"/>
      <c r="GDV678" s="37"/>
      <c r="GDW678" s="37"/>
      <c r="GDX678" s="37"/>
      <c r="GDY678" s="37"/>
      <c r="GDZ678" s="37"/>
      <c r="GEA678" s="37"/>
      <c r="GEB678" s="37"/>
      <c r="GEC678" s="37"/>
      <c r="GED678" s="37"/>
      <c r="GEE678" s="37"/>
      <c r="GEF678" s="37"/>
      <c r="GEG678" s="37"/>
      <c r="GEH678" s="37"/>
      <c r="GEI678" s="37"/>
      <c r="GEJ678" s="37"/>
      <c r="GEK678" s="37"/>
      <c r="GEL678" s="37"/>
      <c r="GEM678" s="37"/>
      <c r="GEN678" s="37"/>
      <c r="GEO678" s="37"/>
      <c r="GEP678" s="37"/>
      <c r="GEQ678" s="37"/>
      <c r="GER678" s="37"/>
      <c r="GES678" s="37"/>
      <c r="GET678" s="37"/>
      <c r="GEU678" s="37"/>
      <c r="GEV678" s="37"/>
      <c r="GEW678" s="37"/>
      <c r="GEX678" s="37"/>
      <c r="GEY678" s="37"/>
      <c r="GEZ678" s="37"/>
      <c r="GFA678" s="37"/>
      <c r="GFB678" s="37"/>
      <c r="GFC678" s="37"/>
      <c r="GFD678" s="37"/>
      <c r="GFE678" s="37"/>
      <c r="GFF678" s="37"/>
      <c r="GFG678" s="37"/>
      <c r="GFH678" s="37"/>
      <c r="GFI678" s="37"/>
      <c r="GFJ678" s="37"/>
      <c r="GFK678" s="37"/>
      <c r="GFL678" s="37"/>
      <c r="GFM678" s="37"/>
      <c r="GFN678" s="37"/>
      <c r="GFO678" s="37"/>
      <c r="GFP678" s="37"/>
      <c r="GFQ678" s="37"/>
      <c r="GFR678" s="37"/>
      <c r="GFS678" s="37"/>
      <c r="GFT678" s="37"/>
      <c r="GFU678" s="37"/>
      <c r="GFV678" s="37"/>
      <c r="GFW678" s="37"/>
      <c r="GFX678" s="37"/>
      <c r="GFY678" s="37"/>
      <c r="GFZ678" s="37"/>
      <c r="GGA678" s="37"/>
      <c r="GGB678" s="37"/>
      <c r="GGC678" s="37"/>
      <c r="GGD678" s="37"/>
      <c r="GGE678" s="37"/>
      <c r="GGF678" s="37"/>
      <c r="GGG678" s="37"/>
      <c r="GGH678" s="37"/>
      <c r="GGI678" s="37"/>
      <c r="GGJ678" s="37"/>
      <c r="GGK678" s="37"/>
      <c r="GGL678" s="37"/>
      <c r="GGM678" s="37"/>
      <c r="GGN678" s="37"/>
      <c r="GGO678" s="37"/>
      <c r="GGP678" s="37"/>
      <c r="GGQ678" s="37"/>
      <c r="GGR678" s="37"/>
      <c r="GGS678" s="37"/>
      <c r="GGT678" s="37"/>
      <c r="GGU678" s="37"/>
      <c r="GGV678" s="37"/>
      <c r="GGW678" s="37"/>
      <c r="GGX678" s="37"/>
      <c r="GGY678" s="37"/>
      <c r="GGZ678" s="37"/>
      <c r="GHA678" s="37"/>
      <c r="GHB678" s="37"/>
      <c r="GHC678" s="37"/>
      <c r="GHD678" s="37"/>
      <c r="GHE678" s="37"/>
      <c r="GHF678" s="37"/>
      <c r="GHG678" s="37"/>
      <c r="GHH678" s="37"/>
      <c r="GHI678" s="37"/>
      <c r="GHJ678" s="37"/>
      <c r="GHK678" s="37"/>
      <c r="GHL678" s="37"/>
      <c r="GHM678" s="37"/>
      <c r="GHN678" s="37"/>
      <c r="GHO678" s="37"/>
      <c r="GHP678" s="37"/>
      <c r="GHQ678" s="37"/>
      <c r="GHR678" s="37"/>
      <c r="GHS678" s="37"/>
      <c r="GHT678" s="37"/>
      <c r="GHU678" s="37"/>
      <c r="GHV678" s="37"/>
      <c r="GHW678" s="37"/>
      <c r="GHX678" s="37"/>
      <c r="GHY678" s="37"/>
      <c r="GHZ678" s="37"/>
      <c r="GIA678" s="37"/>
      <c r="GIB678" s="37"/>
      <c r="GIC678" s="37"/>
      <c r="GID678" s="37"/>
      <c r="GIE678" s="37"/>
      <c r="GIF678" s="37"/>
      <c r="GIG678" s="37"/>
      <c r="GIH678" s="37"/>
      <c r="GII678" s="37"/>
      <c r="GIJ678" s="37"/>
      <c r="GIK678" s="37"/>
      <c r="GIL678" s="37"/>
      <c r="GIM678" s="37"/>
      <c r="GIN678" s="37"/>
      <c r="GIO678" s="37"/>
      <c r="GIP678" s="37"/>
      <c r="GIQ678" s="37"/>
      <c r="GIR678" s="37"/>
      <c r="GIS678" s="37"/>
      <c r="GIT678" s="37"/>
      <c r="GIU678" s="37"/>
      <c r="GIV678" s="37"/>
      <c r="GIW678" s="37"/>
      <c r="GIX678" s="37"/>
      <c r="GIY678" s="37"/>
      <c r="GIZ678" s="37"/>
      <c r="GJA678" s="37"/>
      <c r="GJB678" s="37"/>
      <c r="GJC678" s="37"/>
      <c r="GJD678" s="37"/>
      <c r="GJE678" s="37"/>
      <c r="GJF678" s="37"/>
      <c r="GJG678" s="37"/>
      <c r="GJH678" s="37"/>
      <c r="GJI678" s="37"/>
      <c r="GJJ678" s="37"/>
      <c r="GJK678" s="37"/>
      <c r="GJL678" s="37"/>
      <c r="GJM678" s="37"/>
      <c r="GJN678" s="37"/>
      <c r="GJO678" s="37"/>
      <c r="GJP678" s="37"/>
      <c r="GJQ678" s="37"/>
      <c r="GJR678" s="37"/>
      <c r="GJS678" s="37"/>
      <c r="GJT678" s="37"/>
      <c r="GJU678" s="37"/>
      <c r="GJV678" s="37"/>
      <c r="GJW678" s="37"/>
      <c r="GJX678" s="37"/>
      <c r="GJY678" s="37"/>
      <c r="GJZ678" s="37"/>
      <c r="GKA678" s="37"/>
      <c r="GKB678" s="37"/>
      <c r="GKC678" s="37"/>
      <c r="GKD678" s="37"/>
      <c r="GKE678" s="37"/>
      <c r="GKF678" s="37"/>
      <c r="GKG678" s="37"/>
      <c r="GKH678" s="37"/>
      <c r="GKI678" s="37"/>
      <c r="GKJ678" s="37"/>
      <c r="GKK678" s="37"/>
      <c r="GKL678" s="37"/>
      <c r="GKM678" s="37"/>
      <c r="GKN678" s="37"/>
      <c r="GKO678" s="37"/>
      <c r="GKP678" s="37"/>
      <c r="GKQ678" s="37"/>
      <c r="GKR678" s="37"/>
      <c r="GKS678" s="37"/>
      <c r="GKT678" s="37"/>
      <c r="GKU678" s="37"/>
      <c r="GKV678" s="37"/>
      <c r="GKW678" s="37"/>
      <c r="GKX678" s="37"/>
      <c r="GKY678" s="37"/>
      <c r="GKZ678" s="37"/>
      <c r="GLA678" s="37"/>
      <c r="GLB678" s="37"/>
      <c r="GLC678" s="37"/>
      <c r="GLD678" s="37"/>
      <c r="GLE678" s="37"/>
      <c r="GLF678" s="37"/>
      <c r="GLG678" s="37"/>
      <c r="GLH678" s="37"/>
      <c r="GLI678" s="37"/>
      <c r="GLJ678" s="37"/>
      <c r="GLK678" s="37"/>
      <c r="GLL678" s="37"/>
      <c r="GLM678" s="37"/>
      <c r="GLN678" s="37"/>
      <c r="GLO678" s="37"/>
      <c r="GLP678" s="37"/>
      <c r="GLQ678" s="37"/>
      <c r="GLR678" s="37"/>
      <c r="GLS678" s="37"/>
      <c r="GLT678" s="37"/>
      <c r="GLU678" s="37"/>
      <c r="GLV678" s="37"/>
      <c r="GLW678" s="37"/>
      <c r="GLX678" s="37"/>
      <c r="GLY678" s="37"/>
      <c r="GLZ678" s="37"/>
      <c r="GMA678" s="37"/>
      <c r="GMB678" s="37"/>
      <c r="GMC678" s="37"/>
      <c r="GMD678" s="37"/>
      <c r="GME678" s="37"/>
      <c r="GMF678" s="37"/>
      <c r="GMG678" s="37"/>
      <c r="GMH678" s="37"/>
      <c r="GMI678" s="37"/>
      <c r="GMJ678" s="37"/>
      <c r="GMK678" s="37"/>
      <c r="GML678" s="37"/>
      <c r="GMM678" s="37"/>
      <c r="GMN678" s="37"/>
      <c r="GMO678" s="37"/>
      <c r="GMP678" s="37"/>
      <c r="GMQ678" s="37"/>
      <c r="GMR678" s="37"/>
      <c r="GMS678" s="37"/>
      <c r="GMT678" s="37"/>
      <c r="GMU678" s="37"/>
      <c r="GMV678" s="37"/>
      <c r="GMW678" s="37"/>
      <c r="GMX678" s="37"/>
      <c r="GMY678" s="37"/>
      <c r="GMZ678" s="37"/>
      <c r="GNA678" s="37"/>
      <c r="GNB678" s="37"/>
      <c r="GNC678" s="37"/>
      <c r="GND678" s="37"/>
      <c r="GNE678" s="37"/>
      <c r="GNF678" s="37"/>
      <c r="GNG678" s="37"/>
      <c r="GNH678" s="37"/>
      <c r="GNI678" s="37"/>
      <c r="GNJ678" s="37"/>
      <c r="GNK678" s="37"/>
      <c r="GNL678" s="37"/>
      <c r="GNM678" s="37"/>
      <c r="GNN678" s="37"/>
      <c r="GNO678" s="37"/>
      <c r="GNP678" s="37"/>
      <c r="GNQ678" s="37"/>
      <c r="GNR678" s="37"/>
      <c r="GNS678" s="37"/>
      <c r="GNT678" s="37"/>
      <c r="GNU678" s="37"/>
      <c r="GNV678" s="37"/>
      <c r="GNW678" s="37"/>
      <c r="GNX678" s="37"/>
      <c r="GNY678" s="37"/>
      <c r="GNZ678" s="37"/>
      <c r="GOA678" s="37"/>
      <c r="GOB678" s="37"/>
      <c r="GOC678" s="37"/>
      <c r="GOD678" s="37"/>
      <c r="GOE678" s="37"/>
      <c r="GOF678" s="37"/>
      <c r="GOG678" s="37"/>
      <c r="GOH678" s="37"/>
      <c r="GOI678" s="37"/>
      <c r="GOJ678" s="37"/>
      <c r="GOK678" s="37"/>
      <c r="GOL678" s="37"/>
      <c r="GOM678" s="37"/>
      <c r="GON678" s="37"/>
      <c r="GOO678" s="37"/>
      <c r="GOP678" s="37"/>
      <c r="GOQ678" s="37"/>
      <c r="GOR678" s="37"/>
      <c r="GOS678" s="37"/>
      <c r="GOT678" s="37"/>
      <c r="GOU678" s="37"/>
      <c r="GOV678" s="37"/>
      <c r="GOW678" s="37"/>
      <c r="GOX678" s="37"/>
      <c r="GOY678" s="37"/>
      <c r="GOZ678" s="37"/>
      <c r="GPA678" s="37"/>
      <c r="GPB678" s="37"/>
      <c r="GPC678" s="37"/>
      <c r="GPD678" s="37"/>
      <c r="GPE678" s="37"/>
      <c r="GPF678" s="37"/>
      <c r="GPG678" s="37"/>
      <c r="GPH678" s="37"/>
      <c r="GPI678" s="37"/>
      <c r="GPJ678" s="37"/>
      <c r="GPK678" s="37"/>
      <c r="GPL678" s="37"/>
      <c r="GPM678" s="37"/>
      <c r="GPN678" s="37"/>
      <c r="GPO678" s="37"/>
      <c r="GPP678" s="37"/>
      <c r="GPQ678" s="37"/>
      <c r="GPR678" s="37"/>
      <c r="GPS678" s="37"/>
      <c r="GPT678" s="37"/>
      <c r="GPU678" s="37"/>
      <c r="GPV678" s="37"/>
      <c r="GPW678" s="37"/>
      <c r="GPX678" s="37"/>
      <c r="GPY678" s="37"/>
      <c r="GPZ678" s="37"/>
      <c r="GQA678" s="37"/>
      <c r="GQB678" s="37"/>
      <c r="GQC678" s="37"/>
      <c r="GQD678" s="37"/>
      <c r="GQE678" s="37"/>
      <c r="GQF678" s="37"/>
      <c r="GQG678" s="37"/>
      <c r="GQH678" s="37"/>
      <c r="GQI678" s="37"/>
      <c r="GQJ678" s="37"/>
      <c r="GQK678" s="37"/>
      <c r="GQL678" s="37"/>
      <c r="GQM678" s="37"/>
      <c r="GQN678" s="37"/>
      <c r="GQO678" s="37"/>
      <c r="GQP678" s="37"/>
      <c r="GQQ678" s="37"/>
      <c r="GQR678" s="37"/>
      <c r="GQS678" s="37"/>
      <c r="GQT678" s="37"/>
      <c r="GQU678" s="37"/>
      <c r="GQV678" s="37"/>
      <c r="GQW678" s="37"/>
      <c r="GQX678" s="37"/>
      <c r="GQY678" s="37"/>
      <c r="GQZ678" s="37"/>
      <c r="GRA678" s="37"/>
      <c r="GRB678" s="37"/>
      <c r="GRC678" s="37"/>
      <c r="GRD678" s="37"/>
      <c r="GRE678" s="37"/>
      <c r="GRF678" s="37"/>
      <c r="GRG678" s="37"/>
      <c r="GRH678" s="37"/>
      <c r="GRI678" s="37"/>
      <c r="GRJ678" s="37"/>
      <c r="GRK678" s="37"/>
      <c r="GRL678" s="37"/>
      <c r="GRM678" s="37"/>
      <c r="GRN678" s="37"/>
      <c r="GRO678" s="37"/>
      <c r="GRP678" s="37"/>
      <c r="GRQ678" s="37"/>
      <c r="GRR678" s="37"/>
      <c r="GRS678" s="37"/>
      <c r="GRT678" s="37"/>
      <c r="GRU678" s="37"/>
      <c r="GRV678" s="37"/>
      <c r="GRW678" s="37"/>
      <c r="GRX678" s="37"/>
      <c r="GRY678" s="37"/>
      <c r="GRZ678" s="37"/>
      <c r="GSA678" s="37"/>
      <c r="GSB678" s="37"/>
      <c r="GSC678" s="37"/>
      <c r="GSD678" s="37"/>
      <c r="GSE678" s="37"/>
      <c r="GSF678" s="37"/>
      <c r="GSG678" s="37"/>
      <c r="GSH678" s="37"/>
      <c r="GSI678" s="37"/>
      <c r="GSJ678" s="37"/>
      <c r="GSK678" s="37"/>
      <c r="GSL678" s="37"/>
      <c r="GSM678" s="37"/>
      <c r="GSN678" s="37"/>
      <c r="GSO678" s="37"/>
      <c r="GSP678" s="37"/>
      <c r="GSQ678" s="37"/>
      <c r="GSR678" s="37"/>
      <c r="GSS678" s="37"/>
      <c r="GST678" s="37"/>
      <c r="GSU678" s="37"/>
      <c r="GSV678" s="37"/>
      <c r="GSW678" s="37"/>
      <c r="GSX678" s="37"/>
      <c r="GSY678" s="37"/>
      <c r="GSZ678" s="37"/>
      <c r="GTA678" s="37"/>
      <c r="GTB678" s="37"/>
      <c r="GTC678" s="37"/>
      <c r="GTD678" s="37"/>
      <c r="GTE678" s="37"/>
      <c r="GTF678" s="37"/>
      <c r="GTG678" s="37"/>
      <c r="GTH678" s="37"/>
      <c r="GTI678" s="37"/>
      <c r="GTJ678" s="37"/>
      <c r="GTK678" s="37"/>
      <c r="GTL678" s="37"/>
      <c r="GTM678" s="37"/>
      <c r="GTN678" s="37"/>
      <c r="GTO678" s="37"/>
      <c r="GTP678" s="37"/>
      <c r="GTQ678" s="37"/>
      <c r="GTR678" s="37"/>
      <c r="GTS678" s="37"/>
      <c r="GTT678" s="37"/>
      <c r="GTU678" s="37"/>
      <c r="GTV678" s="37"/>
      <c r="GTW678" s="37"/>
      <c r="GTX678" s="37"/>
      <c r="GTY678" s="37"/>
      <c r="GTZ678" s="37"/>
      <c r="GUA678" s="37"/>
      <c r="GUB678" s="37"/>
      <c r="GUC678" s="37"/>
      <c r="GUD678" s="37"/>
      <c r="GUE678" s="37"/>
      <c r="GUF678" s="37"/>
      <c r="GUG678" s="37"/>
      <c r="GUH678" s="37"/>
      <c r="GUI678" s="37"/>
      <c r="GUJ678" s="37"/>
      <c r="GUK678" s="37"/>
      <c r="GUL678" s="37"/>
      <c r="GUM678" s="37"/>
      <c r="GUN678" s="37"/>
      <c r="GUO678" s="37"/>
      <c r="GUP678" s="37"/>
      <c r="GUQ678" s="37"/>
      <c r="GUR678" s="37"/>
      <c r="GUS678" s="37"/>
      <c r="GUT678" s="37"/>
      <c r="GUU678" s="37"/>
      <c r="GUV678" s="37"/>
      <c r="GUW678" s="37"/>
      <c r="GUX678" s="37"/>
      <c r="GUY678" s="37"/>
      <c r="GUZ678" s="37"/>
      <c r="GVA678" s="37"/>
      <c r="GVB678" s="37"/>
      <c r="GVC678" s="37"/>
      <c r="GVD678" s="37"/>
      <c r="GVE678" s="37"/>
      <c r="GVF678" s="37"/>
      <c r="GVG678" s="37"/>
      <c r="GVH678" s="37"/>
      <c r="GVI678" s="37"/>
      <c r="GVJ678" s="37"/>
      <c r="GVK678" s="37"/>
      <c r="GVL678" s="37"/>
      <c r="GVM678" s="37"/>
      <c r="GVN678" s="37"/>
      <c r="GVO678" s="37"/>
      <c r="GVP678" s="37"/>
      <c r="GVQ678" s="37"/>
      <c r="GVR678" s="37"/>
      <c r="GVS678" s="37"/>
      <c r="GVT678" s="37"/>
      <c r="GVU678" s="37"/>
      <c r="GVV678" s="37"/>
      <c r="GVW678" s="37"/>
      <c r="GVX678" s="37"/>
      <c r="GVY678" s="37"/>
      <c r="GVZ678" s="37"/>
      <c r="GWA678" s="37"/>
      <c r="GWB678" s="37"/>
      <c r="GWC678" s="37"/>
      <c r="GWD678" s="37"/>
      <c r="GWE678" s="37"/>
      <c r="GWF678" s="37"/>
      <c r="GWG678" s="37"/>
      <c r="GWH678" s="37"/>
      <c r="GWI678" s="37"/>
      <c r="GWJ678" s="37"/>
      <c r="GWK678" s="37"/>
      <c r="GWL678" s="37"/>
      <c r="GWM678" s="37"/>
      <c r="GWN678" s="37"/>
      <c r="GWO678" s="37"/>
      <c r="GWP678" s="37"/>
      <c r="GWQ678" s="37"/>
      <c r="GWR678" s="37"/>
      <c r="GWS678" s="37"/>
      <c r="GWT678" s="37"/>
      <c r="GWU678" s="37"/>
      <c r="GWV678" s="37"/>
      <c r="GWW678" s="37"/>
      <c r="GWX678" s="37"/>
      <c r="GWY678" s="37"/>
      <c r="GWZ678" s="37"/>
      <c r="GXA678" s="37"/>
      <c r="GXB678" s="37"/>
      <c r="GXC678" s="37"/>
      <c r="GXD678" s="37"/>
      <c r="GXE678" s="37"/>
      <c r="GXF678" s="37"/>
      <c r="GXG678" s="37"/>
      <c r="GXH678" s="37"/>
      <c r="GXI678" s="37"/>
      <c r="GXJ678" s="37"/>
      <c r="GXK678" s="37"/>
      <c r="GXL678" s="37"/>
      <c r="GXM678" s="37"/>
      <c r="GXN678" s="37"/>
      <c r="GXO678" s="37"/>
      <c r="GXP678" s="37"/>
      <c r="GXQ678" s="37"/>
      <c r="GXR678" s="37"/>
      <c r="GXS678" s="37"/>
      <c r="GXT678" s="37"/>
      <c r="GXU678" s="37"/>
      <c r="GXV678" s="37"/>
      <c r="GXW678" s="37"/>
      <c r="GXX678" s="37"/>
      <c r="GXY678" s="37"/>
      <c r="GXZ678" s="37"/>
      <c r="GYA678" s="37"/>
      <c r="GYB678" s="37"/>
      <c r="GYC678" s="37"/>
      <c r="GYD678" s="37"/>
      <c r="GYE678" s="37"/>
      <c r="GYF678" s="37"/>
      <c r="GYG678" s="37"/>
      <c r="GYH678" s="37"/>
      <c r="GYI678" s="37"/>
      <c r="GYJ678" s="37"/>
      <c r="GYK678" s="37"/>
      <c r="GYL678" s="37"/>
      <c r="GYM678" s="37"/>
      <c r="GYN678" s="37"/>
      <c r="GYO678" s="37"/>
      <c r="GYP678" s="37"/>
      <c r="GYQ678" s="37"/>
      <c r="GYR678" s="37"/>
      <c r="GYS678" s="37"/>
      <c r="GYT678" s="37"/>
      <c r="GYU678" s="37"/>
      <c r="GYV678" s="37"/>
      <c r="GYW678" s="37"/>
      <c r="GYX678" s="37"/>
      <c r="GYY678" s="37"/>
      <c r="GYZ678" s="37"/>
      <c r="GZA678" s="37"/>
      <c r="GZB678" s="37"/>
      <c r="GZC678" s="37"/>
      <c r="GZD678" s="37"/>
      <c r="GZE678" s="37"/>
      <c r="GZF678" s="37"/>
      <c r="GZG678" s="37"/>
      <c r="GZH678" s="37"/>
      <c r="GZI678" s="37"/>
      <c r="GZJ678" s="37"/>
      <c r="GZK678" s="37"/>
      <c r="GZL678" s="37"/>
      <c r="GZM678" s="37"/>
      <c r="GZN678" s="37"/>
      <c r="GZO678" s="37"/>
      <c r="GZP678" s="37"/>
      <c r="GZQ678" s="37"/>
      <c r="GZR678" s="37"/>
      <c r="GZS678" s="37"/>
      <c r="GZT678" s="37"/>
      <c r="GZU678" s="37"/>
      <c r="GZV678" s="37"/>
      <c r="GZW678" s="37"/>
      <c r="GZX678" s="37"/>
      <c r="GZY678" s="37"/>
      <c r="GZZ678" s="37"/>
      <c r="HAA678" s="37"/>
      <c r="HAB678" s="37"/>
      <c r="HAC678" s="37"/>
      <c r="HAD678" s="37"/>
      <c r="HAE678" s="37"/>
      <c r="HAF678" s="37"/>
      <c r="HAG678" s="37"/>
      <c r="HAH678" s="37"/>
      <c r="HAI678" s="37"/>
      <c r="HAJ678" s="37"/>
      <c r="HAK678" s="37"/>
      <c r="HAL678" s="37"/>
      <c r="HAM678" s="37"/>
      <c r="HAN678" s="37"/>
      <c r="HAO678" s="37"/>
      <c r="HAP678" s="37"/>
      <c r="HAQ678" s="37"/>
      <c r="HAR678" s="37"/>
      <c r="HAS678" s="37"/>
      <c r="HAT678" s="37"/>
      <c r="HAU678" s="37"/>
      <c r="HAV678" s="37"/>
      <c r="HAW678" s="37"/>
      <c r="HAX678" s="37"/>
      <c r="HAY678" s="37"/>
      <c r="HAZ678" s="37"/>
      <c r="HBA678" s="37"/>
      <c r="HBB678" s="37"/>
      <c r="HBC678" s="37"/>
      <c r="HBD678" s="37"/>
      <c r="HBE678" s="37"/>
      <c r="HBF678" s="37"/>
      <c r="HBG678" s="37"/>
      <c r="HBH678" s="37"/>
      <c r="HBI678" s="37"/>
      <c r="HBJ678" s="37"/>
      <c r="HBK678" s="37"/>
      <c r="HBL678" s="37"/>
      <c r="HBM678" s="37"/>
      <c r="HBN678" s="37"/>
      <c r="HBO678" s="37"/>
      <c r="HBP678" s="37"/>
      <c r="HBQ678" s="37"/>
      <c r="HBR678" s="37"/>
      <c r="HBS678" s="37"/>
      <c r="HBT678" s="37"/>
      <c r="HBU678" s="37"/>
      <c r="HBV678" s="37"/>
      <c r="HBW678" s="37"/>
      <c r="HBX678" s="37"/>
      <c r="HBY678" s="37"/>
      <c r="HBZ678" s="37"/>
      <c r="HCA678" s="37"/>
      <c r="HCB678" s="37"/>
      <c r="HCC678" s="37"/>
      <c r="HCD678" s="37"/>
      <c r="HCE678" s="37"/>
      <c r="HCF678" s="37"/>
      <c r="HCG678" s="37"/>
      <c r="HCH678" s="37"/>
      <c r="HCI678" s="37"/>
      <c r="HCJ678" s="37"/>
      <c r="HCK678" s="37"/>
      <c r="HCL678" s="37"/>
      <c r="HCM678" s="37"/>
      <c r="HCN678" s="37"/>
      <c r="HCO678" s="37"/>
      <c r="HCP678" s="37"/>
      <c r="HCQ678" s="37"/>
      <c r="HCR678" s="37"/>
      <c r="HCS678" s="37"/>
      <c r="HCT678" s="37"/>
      <c r="HCU678" s="37"/>
      <c r="HCV678" s="37"/>
      <c r="HCW678" s="37"/>
      <c r="HCX678" s="37"/>
      <c r="HCY678" s="37"/>
      <c r="HCZ678" s="37"/>
      <c r="HDA678" s="37"/>
      <c r="HDB678" s="37"/>
      <c r="HDC678" s="37"/>
      <c r="HDD678" s="37"/>
      <c r="HDE678" s="37"/>
      <c r="HDF678" s="37"/>
      <c r="HDG678" s="37"/>
      <c r="HDH678" s="37"/>
      <c r="HDI678" s="37"/>
      <c r="HDJ678" s="37"/>
      <c r="HDK678" s="37"/>
      <c r="HDL678" s="37"/>
      <c r="HDM678" s="37"/>
      <c r="HDN678" s="37"/>
      <c r="HDO678" s="37"/>
      <c r="HDP678" s="37"/>
      <c r="HDQ678" s="37"/>
      <c r="HDR678" s="37"/>
      <c r="HDS678" s="37"/>
      <c r="HDT678" s="37"/>
      <c r="HDU678" s="37"/>
      <c r="HDV678" s="37"/>
      <c r="HDW678" s="37"/>
      <c r="HDX678" s="37"/>
      <c r="HDY678" s="37"/>
      <c r="HDZ678" s="37"/>
      <c r="HEA678" s="37"/>
      <c r="HEB678" s="37"/>
      <c r="HEC678" s="37"/>
      <c r="HED678" s="37"/>
      <c r="HEE678" s="37"/>
      <c r="HEF678" s="37"/>
      <c r="HEG678" s="37"/>
      <c r="HEH678" s="37"/>
      <c r="HEI678" s="37"/>
      <c r="HEJ678" s="37"/>
      <c r="HEK678" s="37"/>
      <c r="HEL678" s="37"/>
      <c r="HEM678" s="37"/>
      <c r="HEN678" s="37"/>
      <c r="HEO678" s="37"/>
      <c r="HEP678" s="37"/>
      <c r="HEQ678" s="37"/>
      <c r="HER678" s="37"/>
      <c r="HES678" s="37"/>
      <c r="HET678" s="37"/>
      <c r="HEU678" s="37"/>
      <c r="HEV678" s="37"/>
      <c r="HEW678" s="37"/>
      <c r="HEX678" s="37"/>
      <c r="HEY678" s="37"/>
      <c r="HEZ678" s="37"/>
      <c r="HFA678" s="37"/>
      <c r="HFB678" s="37"/>
      <c r="HFC678" s="37"/>
      <c r="HFD678" s="37"/>
      <c r="HFE678" s="37"/>
      <c r="HFF678" s="37"/>
      <c r="HFG678" s="37"/>
      <c r="HFH678" s="37"/>
      <c r="HFI678" s="37"/>
      <c r="HFJ678" s="37"/>
      <c r="HFK678" s="37"/>
      <c r="HFL678" s="37"/>
      <c r="HFM678" s="37"/>
      <c r="HFN678" s="37"/>
      <c r="HFO678" s="37"/>
      <c r="HFP678" s="37"/>
      <c r="HFQ678" s="37"/>
      <c r="HFR678" s="37"/>
      <c r="HFS678" s="37"/>
      <c r="HFT678" s="37"/>
      <c r="HFU678" s="37"/>
      <c r="HFV678" s="37"/>
      <c r="HFW678" s="37"/>
      <c r="HFX678" s="37"/>
      <c r="HFY678" s="37"/>
      <c r="HFZ678" s="37"/>
      <c r="HGA678" s="37"/>
      <c r="HGB678" s="37"/>
      <c r="HGC678" s="37"/>
      <c r="HGD678" s="37"/>
      <c r="HGE678" s="37"/>
      <c r="HGF678" s="37"/>
      <c r="HGG678" s="37"/>
      <c r="HGH678" s="37"/>
      <c r="HGI678" s="37"/>
      <c r="HGJ678" s="37"/>
      <c r="HGK678" s="37"/>
      <c r="HGL678" s="37"/>
      <c r="HGM678" s="37"/>
      <c r="HGN678" s="37"/>
      <c r="HGO678" s="37"/>
      <c r="HGP678" s="37"/>
      <c r="HGQ678" s="37"/>
      <c r="HGR678" s="37"/>
      <c r="HGS678" s="37"/>
      <c r="HGT678" s="37"/>
      <c r="HGU678" s="37"/>
      <c r="HGV678" s="37"/>
      <c r="HGW678" s="37"/>
      <c r="HGX678" s="37"/>
      <c r="HGY678" s="37"/>
      <c r="HGZ678" s="37"/>
      <c r="HHA678" s="37"/>
      <c r="HHB678" s="37"/>
      <c r="HHC678" s="37"/>
      <c r="HHD678" s="37"/>
      <c r="HHE678" s="37"/>
      <c r="HHF678" s="37"/>
      <c r="HHG678" s="37"/>
      <c r="HHH678" s="37"/>
      <c r="HHI678" s="37"/>
      <c r="HHJ678" s="37"/>
      <c r="HHK678" s="37"/>
      <c r="HHL678" s="37"/>
      <c r="HHM678" s="37"/>
      <c r="HHN678" s="37"/>
      <c r="HHO678" s="37"/>
      <c r="HHP678" s="37"/>
      <c r="HHQ678" s="37"/>
      <c r="HHR678" s="37"/>
      <c r="HHS678" s="37"/>
      <c r="HHT678" s="37"/>
      <c r="HHU678" s="37"/>
      <c r="HHV678" s="37"/>
      <c r="HHW678" s="37"/>
      <c r="HHX678" s="37"/>
      <c r="HHY678" s="37"/>
      <c r="HHZ678" s="37"/>
      <c r="HIA678" s="37"/>
      <c r="HIB678" s="37"/>
      <c r="HIC678" s="37"/>
      <c r="HID678" s="37"/>
      <c r="HIE678" s="37"/>
      <c r="HIF678" s="37"/>
      <c r="HIG678" s="37"/>
      <c r="HIH678" s="37"/>
      <c r="HII678" s="37"/>
      <c r="HIJ678" s="37"/>
      <c r="HIK678" s="37"/>
      <c r="HIL678" s="37"/>
      <c r="HIM678" s="37"/>
      <c r="HIN678" s="37"/>
      <c r="HIO678" s="37"/>
      <c r="HIP678" s="37"/>
      <c r="HIQ678" s="37"/>
      <c r="HIR678" s="37"/>
      <c r="HIS678" s="37"/>
      <c r="HIT678" s="37"/>
      <c r="HIU678" s="37"/>
      <c r="HIV678" s="37"/>
      <c r="HIW678" s="37"/>
      <c r="HIX678" s="37"/>
      <c r="HIY678" s="37"/>
      <c r="HIZ678" s="37"/>
      <c r="HJA678" s="37"/>
      <c r="HJB678" s="37"/>
      <c r="HJC678" s="37"/>
      <c r="HJD678" s="37"/>
      <c r="HJE678" s="37"/>
      <c r="HJF678" s="37"/>
      <c r="HJG678" s="37"/>
      <c r="HJH678" s="37"/>
      <c r="HJI678" s="37"/>
      <c r="HJJ678" s="37"/>
      <c r="HJK678" s="37"/>
      <c r="HJL678" s="37"/>
      <c r="HJM678" s="37"/>
      <c r="HJN678" s="37"/>
      <c r="HJO678" s="37"/>
      <c r="HJP678" s="37"/>
      <c r="HJQ678" s="37"/>
      <c r="HJR678" s="37"/>
      <c r="HJS678" s="37"/>
      <c r="HJT678" s="37"/>
      <c r="HJU678" s="37"/>
      <c r="HJV678" s="37"/>
      <c r="HJW678" s="37"/>
      <c r="HJX678" s="37"/>
      <c r="HJY678" s="37"/>
      <c r="HJZ678" s="37"/>
      <c r="HKA678" s="37"/>
      <c r="HKB678" s="37"/>
      <c r="HKC678" s="37"/>
      <c r="HKD678" s="37"/>
      <c r="HKE678" s="37"/>
      <c r="HKF678" s="37"/>
      <c r="HKG678" s="37"/>
      <c r="HKH678" s="37"/>
      <c r="HKI678" s="37"/>
      <c r="HKJ678" s="37"/>
      <c r="HKK678" s="37"/>
      <c r="HKL678" s="37"/>
      <c r="HKM678" s="37"/>
      <c r="HKN678" s="37"/>
      <c r="HKO678" s="37"/>
      <c r="HKP678" s="37"/>
      <c r="HKQ678" s="37"/>
      <c r="HKR678" s="37"/>
      <c r="HKS678" s="37"/>
      <c r="HKT678" s="37"/>
      <c r="HKU678" s="37"/>
      <c r="HKV678" s="37"/>
      <c r="HKW678" s="37"/>
      <c r="HKX678" s="37"/>
      <c r="HKY678" s="37"/>
      <c r="HKZ678" s="37"/>
      <c r="HLA678" s="37"/>
      <c r="HLB678" s="37"/>
      <c r="HLC678" s="37"/>
      <c r="HLD678" s="37"/>
      <c r="HLE678" s="37"/>
      <c r="HLF678" s="37"/>
      <c r="HLG678" s="37"/>
      <c r="HLH678" s="37"/>
      <c r="HLI678" s="37"/>
      <c r="HLJ678" s="37"/>
      <c r="HLK678" s="37"/>
      <c r="HLL678" s="37"/>
      <c r="HLM678" s="37"/>
      <c r="HLN678" s="37"/>
      <c r="HLO678" s="37"/>
      <c r="HLP678" s="37"/>
      <c r="HLQ678" s="37"/>
      <c r="HLR678" s="37"/>
      <c r="HLS678" s="37"/>
      <c r="HLT678" s="37"/>
      <c r="HLU678" s="37"/>
      <c r="HLV678" s="37"/>
      <c r="HLW678" s="37"/>
      <c r="HLX678" s="37"/>
      <c r="HLY678" s="37"/>
      <c r="HLZ678" s="37"/>
      <c r="HMA678" s="37"/>
      <c r="HMB678" s="37"/>
      <c r="HMC678" s="37"/>
      <c r="HMD678" s="37"/>
      <c r="HME678" s="37"/>
      <c r="HMF678" s="37"/>
      <c r="HMG678" s="37"/>
      <c r="HMH678" s="37"/>
      <c r="HMI678" s="37"/>
      <c r="HMJ678" s="37"/>
      <c r="HMK678" s="37"/>
      <c r="HML678" s="37"/>
      <c r="HMM678" s="37"/>
      <c r="HMN678" s="37"/>
      <c r="HMO678" s="37"/>
      <c r="HMP678" s="37"/>
      <c r="HMQ678" s="37"/>
      <c r="HMR678" s="37"/>
      <c r="HMS678" s="37"/>
      <c r="HMT678" s="37"/>
      <c r="HMU678" s="37"/>
      <c r="HMV678" s="37"/>
      <c r="HMW678" s="37"/>
      <c r="HMX678" s="37"/>
      <c r="HMY678" s="37"/>
      <c r="HMZ678" s="37"/>
      <c r="HNA678" s="37"/>
      <c r="HNB678" s="37"/>
      <c r="HNC678" s="37"/>
      <c r="HND678" s="37"/>
      <c r="HNE678" s="37"/>
      <c r="HNF678" s="37"/>
      <c r="HNG678" s="37"/>
      <c r="HNH678" s="37"/>
      <c r="HNI678" s="37"/>
      <c r="HNJ678" s="37"/>
      <c r="HNK678" s="37"/>
      <c r="HNL678" s="37"/>
      <c r="HNM678" s="37"/>
      <c r="HNN678" s="37"/>
      <c r="HNO678" s="37"/>
      <c r="HNP678" s="37"/>
      <c r="HNQ678" s="37"/>
      <c r="HNR678" s="37"/>
      <c r="HNS678" s="37"/>
      <c r="HNT678" s="37"/>
      <c r="HNU678" s="37"/>
      <c r="HNV678" s="37"/>
      <c r="HNW678" s="37"/>
      <c r="HNX678" s="37"/>
      <c r="HNY678" s="37"/>
      <c r="HNZ678" s="37"/>
      <c r="HOA678" s="37"/>
      <c r="HOB678" s="37"/>
      <c r="HOC678" s="37"/>
      <c r="HOD678" s="37"/>
      <c r="HOE678" s="37"/>
      <c r="HOF678" s="37"/>
      <c r="HOG678" s="37"/>
      <c r="HOH678" s="37"/>
      <c r="HOI678" s="37"/>
      <c r="HOJ678" s="37"/>
      <c r="HOK678" s="37"/>
      <c r="HOL678" s="37"/>
      <c r="HOM678" s="37"/>
      <c r="HON678" s="37"/>
      <c r="HOO678" s="37"/>
      <c r="HOP678" s="37"/>
      <c r="HOQ678" s="37"/>
      <c r="HOR678" s="37"/>
      <c r="HOS678" s="37"/>
      <c r="HOT678" s="37"/>
      <c r="HOU678" s="37"/>
      <c r="HOV678" s="37"/>
      <c r="HOW678" s="37"/>
      <c r="HOX678" s="37"/>
      <c r="HOY678" s="37"/>
      <c r="HOZ678" s="37"/>
      <c r="HPA678" s="37"/>
      <c r="HPB678" s="37"/>
      <c r="HPC678" s="37"/>
      <c r="HPD678" s="37"/>
      <c r="HPE678" s="37"/>
      <c r="HPF678" s="37"/>
      <c r="HPG678" s="37"/>
      <c r="HPH678" s="37"/>
      <c r="HPI678" s="37"/>
      <c r="HPJ678" s="37"/>
      <c r="HPK678" s="37"/>
      <c r="HPL678" s="37"/>
      <c r="HPM678" s="37"/>
      <c r="HPN678" s="37"/>
      <c r="HPO678" s="37"/>
      <c r="HPP678" s="37"/>
      <c r="HPQ678" s="37"/>
      <c r="HPR678" s="37"/>
      <c r="HPS678" s="37"/>
      <c r="HPT678" s="37"/>
      <c r="HPU678" s="37"/>
      <c r="HPV678" s="37"/>
      <c r="HPW678" s="37"/>
      <c r="HPX678" s="37"/>
      <c r="HPY678" s="37"/>
      <c r="HPZ678" s="37"/>
      <c r="HQA678" s="37"/>
      <c r="HQB678" s="37"/>
      <c r="HQC678" s="37"/>
      <c r="HQD678" s="37"/>
      <c r="HQE678" s="37"/>
      <c r="HQF678" s="37"/>
      <c r="HQG678" s="37"/>
      <c r="HQH678" s="37"/>
      <c r="HQI678" s="37"/>
      <c r="HQJ678" s="37"/>
      <c r="HQK678" s="37"/>
      <c r="HQL678" s="37"/>
      <c r="HQM678" s="37"/>
      <c r="HQN678" s="37"/>
      <c r="HQO678" s="37"/>
      <c r="HQP678" s="37"/>
      <c r="HQQ678" s="37"/>
      <c r="HQR678" s="37"/>
      <c r="HQS678" s="37"/>
      <c r="HQT678" s="37"/>
      <c r="HQU678" s="37"/>
      <c r="HQV678" s="37"/>
      <c r="HQW678" s="37"/>
      <c r="HQX678" s="37"/>
      <c r="HQY678" s="37"/>
      <c r="HQZ678" s="37"/>
      <c r="HRA678" s="37"/>
      <c r="HRB678" s="37"/>
      <c r="HRC678" s="37"/>
      <c r="HRD678" s="37"/>
      <c r="HRE678" s="37"/>
      <c r="HRF678" s="37"/>
      <c r="HRG678" s="37"/>
      <c r="HRH678" s="37"/>
      <c r="HRI678" s="37"/>
      <c r="HRJ678" s="37"/>
      <c r="HRK678" s="37"/>
      <c r="HRL678" s="37"/>
      <c r="HRM678" s="37"/>
      <c r="HRN678" s="37"/>
      <c r="HRO678" s="37"/>
      <c r="HRP678" s="37"/>
      <c r="HRQ678" s="37"/>
      <c r="HRR678" s="37"/>
      <c r="HRS678" s="37"/>
      <c r="HRT678" s="37"/>
      <c r="HRU678" s="37"/>
      <c r="HRV678" s="37"/>
      <c r="HRW678" s="37"/>
      <c r="HRX678" s="37"/>
      <c r="HRY678" s="37"/>
      <c r="HRZ678" s="37"/>
      <c r="HSA678" s="37"/>
      <c r="HSB678" s="37"/>
      <c r="HSC678" s="37"/>
      <c r="HSD678" s="37"/>
      <c r="HSE678" s="37"/>
      <c r="HSF678" s="37"/>
      <c r="HSG678" s="37"/>
      <c r="HSH678" s="37"/>
      <c r="HSI678" s="37"/>
      <c r="HSJ678" s="37"/>
      <c r="HSK678" s="37"/>
      <c r="HSL678" s="37"/>
      <c r="HSM678" s="37"/>
      <c r="HSN678" s="37"/>
      <c r="HSO678" s="37"/>
      <c r="HSP678" s="37"/>
      <c r="HSQ678" s="37"/>
      <c r="HSR678" s="37"/>
      <c r="HSS678" s="37"/>
      <c r="HST678" s="37"/>
      <c r="HSU678" s="37"/>
      <c r="HSV678" s="37"/>
      <c r="HSW678" s="37"/>
      <c r="HSX678" s="37"/>
      <c r="HSY678" s="37"/>
      <c r="HSZ678" s="37"/>
      <c r="HTA678" s="37"/>
      <c r="HTB678" s="37"/>
      <c r="HTC678" s="37"/>
      <c r="HTD678" s="37"/>
      <c r="HTE678" s="37"/>
      <c r="HTF678" s="37"/>
      <c r="HTG678" s="37"/>
      <c r="HTH678" s="37"/>
      <c r="HTI678" s="37"/>
      <c r="HTJ678" s="37"/>
      <c r="HTK678" s="37"/>
      <c r="HTL678" s="37"/>
      <c r="HTM678" s="37"/>
      <c r="HTN678" s="37"/>
      <c r="HTO678" s="37"/>
      <c r="HTP678" s="37"/>
      <c r="HTQ678" s="37"/>
      <c r="HTR678" s="37"/>
      <c r="HTS678" s="37"/>
      <c r="HTT678" s="37"/>
      <c r="HTU678" s="37"/>
      <c r="HTV678" s="37"/>
      <c r="HTW678" s="37"/>
      <c r="HTX678" s="37"/>
      <c r="HTY678" s="37"/>
      <c r="HTZ678" s="37"/>
      <c r="HUA678" s="37"/>
      <c r="HUB678" s="37"/>
      <c r="HUC678" s="37"/>
      <c r="HUD678" s="37"/>
      <c r="HUE678" s="37"/>
      <c r="HUF678" s="37"/>
      <c r="HUG678" s="37"/>
      <c r="HUH678" s="37"/>
      <c r="HUI678" s="37"/>
      <c r="HUJ678" s="37"/>
      <c r="HUK678" s="37"/>
      <c r="HUL678" s="37"/>
      <c r="HUM678" s="37"/>
      <c r="HUN678" s="37"/>
      <c r="HUO678" s="37"/>
      <c r="HUP678" s="37"/>
      <c r="HUQ678" s="37"/>
      <c r="HUR678" s="37"/>
      <c r="HUS678" s="37"/>
      <c r="HUT678" s="37"/>
      <c r="HUU678" s="37"/>
      <c r="HUV678" s="37"/>
      <c r="HUW678" s="37"/>
      <c r="HUX678" s="37"/>
      <c r="HUY678" s="37"/>
      <c r="HUZ678" s="37"/>
      <c r="HVA678" s="37"/>
      <c r="HVB678" s="37"/>
      <c r="HVC678" s="37"/>
      <c r="HVD678" s="37"/>
      <c r="HVE678" s="37"/>
      <c r="HVF678" s="37"/>
      <c r="HVG678" s="37"/>
      <c r="HVH678" s="37"/>
      <c r="HVI678" s="37"/>
      <c r="HVJ678" s="37"/>
      <c r="HVK678" s="37"/>
      <c r="HVL678" s="37"/>
      <c r="HVM678" s="37"/>
      <c r="HVN678" s="37"/>
      <c r="HVO678" s="37"/>
      <c r="HVP678" s="37"/>
      <c r="HVQ678" s="37"/>
      <c r="HVR678" s="37"/>
      <c r="HVS678" s="37"/>
      <c r="HVT678" s="37"/>
      <c r="HVU678" s="37"/>
      <c r="HVV678" s="37"/>
      <c r="HVW678" s="37"/>
      <c r="HVX678" s="37"/>
      <c r="HVY678" s="37"/>
      <c r="HVZ678" s="37"/>
      <c r="HWA678" s="37"/>
      <c r="HWB678" s="37"/>
      <c r="HWC678" s="37"/>
      <c r="HWD678" s="37"/>
      <c r="HWE678" s="37"/>
      <c r="HWF678" s="37"/>
      <c r="HWG678" s="37"/>
      <c r="HWH678" s="37"/>
      <c r="HWI678" s="37"/>
      <c r="HWJ678" s="37"/>
      <c r="HWK678" s="37"/>
      <c r="HWL678" s="37"/>
      <c r="HWM678" s="37"/>
      <c r="HWN678" s="37"/>
      <c r="HWO678" s="37"/>
      <c r="HWP678" s="37"/>
      <c r="HWQ678" s="37"/>
      <c r="HWR678" s="37"/>
      <c r="HWS678" s="37"/>
      <c r="HWT678" s="37"/>
      <c r="HWU678" s="37"/>
      <c r="HWV678" s="37"/>
      <c r="HWW678" s="37"/>
      <c r="HWX678" s="37"/>
      <c r="HWY678" s="37"/>
      <c r="HWZ678" s="37"/>
      <c r="HXA678" s="37"/>
      <c r="HXB678" s="37"/>
      <c r="HXC678" s="37"/>
      <c r="HXD678" s="37"/>
      <c r="HXE678" s="37"/>
      <c r="HXF678" s="37"/>
      <c r="HXG678" s="37"/>
      <c r="HXH678" s="37"/>
      <c r="HXI678" s="37"/>
      <c r="HXJ678" s="37"/>
      <c r="HXK678" s="37"/>
      <c r="HXL678" s="37"/>
      <c r="HXM678" s="37"/>
      <c r="HXN678" s="37"/>
      <c r="HXO678" s="37"/>
      <c r="HXP678" s="37"/>
      <c r="HXQ678" s="37"/>
      <c r="HXR678" s="37"/>
      <c r="HXS678" s="37"/>
      <c r="HXT678" s="37"/>
      <c r="HXU678" s="37"/>
      <c r="HXV678" s="37"/>
      <c r="HXW678" s="37"/>
      <c r="HXX678" s="37"/>
      <c r="HXY678" s="37"/>
      <c r="HXZ678" s="37"/>
      <c r="HYA678" s="37"/>
      <c r="HYB678" s="37"/>
      <c r="HYC678" s="37"/>
      <c r="HYD678" s="37"/>
      <c r="HYE678" s="37"/>
      <c r="HYF678" s="37"/>
      <c r="HYG678" s="37"/>
      <c r="HYH678" s="37"/>
      <c r="HYI678" s="37"/>
      <c r="HYJ678" s="37"/>
      <c r="HYK678" s="37"/>
      <c r="HYL678" s="37"/>
      <c r="HYM678" s="37"/>
      <c r="HYN678" s="37"/>
      <c r="HYO678" s="37"/>
      <c r="HYP678" s="37"/>
      <c r="HYQ678" s="37"/>
      <c r="HYR678" s="37"/>
      <c r="HYS678" s="37"/>
      <c r="HYT678" s="37"/>
      <c r="HYU678" s="37"/>
      <c r="HYV678" s="37"/>
      <c r="HYW678" s="37"/>
      <c r="HYX678" s="37"/>
      <c r="HYY678" s="37"/>
      <c r="HYZ678" s="37"/>
      <c r="HZA678" s="37"/>
      <c r="HZB678" s="37"/>
      <c r="HZC678" s="37"/>
      <c r="HZD678" s="37"/>
      <c r="HZE678" s="37"/>
      <c r="HZF678" s="37"/>
      <c r="HZG678" s="37"/>
      <c r="HZH678" s="37"/>
      <c r="HZI678" s="37"/>
      <c r="HZJ678" s="37"/>
      <c r="HZK678" s="37"/>
      <c r="HZL678" s="37"/>
      <c r="HZM678" s="37"/>
      <c r="HZN678" s="37"/>
      <c r="HZO678" s="37"/>
      <c r="HZP678" s="37"/>
      <c r="HZQ678" s="37"/>
      <c r="HZR678" s="37"/>
      <c r="HZS678" s="37"/>
      <c r="HZT678" s="37"/>
      <c r="HZU678" s="37"/>
      <c r="HZV678" s="37"/>
      <c r="HZW678" s="37"/>
      <c r="HZX678" s="37"/>
      <c r="HZY678" s="37"/>
      <c r="HZZ678" s="37"/>
      <c r="IAA678" s="37"/>
      <c r="IAB678" s="37"/>
      <c r="IAC678" s="37"/>
      <c r="IAD678" s="37"/>
      <c r="IAE678" s="37"/>
      <c r="IAF678" s="37"/>
      <c r="IAG678" s="37"/>
      <c r="IAH678" s="37"/>
      <c r="IAI678" s="37"/>
      <c r="IAJ678" s="37"/>
      <c r="IAK678" s="37"/>
      <c r="IAL678" s="37"/>
      <c r="IAM678" s="37"/>
      <c r="IAN678" s="37"/>
      <c r="IAO678" s="37"/>
      <c r="IAP678" s="37"/>
      <c r="IAQ678" s="37"/>
      <c r="IAR678" s="37"/>
      <c r="IAS678" s="37"/>
      <c r="IAT678" s="37"/>
      <c r="IAU678" s="37"/>
      <c r="IAV678" s="37"/>
      <c r="IAW678" s="37"/>
      <c r="IAX678" s="37"/>
      <c r="IAY678" s="37"/>
      <c r="IAZ678" s="37"/>
      <c r="IBA678" s="37"/>
      <c r="IBB678" s="37"/>
      <c r="IBC678" s="37"/>
      <c r="IBD678" s="37"/>
      <c r="IBE678" s="37"/>
      <c r="IBF678" s="37"/>
      <c r="IBG678" s="37"/>
      <c r="IBH678" s="37"/>
      <c r="IBI678" s="37"/>
      <c r="IBJ678" s="37"/>
      <c r="IBK678" s="37"/>
      <c r="IBL678" s="37"/>
      <c r="IBM678" s="37"/>
      <c r="IBN678" s="37"/>
      <c r="IBO678" s="37"/>
      <c r="IBP678" s="37"/>
      <c r="IBQ678" s="37"/>
      <c r="IBR678" s="37"/>
      <c r="IBS678" s="37"/>
      <c r="IBT678" s="37"/>
      <c r="IBU678" s="37"/>
      <c r="IBV678" s="37"/>
      <c r="IBW678" s="37"/>
      <c r="IBX678" s="37"/>
      <c r="IBY678" s="37"/>
      <c r="IBZ678" s="37"/>
      <c r="ICA678" s="37"/>
      <c r="ICB678" s="37"/>
      <c r="ICC678" s="37"/>
      <c r="ICD678" s="37"/>
      <c r="ICE678" s="37"/>
      <c r="ICF678" s="37"/>
      <c r="ICG678" s="37"/>
      <c r="ICH678" s="37"/>
      <c r="ICI678" s="37"/>
      <c r="ICJ678" s="37"/>
      <c r="ICK678" s="37"/>
      <c r="ICL678" s="37"/>
      <c r="ICM678" s="37"/>
      <c r="ICN678" s="37"/>
      <c r="ICO678" s="37"/>
      <c r="ICP678" s="37"/>
      <c r="ICQ678" s="37"/>
      <c r="ICR678" s="37"/>
      <c r="ICS678" s="37"/>
      <c r="ICT678" s="37"/>
      <c r="ICU678" s="37"/>
      <c r="ICV678" s="37"/>
      <c r="ICW678" s="37"/>
      <c r="ICX678" s="37"/>
      <c r="ICY678" s="37"/>
      <c r="ICZ678" s="37"/>
      <c r="IDA678" s="37"/>
      <c r="IDB678" s="37"/>
      <c r="IDC678" s="37"/>
      <c r="IDD678" s="37"/>
      <c r="IDE678" s="37"/>
      <c r="IDF678" s="37"/>
      <c r="IDG678" s="37"/>
      <c r="IDH678" s="37"/>
      <c r="IDI678" s="37"/>
      <c r="IDJ678" s="37"/>
      <c r="IDK678" s="37"/>
      <c r="IDL678" s="37"/>
      <c r="IDM678" s="37"/>
      <c r="IDN678" s="37"/>
      <c r="IDO678" s="37"/>
      <c r="IDP678" s="37"/>
      <c r="IDQ678" s="37"/>
      <c r="IDR678" s="37"/>
      <c r="IDS678" s="37"/>
      <c r="IDT678" s="37"/>
      <c r="IDU678" s="37"/>
      <c r="IDV678" s="37"/>
      <c r="IDW678" s="37"/>
      <c r="IDX678" s="37"/>
      <c r="IDY678" s="37"/>
      <c r="IDZ678" s="37"/>
      <c r="IEA678" s="37"/>
      <c r="IEB678" s="37"/>
      <c r="IEC678" s="37"/>
      <c r="IED678" s="37"/>
      <c r="IEE678" s="37"/>
      <c r="IEF678" s="37"/>
      <c r="IEG678" s="37"/>
      <c r="IEH678" s="37"/>
      <c r="IEI678" s="37"/>
      <c r="IEJ678" s="37"/>
      <c r="IEK678" s="37"/>
      <c r="IEL678" s="37"/>
      <c r="IEM678" s="37"/>
      <c r="IEN678" s="37"/>
      <c r="IEO678" s="37"/>
      <c r="IEP678" s="37"/>
      <c r="IEQ678" s="37"/>
      <c r="IER678" s="37"/>
      <c r="IES678" s="37"/>
      <c r="IET678" s="37"/>
      <c r="IEU678" s="37"/>
      <c r="IEV678" s="37"/>
      <c r="IEW678" s="37"/>
      <c r="IEX678" s="37"/>
      <c r="IEY678" s="37"/>
      <c r="IEZ678" s="37"/>
      <c r="IFA678" s="37"/>
      <c r="IFB678" s="37"/>
      <c r="IFC678" s="37"/>
      <c r="IFD678" s="37"/>
      <c r="IFE678" s="37"/>
      <c r="IFF678" s="37"/>
      <c r="IFG678" s="37"/>
      <c r="IFH678" s="37"/>
      <c r="IFI678" s="37"/>
      <c r="IFJ678" s="37"/>
      <c r="IFK678" s="37"/>
      <c r="IFL678" s="37"/>
      <c r="IFM678" s="37"/>
      <c r="IFN678" s="37"/>
      <c r="IFO678" s="37"/>
      <c r="IFP678" s="37"/>
      <c r="IFQ678" s="37"/>
      <c r="IFR678" s="37"/>
      <c r="IFS678" s="37"/>
      <c r="IFT678" s="37"/>
      <c r="IFU678" s="37"/>
      <c r="IFV678" s="37"/>
      <c r="IFW678" s="37"/>
      <c r="IFX678" s="37"/>
      <c r="IFY678" s="37"/>
      <c r="IFZ678" s="37"/>
      <c r="IGA678" s="37"/>
      <c r="IGB678" s="37"/>
      <c r="IGC678" s="37"/>
      <c r="IGD678" s="37"/>
      <c r="IGE678" s="37"/>
      <c r="IGF678" s="37"/>
      <c r="IGG678" s="37"/>
      <c r="IGH678" s="37"/>
      <c r="IGI678" s="37"/>
      <c r="IGJ678" s="37"/>
      <c r="IGK678" s="37"/>
      <c r="IGL678" s="37"/>
      <c r="IGM678" s="37"/>
      <c r="IGN678" s="37"/>
      <c r="IGO678" s="37"/>
      <c r="IGP678" s="37"/>
      <c r="IGQ678" s="37"/>
      <c r="IGR678" s="37"/>
      <c r="IGS678" s="37"/>
      <c r="IGT678" s="37"/>
      <c r="IGU678" s="37"/>
      <c r="IGV678" s="37"/>
      <c r="IGW678" s="37"/>
      <c r="IGX678" s="37"/>
      <c r="IGY678" s="37"/>
      <c r="IGZ678" s="37"/>
      <c r="IHA678" s="37"/>
      <c r="IHB678" s="37"/>
      <c r="IHC678" s="37"/>
      <c r="IHD678" s="37"/>
      <c r="IHE678" s="37"/>
      <c r="IHF678" s="37"/>
      <c r="IHG678" s="37"/>
      <c r="IHH678" s="37"/>
      <c r="IHI678" s="37"/>
      <c r="IHJ678" s="37"/>
      <c r="IHK678" s="37"/>
      <c r="IHL678" s="37"/>
      <c r="IHM678" s="37"/>
      <c r="IHN678" s="37"/>
      <c r="IHO678" s="37"/>
      <c r="IHP678" s="37"/>
      <c r="IHQ678" s="37"/>
      <c r="IHR678" s="37"/>
      <c r="IHS678" s="37"/>
      <c r="IHT678" s="37"/>
      <c r="IHU678" s="37"/>
      <c r="IHV678" s="37"/>
      <c r="IHW678" s="37"/>
      <c r="IHX678" s="37"/>
      <c r="IHY678" s="37"/>
      <c r="IHZ678" s="37"/>
      <c r="IIA678" s="37"/>
      <c r="IIB678" s="37"/>
      <c r="IIC678" s="37"/>
      <c r="IID678" s="37"/>
      <c r="IIE678" s="37"/>
      <c r="IIF678" s="37"/>
      <c r="IIG678" s="37"/>
      <c r="IIH678" s="37"/>
      <c r="III678" s="37"/>
      <c r="IIJ678" s="37"/>
      <c r="IIK678" s="37"/>
      <c r="IIL678" s="37"/>
      <c r="IIM678" s="37"/>
      <c r="IIN678" s="37"/>
      <c r="IIO678" s="37"/>
      <c r="IIP678" s="37"/>
      <c r="IIQ678" s="37"/>
      <c r="IIR678" s="37"/>
      <c r="IIS678" s="37"/>
      <c r="IIT678" s="37"/>
      <c r="IIU678" s="37"/>
      <c r="IIV678" s="37"/>
      <c r="IIW678" s="37"/>
      <c r="IIX678" s="37"/>
      <c r="IIY678" s="37"/>
      <c r="IIZ678" s="37"/>
      <c r="IJA678" s="37"/>
      <c r="IJB678" s="37"/>
      <c r="IJC678" s="37"/>
      <c r="IJD678" s="37"/>
      <c r="IJE678" s="37"/>
      <c r="IJF678" s="37"/>
      <c r="IJG678" s="37"/>
      <c r="IJH678" s="37"/>
      <c r="IJI678" s="37"/>
      <c r="IJJ678" s="37"/>
      <c r="IJK678" s="37"/>
      <c r="IJL678" s="37"/>
      <c r="IJM678" s="37"/>
      <c r="IJN678" s="37"/>
      <c r="IJO678" s="37"/>
      <c r="IJP678" s="37"/>
      <c r="IJQ678" s="37"/>
      <c r="IJR678" s="37"/>
      <c r="IJS678" s="37"/>
      <c r="IJT678" s="37"/>
      <c r="IJU678" s="37"/>
      <c r="IJV678" s="37"/>
      <c r="IJW678" s="37"/>
      <c r="IJX678" s="37"/>
      <c r="IJY678" s="37"/>
      <c r="IJZ678" s="37"/>
      <c r="IKA678" s="37"/>
      <c r="IKB678" s="37"/>
      <c r="IKC678" s="37"/>
      <c r="IKD678" s="37"/>
      <c r="IKE678" s="37"/>
      <c r="IKF678" s="37"/>
      <c r="IKG678" s="37"/>
      <c r="IKH678" s="37"/>
      <c r="IKI678" s="37"/>
      <c r="IKJ678" s="37"/>
      <c r="IKK678" s="37"/>
      <c r="IKL678" s="37"/>
      <c r="IKM678" s="37"/>
      <c r="IKN678" s="37"/>
      <c r="IKO678" s="37"/>
      <c r="IKP678" s="37"/>
      <c r="IKQ678" s="37"/>
      <c r="IKR678" s="37"/>
      <c r="IKS678" s="37"/>
      <c r="IKT678" s="37"/>
      <c r="IKU678" s="37"/>
      <c r="IKV678" s="37"/>
      <c r="IKW678" s="37"/>
      <c r="IKX678" s="37"/>
      <c r="IKY678" s="37"/>
      <c r="IKZ678" s="37"/>
      <c r="ILA678" s="37"/>
      <c r="ILB678" s="37"/>
      <c r="ILC678" s="37"/>
      <c r="ILD678" s="37"/>
      <c r="ILE678" s="37"/>
      <c r="ILF678" s="37"/>
      <c r="ILG678" s="37"/>
      <c r="ILH678" s="37"/>
      <c r="ILI678" s="37"/>
      <c r="ILJ678" s="37"/>
      <c r="ILK678" s="37"/>
      <c r="ILL678" s="37"/>
      <c r="ILM678" s="37"/>
      <c r="ILN678" s="37"/>
      <c r="ILO678" s="37"/>
      <c r="ILP678" s="37"/>
      <c r="ILQ678" s="37"/>
      <c r="ILR678" s="37"/>
      <c r="ILS678" s="37"/>
      <c r="ILT678" s="37"/>
      <c r="ILU678" s="37"/>
      <c r="ILV678" s="37"/>
      <c r="ILW678" s="37"/>
      <c r="ILX678" s="37"/>
      <c r="ILY678" s="37"/>
      <c r="ILZ678" s="37"/>
      <c r="IMA678" s="37"/>
      <c r="IMB678" s="37"/>
      <c r="IMC678" s="37"/>
      <c r="IMD678" s="37"/>
      <c r="IME678" s="37"/>
      <c r="IMF678" s="37"/>
      <c r="IMG678" s="37"/>
      <c r="IMH678" s="37"/>
      <c r="IMI678" s="37"/>
      <c r="IMJ678" s="37"/>
      <c r="IMK678" s="37"/>
      <c r="IML678" s="37"/>
      <c r="IMM678" s="37"/>
      <c r="IMN678" s="37"/>
      <c r="IMO678" s="37"/>
      <c r="IMP678" s="37"/>
      <c r="IMQ678" s="37"/>
      <c r="IMR678" s="37"/>
      <c r="IMS678" s="37"/>
      <c r="IMT678" s="37"/>
      <c r="IMU678" s="37"/>
      <c r="IMV678" s="37"/>
      <c r="IMW678" s="37"/>
      <c r="IMX678" s="37"/>
      <c r="IMY678" s="37"/>
      <c r="IMZ678" s="37"/>
      <c r="INA678" s="37"/>
      <c r="INB678" s="37"/>
      <c r="INC678" s="37"/>
      <c r="IND678" s="37"/>
      <c r="INE678" s="37"/>
      <c r="INF678" s="37"/>
      <c r="ING678" s="37"/>
      <c r="INH678" s="37"/>
      <c r="INI678" s="37"/>
      <c r="INJ678" s="37"/>
      <c r="INK678" s="37"/>
      <c r="INL678" s="37"/>
      <c r="INM678" s="37"/>
      <c r="INN678" s="37"/>
      <c r="INO678" s="37"/>
      <c r="INP678" s="37"/>
      <c r="INQ678" s="37"/>
      <c r="INR678" s="37"/>
      <c r="INS678" s="37"/>
      <c r="INT678" s="37"/>
      <c r="INU678" s="37"/>
      <c r="INV678" s="37"/>
      <c r="INW678" s="37"/>
      <c r="INX678" s="37"/>
      <c r="INY678" s="37"/>
      <c r="INZ678" s="37"/>
      <c r="IOA678" s="37"/>
      <c r="IOB678" s="37"/>
      <c r="IOC678" s="37"/>
      <c r="IOD678" s="37"/>
      <c r="IOE678" s="37"/>
      <c r="IOF678" s="37"/>
      <c r="IOG678" s="37"/>
      <c r="IOH678" s="37"/>
      <c r="IOI678" s="37"/>
      <c r="IOJ678" s="37"/>
      <c r="IOK678" s="37"/>
      <c r="IOL678" s="37"/>
      <c r="IOM678" s="37"/>
      <c r="ION678" s="37"/>
      <c r="IOO678" s="37"/>
      <c r="IOP678" s="37"/>
      <c r="IOQ678" s="37"/>
      <c r="IOR678" s="37"/>
      <c r="IOS678" s="37"/>
      <c r="IOT678" s="37"/>
      <c r="IOU678" s="37"/>
      <c r="IOV678" s="37"/>
      <c r="IOW678" s="37"/>
      <c r="IOX678" s="37"/>
      <c r="IOY678" s="37"/>
      <c r="IOZ678" s="37"/>
      <c r="IPA678" s="37"/>
      <c r="IPB678" s="37"/>
      <c r="IPC678" s="37"/>
      <c r="IPD678" s="37"/>
      <c r="IPE678" s="37"/>
      <c r="IPF678" s="37"/>
      <c r="IPG678" s="37"/>
      <c r="IPH678" s="37"/>
      <c r="IPI678" s="37"/>
      <c r="IPJ678" s="37"/>
      <c r="IPK678" s="37"/>
      <c r="IPL678" s="37"/>
      <c r="IPM678" s="37"/>
      <c r="IPN678" s="37"/>
      <c r="IPO678" s="37"/>
      <c r="IPP678" s="37"/>
      <c r="IPQ678" s="37"/>
      <c r="IPR678" s="37"/>
      <c r="IPS678" s="37"/>
      <c r="IPT678" s="37"/>
      <c r="IPU678" s="37"/>
      <c r="IPV678" s="37"/>
      <c r="IPW678" s="37"/>
      <c r="IPX678" s="37"/>
      <c r="IPY678" s="37"/>
      <c r="IPZ678" s="37"/>
      <c r="IQA678" s="37"/>
      <c r="IQB678" s="37"/>
      <c r="IQC678" s="37"/>
      <c r="IQD678" s="37"/>
      <c r="IQE678" s="37"/>
      <c r="IQF678" s="37"/>
      <c r="IQG678" s="37"/>
      <c r="IQH678" s="37"/>
      <c r="IQI678" s="37"/>
      <c r="IQJ678" s="37"/>
      <c r="IQK678" s="37"/>
      <c r="IQL678" s="37"/>
      <c r="IQM678" s="37"/>
      <c r="IQN678" s="37"/>
      <c r="IQO678" s="37"/>
      <c r="IQP678" s="37"/>
      <c r="IQQ678" s="37"/>
      <c r="IQR678" s="37"/>
      <c r="IQS678" s="37"/>
      <c r="IQT678" s="37"/>
      <c r="IQU678" s="37"/>
      <c r="IQV678" s="37"/>
      <c r="IQW678" s="37"/>
      <c r="IQX678" s="37"/>
      <c r="IQY678" s="37"/>
      <c r="IQZ678" s="37"/>
      <c r="IRA678" s="37"/>
      <c r="IRB678" s="37"/>
      <c r="IRC678" s="37"/>
      <c r="IRD678" s="37"/>
      <c r="IRE678" s="37"/>
      <c r="IRF678" s="37"/>
      <c r="IRG678" s="37"/>
      <c r="IRH678" s="37"/>
      <c r="IRI678" s="37"/>
      <c r="IRJ678" s="37"/>
      <c r="IRK678" s="37"/>
      <c r="IRL678" s="37"/>
      <c r="IRM678" s="37"/>
      <c r="IRN678" s="37"/>
      <c r="IRO678" s="37"/>
      <c r="IRP678" s="37"/>
      <c r="IRQ678" s="37"/>
      <c r="IRR678" s="37"/>
      <c r="IRS678" s="37"/>
      <c r="IRT678" s="37"/>
      <c r="IRU678" s="37"/>
      <c r="IRV678" s="37"/>
      <c r="IRW678" s="37"/>
      <c r="IRX678" s="37"/>
      <c r="IRY678" s="37"/>
      <c r="IRZ678" s="37"/>
      <c r="ISA678" s="37"/>
      <c r="ISB678" s="37"/>
      <c r="ISC678" s="37"/>
      <c r="ISD678" s="37"/>
      <c r="ISE678" s="37"/>
      <c r="ISF678" s="37"/>
      <c r="ISG678" s="37"/>
      <c r="ISH678" s="37"/>
      <c r="ISI678" s="37"/>
      <c r="ISJ678" s="37"/>
      <c r="ISK678" s="37"/>
      <c r="ISL678" s="37"/>
      <c r="ISM678" s="37"/>
      <c r="ISN678" s="37"/>
      <c r="ISO678" s="37"/>
      <c r="ISP678" s="37"/>
      <c r="ISQ678" s="37"/>
      <c r="ISR678" s="37"/>
      <c r="ISS678" s="37"/>
      <c r="IST678" s="37"/>
      <c r="ISU678" s="37"/>
      <c r="ISV678" s="37"/>
      <c r="ISW678" s="37"/>
      <c r="ISX678" s="37"/>
      <c r="ISY678" s="37"/>
      <c r="ISZ678" s="37"/>
      <c r="ITA678" s="37"/>
      <c r="ITB678" s="37"/>
      <c r="ITC678" s="37"/>
      <c r="ITD678" s="37"/>
      <c r="ITE678" s="37"/>
      <c r="ITF678" s="37"/>
      <c r="ITG678" s="37"/>
      <c r="ITH678" s="37"/>
      <c r="ITI678" s="37"/>
      <c r="ITJ678" s="37"/>
      <c r="ITK678" s="37"/>
      <c r="ITL678" s="37"/>
      <c r="ITM678" s="37"/>
      <c r="ITN678" s="37"/>
      <c r="ITO678" s="37"/>
      <c r="ITP678" s="37"/>
      <c r="ITQ678" s="37"/>
      <c r="ITR678" s="37"/>
      <c r="ITS678" s="37"/>
      <c r="ITT678" s="37"/>
      <c r="ITU678" s="37"/>
      <c r="ITV678" s="37"/>
      <c r="ITW678" s="37"/>
      <c r="ITX678" s="37"/>
      <c r="ITY678" s="37"/>
      <c r="ITZ678" s="37"/>
      <c r="IUA678" s="37"/>
      <c r="IUB678" s="37"/>
      <c r="IUC678" s="37"/>
      <c r="IUD678" s="37"/>
      <c r="IUE678" s="37"/>
      <c r="IUF678" s="37"/>
      <c r="IUG678" s="37"/>
      <c r="IUH678" s="37"/>
      <c r="IUI678" s="37"/>
      <c r="IUJ678" s="37"/>
      <c r="IUK678" s="37"/>
      <c r="IUL678" s="37"/>
      <c r="IUM678" s="37"/>
      <c r="IUN678" s="37"/>
      <c r="IUO678" s="37"/>
      <c r="IUP678" s="37"/>
      <c r="IUQ678" s="37"/>
      <c r="IUR678" s="37"/>
      <c r="IUS678" s="37"/>
      <c r="IUT678" s="37"/>
      <c r="IUU678" s="37"/>
      <c r="IUV678" s="37"/>
      <c r="IUW678" s="37"/>
      <c r="IUX678" s="37"/>
      <c r="IUY678" s="37"/>
      <c r="IUZ678" s="37"/>
      <c r="IVA678" s="37"/>
      <c r="IVB678" s="37"/>
      <c r="IVC678" s="37"/>
      <c r="IVD678" s="37"/>
      <c r="IVE678" s="37"/>
      <c r="IVF678" s="37"/>
      <c r="IVG678" s="37"/>
      <c r="IVH678" s="37"/>
      <c r="IVI678" s="37"/>
      <c r="IVJ678" s="37"/>
      <c r="IVK678" s="37"/>
      <c r="IVL678" s="37"/>
      <c r="IVM678" s="37"/>
      <c r="IVN678" s="37"/>
      <c r="IVO678" s="37"/>
      <c r="IVP678" s="37"/>
      <c r="IVQ678" s="37"/>
      <c r="IVR678" s="37"/>
      <c r="IVS678" s="37"/>
      <c r="IVT678" s="37"/>
      <c r="IVU678" s="37"/>
      <c r="IVV678" s="37"/>
      <c r="IVW678" s="37"/>
      <c r="IVX678" s="37"/>
      <c r="IVY678" s="37"/>
      <c r="IVZ678" s="37"/>
      <c r="IWA678" s="37"/>
      <c r="IWB678" s="37"/>
      <c r="IWC678" s="37"/>
      <c r="IWD678" s="37"/>
      <c r="IWE678" s="37"/>
      <c r="IWF678" s="37"/>
      <c r="IWG678" s="37"/>
      <c r="IWH678" s="37"/>
      <c r="IWI678" s="37"/>
      <c r="IWJ678" s="37"/>
      <c r="IWK678" s="37"/>
      <c r="IWL678" s="37"/>
      <c r="IWM678" s="37"/>
      <c r="IWN678" s="37"/>
      <c r="IWO678" s="37"/>
      <c r="IWP678" s="37"/>
      <c r="IWQ678" s="37"/>
      <c r="IWR678" s="37"/>
      <c r="IWS678" s="37"/>
      <c r="IWT678" s="37"/>
      <c r="IWU678" s="37"/>
      <c r="IWV678" s="37"/>
      <c r="IWW678" s="37"/>
      <c r="IWX678" s="37"/>
      <c r="IWY678" s="37"/>
      <c r="IWZ678" s="37"/>
      <c r="IXA678" s="37"/>
      <c r="IXB678" s="37"/>
      <c r="IXC678" s="37"/>
      <c r="IXD678" s="37"/>
      <c r="IXE678" s="37"/>
      <c r="IXF678" s="37"/>
      <c r="IXG678" s="37"/>
      <c r="IXH678" s="37"/>
      <c r="IXI678" s="37"/>
      <c r="IXJ678" s="37"/>
      <c r="IXK678" s="37"/>
      <c r="IXL678" s="37"/>
      <c r="IXM678" s="37"/>
      <c r="IXN678" s="37"/>
      <c r="IXO678" s="37"/>
      <c r="IXP678" s="37"/>
      <c r="IXQ678" s="37"/>
      <c r="IXR678" s="37"/>
      <c r="IXS678" s="37"/>
      <c r="IXT678" s="37"/>
      <c r="IXU678" s="37"/>
      <c r="IXV678" s="37"/>
      <c r="IXW678" s="37"/>
      <c r="IXX678" s="37"/>
      <c r="IXY678" s="37"/>
      <c r="IXZ678" s="37"/>
      <c r="IYA678" s="37"/>
      <c r="IYB678" s="37"/>
      <c r="IYC678" s="37"/>
      <c r="IYD678" s="37"/>
      <c r="IYE678" s="37"/>
      <c r="IYF678" s="37"/>
      <c r="IYG678" s="37"/>
      <c r="IYH678" s="37"/>
      <c r="IYI678" s="37"/>
      <c r="IYJ678" s="37"/>
      <c r="IYK678" s="37"/>
      <c r="IYL678" s="37"/>
      <c r="IYM678" s="37"/>
      <c r="IYN678" s="37"/>
      <c r="IYO678" s="37"/>
      <c r="IYP678" s="37"/>
      <c r="IYQ678" s="37"/>
      <c r="IYR678" s="37"/>
      <c r="IYS678" s="37"/>
      <c r="IYT678" s="37"/>
      <c r="IYU678" s="37"/>
      <c r="IYV678" s="37"/>
      <c r="IYW678" s="37"/>
      <c r="IYX678" s="37"/>
      <c r="IYY678" s="37"/>
      <c r="IYZ678" s="37"/>
      <c r="IZA678" s="37"/>
      <c r="IZB678" s="37"/>
      <c r="IZC678" s="37"/>
      <c r="IZD678" s="37"/>
      <c r="IZE678" s="37"/>
      <c r="IZF678" s="37"/>
      <c r="IZG678" s="37"/>
      <c r="IZH678" s="37"/>
      <c r="IZI678" s="37"/>
      <c r="IZJ678" s="37"/>
      <c r="IZK678" s="37"/>
      <c r="IZL678" s="37"/>
      <c r="IZM678" s="37"/>
      <c r="IZN678" s="37"/>
      <c r="IZO678" s="37"/>
      <c r="IZP678" s="37"/>
      <c r="IZQ678" s="37"/>
      <c r="IZR678" s="37"/>
      <c r="IZS678" s="37"/>
      <c r="IZT678" s="37"/>
      <c r="IZU678" s="37"/>
      <c r="IZV678" s="37"/>
      <c r="IZW678" s="37"/>
      <c r="IZX678" s="37"/>
      <c r="IZY678" s="37"/>
      <c r="IZZ678" s="37"/>
      <c r="JAA678" s="37"/>
      <c r="JAB678" s="37"/>
      <c r="JAC678" s="37"/>
      <c r="JAD678" s="37"/>
      <c r="JAE678" s="37"/>
      <c r="JAF678" s="37"/>
      <c r="JAG678" s="37"/>
      <c r="JAH678" s="37"/>
      <c r="JAI678" s="37"/>
      <c r="JAJ678" s="37"/>
      <c r="JAK678" s="37"/>
      <c r="JAL678" s="37"/>
      <c r="JAM678" s="37"/>
      <c r="JAN678" s="37"/>
      <c r="JAO678" s="37"/>
      <c r="JAP678" s="37"/>
      <c r="JAQ678" s="37"/>
      <c r="JAR678" s="37"/>
      <c r="JAS678" s="37"/>
      <c r="JAT678" s="37"/>
      <c r="JAU678" s="37"/>
      <c r="JAV678" s="37"/>
      <c r="JAW678" s="37"/>
      <c r="JAX678" s="37"/>
      <c r="JAY678" s="37"/>
      <c r="JAZ678" s="37"/>
      <c r="JBA678" s="37"/>
      <c r="JBB678" s="37"/>
      <c r="JBC678" s="37"/>
      <c r="JBD678" s="37"/>
      <c r="JBE678" s="37"/>
      <c r="JBF678" s="37"/>
      <c r="JBG678" s="37"/>
      <c r="JBH678" s="37"/>
      <c r="JBI678" s="37"/>
      <c r="JBJ678" s="37"/>
      <c r="JBK678" s="37"/>
      <c r="JBL678" s="37"/>
      <c r="JBM678" s="37"/>
      <c r="JBN678" s="37"/>
      <c r="JBO678" s="37"/>
      <c r="JBP678" s="37"/>
      <c r="JBQ678" s="37"/>
      <c r="JBR678" s="37"/>
      <c r="JBS678" s="37"/>
      <c r="JBT678" s="37"/>
      <c r="JBU678" s="37"/>
      <c r="JBV678" s="37"/>
      <c r="JBW678" s="37"/>
      <c r="JBX678" s="37"/>
      <c r="JBY678" s="37"/>
      <c r="JBZ678" s="37"/>
      <c r="JCA678" s="37"/>
      <c r="JCB678" s="37"/>
      <c r="JCC678" s="37"/>
      <c r="JCD678" s="37"/>
      <c r="JCE678" s="37"/>
      <c r="JCF678" s="37"/>
      <c r="JCG678" s="37"/>
      <c r="JCH678" s="37"/>
      <c r="JCI678" s="37"/>
      <c r="JCJ678" s="37"/>
      <c r="JCK678" s="37"/>
      <c r="JCL678" s="37"/>
      <c r="JCM678" s="37"/>
      <c r="JCN678" s="37"/>
      <c r="JCO678" s="37"/>
      <c r="JCP678" s="37"/>
      <c r="JCQ678" s="37"/>
      <c r="JCR678" s="37"/>
      <c r="JCS678" s="37"/>
      <c r="JCT678" s="37"/>
      <c r="JCU678" s="37"/>
      <c r="JCV678" s="37"/>
      <c r="JCW678" s="37"/>
      <c r="JCX678" s="37"/>
      <c r="JCY678" s="37"/>
      <c r="JCZ678" s="37"/>
      <c r="JDA678" s="37"/>
      <c r="JDB678" s="37"/>
      <c r="JDC678" s="37"/>
      <c r="JDD678" s="37"/>
      <c r="JDE678" s="37"/>
      <c r="JDF678" s="37"/>
      <c r="JDG678" s="37"/>
      <c r="JDH678" s="37"/>
      <c r="JDI678" s="37"/>
      <c r="JDJ678" s="37"/>
      <c r="JDK678" s="37"/>
      <c r="JDL678" s="37"/>
      <c r="JDM678" s="37"/>
      <c r="JDN678" s="37"/>
      <c r="JDO678" s="37"/>
      <c r="JDP678" s="37"/>
      <c r="JDQ678" s="37"/>
      <c r="JDR678" s="37"/>
      <c r="JDS678" s="37"/>
      <c r="JDT678" s="37"/>
      <c r="JDU678" s="37"/>
      <c r="JDV678" s="37"/>
      <c r="JDW678" s="37"/>
      <c r="JDX678" s="37"/>
      <c r="JDY678" s="37"/>
      <c r="JDZ678" s="37"/>
      <c r="JEA678" s="37"/>
      <c r="JEB678" s="37"/>
      <c r="JEC678" s="37"/>
      <c r="JED678" s="37"/>
      <c r="JEE678" s="37"/>
      <c r="JEF678" s="37"/>
      <c r="JEG678" s="37"/>
      <c r="JEH678" s="37"/>
      <c r="JEI678" s="37"/>
      <c r="JEJ678" s="37"/>
      <c r="JEK678" s="37"/>
      <c r="JEL678" s="37"/>
      <c r="JEM678" s="37"/>
      <c r="JEN678" s="37"/>
      <c r="JEO678" s="37"/>
      <c r="JEP678" s="37"/>
      <c r="JEQ678" s="37"/>
      <c r="JER678" s="37"/>
      <c r="JES678" s="37"/>
      <c r="JET678" s="37"/>
      <c r="JEU678" s="37"/>
      <c r="JEV678" s="37"/>
      <c r="JEW678" s="37"/>
      <c r="JEX678" s="37"/>
      <c r="JEY678" s="37"/>
      <c r="JEZ678" s="37"/>
      <c r="JFA678" s="37"/>
      <c r="JFB678" s="37"/>
      <c r="JFC678" s="37"/>
      <c r="JFD678" s="37"/>
      <c r="JFE678" s="37"/>
      <c r="JFF678" s="37"/>
      <c r="JFG678" s="37"/>
      <c r="JFH678" s="37"/>
      <c r="JFI678" s="37"/>
      <c r="JFJ678" s="37"/>
      <c r="JFK678" s="37"/>
      <c r="JFL678" s="37"/>
      <c r="JFM678" s="37"/>
      <c r="JFN678" s="37"/>
      <c r="JFO678" s="37"/>
      <c r="JFP678" s="37"/>
      <c r="JFQ678" s="37"/>
      <c r="JFR678" s="37"/>
      <c r="JFS678" s="37"/>
      <c r="JFT678" s="37"/>
      <c r="JFU678" s="37"/>
      <c r="JFV678" s="37"/>
      <c r="JFW678" s="37"/>
      <c r="JFX678" s="37"/>
      <c r="JFY678" s="37"/>
      <c r="JFZ678" s="37"/>
      <c r="JGA678" s="37"/>
      <c r="JGB678" s="37"/>
      <c r="JGC678" s="37"/>
      <c r="JGD678" s="37"/>
      <c r="JGE678" s="37"/>
      <c r="JGF678" s="37"/>
      <c r="JGG678" s="37"/>
      <c r="JGH678" s="37"/>
      <c r="JGI678" s="37"/>
      <c r="JGJ678" s="37"/>
      <c r="JGK678" s="37"/>
      <c r="JGL678" s="37"/>
      <c r="JGM678" s="37"/>
      <c r="JGN678" s="37"/>
      <c r="JGO678" s="37"/>
      <c r="JGP678" s="37"/>
      <c r="JGQ678" s="37"/>
      <c r="JGR678" s="37"/>
      <c r="JGS678" s="37"/>
      <c r="JGT678" s="37"/>
      <c r="JGU678" s="37"/>
      <c r="JGV678" s="37"/>
      <c r="JGW678" s="37"/>
      <c r="JGX678" s="37"/>
      <c r="JGY678" s="37"/>
      <c r="JGZ678" s="37"/>
      <c r="JHA678" s="37"/>
      <c r="JHB678" s="37"/>
      <c r="JHC678" s="37"/>
      <c r="JHD678" s="37"/>
      <c r="JHE678" s="37"/>
      <c r="JHF678" s="37"/>
      <c r="JHG678" s="37"/>
      <c r="JHH678" s="37"/>
      <c r="JHI678" s="37"/>
      <c r="JHJ678" s="37"/>
      <c r="JHK678" s="37"/>
      <c r="JHL678" s="37"/>
      <c r="JHM678" s="37"/>
      <c r="JHN678" s="37"/>
      <c r="JHO678" s="37"/>
      <c r="JHP678" s="37"/>
      <c r="JHQ678" s="37"/>
      <c r="JHR678" s="37"/>
      <c r="JHS678" s="37"/>
      <c r="JHT678" s="37"/>
      <c r="JHU678" s="37"/>
      <c r="JHV678" s="37"/>
      <c r="JHW678" s="37"/>
      <c r="JHX678" s="37"/>
      <c r="JHY678" s="37"/>
      <c r="JHZ678" s="37"/>
      <c r="JIA678" s="37"/>
      <c r="JIB678" s="37"/>
      <c r="JIC678" s="37"/>
      <c r="JID678" s="37"/>
      <c r="JIE678" s="37"/>
      <c r="JIF678" s="37"/>
      <c r="JIG678" s="37"/>
      <c r="JIH678" s="37"/>
      <c r="JII678" s="37"/>
      <c r="JIJ678" s="37"/>
      <c r="JIK678" s="37"/>
      <c r="JIL678" s="37"/>
      <c r="JIM678" s="37"/>
      <c r="JIN678" s="37"/>
      <c r="JIO678" s="37"/>
      <c r="JIP678" s="37"/>
      <c r="JIQ678" s="37"/>
      <c r="JIR678" s="37"/>
      <c r="JIS678" s="37"/>
      <c r="JIT678" s="37"/>
      <c r="JIU678" s="37"/>
      <c r="JIV678" s="37"/>
      <c r="JIW678" s="37"/>
      <c r="JIX678" s="37"/>
      <c r="JIY678" s="37"/>
      <c r="JIZ678" s="37"/>
      <c r="JJA678" s="37"/>
      <c r="JJB678" s="37"/>
      <c r="JJC678" s="37"/>
      <c r="JJD678" s="37"/>
      <c r="JJE678" s="37"/>
      <c r="JJF678" s="37"/>
      <c r="JJG678" s="37"/>
      <c r="JJH678" s="37"/>
      <c r="JJI678" s="37"/>
      <c r="JJJ678" s="37"/>
      <c r="JJK678" s="37"/>
      <c r="JJL678" s="37"/>
      <c r="JJM678" s="37"/>
      <c r="JJN678" s="37"/>
      <c r="JJO678" s="37"/>
      <c r="JJP678" s="37"/>
      <c r="JJQ678" s="37"/>
      <c r="JJR678" s="37"/>
      <c r="JJS678" s="37"/>
      <c r="JJT678" s="37"/>
      <c r="JJU678" s="37"/>
      <c r="JJV678" s="37"/>
      <c r="JJW678" s="37"/>
      <c r="JJX678" s="37"/>
      <c r="JJY678" s="37"/>
      <c r="JJZ678" s="37"/>
      <c r="JKA678" s="37"/>
      <c r="JKB678" s="37"/>
      <c r="JKC678" s="37"/>
      <c r="JKD678" s="37"/>
      <c r="JKE678" s="37"/>
      <c r="JKF678" s="37"/>
      <c r="JKG678" s="37"/>
      <c r="JKH678" s="37"/>
      <c r="JKI678" s="37"/>
      <c r="JKJ678" s="37"/>
      <c r="JKK678" s="37"/>
      <c r="JKL678" s="37"/>
      <c r="JKM678" s="37"/>
      <c r="JKN678" s="37"/>
      <c r="JKO678" s="37"/>
      <c r="JKP678" s="37"/>
      <c r="JKQ678" s="37"/>
      <c r="JKR678" s="37"/>
      <c r="JKS678" s="37"/>
      <c r="JKT678" s="37"/>
      <c r="JKU678" s="37"/>
      <c r="JKV678" s="37"/>
      <c r="JKW678" s="37"/>
      <c r="JKX678" s="37"/>
      <c r="JKY678" s="37"/>
      <c r="JKZ678" s="37"/>
      <c r="JLA678" s="37"/>
      <c r="JLB678" s="37"/>
      <c r="JLC678" s="37"/>
      <c r="JLD678" s="37"/>
      <c r="JLE678" s="37"/>
      <c r="JLF678" s="37"/>
      <c r="JLG678" s="37"/>
      <c r="JLH678" s="37"/>
      <c r="JLI678" s="37"/>
      <c r="JLJ678" s="37"/>
      <c r="JLK678" s="37"/>
      <c r="JLL678" s="37"/>
      <c r="JLM678" s="37"/>
      <c r="JLN678" s="37"/>
      <c r="JLO678" s="37"/>
      <c r="JLP678" s="37"/>
      <c r="JLQ678" s="37"/>
      <c r="JLR678" s="37"/>
      <c r="JLS678" s="37"/>
      <c r="JLT678" s="37"/>
      <c r="JLU678" s="37"/>
      <c r="JLV678" s="37"/>
      <c r="JLW678" s="37"/>
      <c r="JLX678" s="37"/>
      <c r="JLY678" s="37"/>
      <c r="JLZ678" s="37"/>
      <c r="JMA678" s="37"/>
      <c r="JMB678" s="37"/>
      <c r="JMC678" s="37"/>
      <c r="JMD678" s="37"/>
      <c r="JME678" s="37"/>
      <c r="JMF678" s="37"/>
      <c r="JMG678" s="37"/>
      <c r="JMH678" s="37"/>
      <c r="JMI678" s="37"/>
      <c r="JMJ678" s="37"/>
      <c r="JMK678" s="37"/>
      <c r="JML678" s="37"/>
      <c r="JMM678" s="37"/>
      <c r="JMN678" s="37"/>
      <c r="JMO678" s="37"/>
      <c r="JMP678" s="37"/>
      <c r="JMQ678" s="37"/>
      <c r="JMR678" s="37"/>
      <c r="JMS678" s="37"/>
      <c r="JMT678" s="37"/>
      <c r="JMU678" s="37"/>
      <c r="JMV678" s="37"/>
      <c r="JMW678" s="37"/>
      <c r="JMX678" s="37"/>
      <c r="JMY678" s="37"/>
      <c r="JMZ678" s="37"/>
      <c r="JNA678" s="37"/>
      <c r="JNB678" s="37"/>
      <c r="JNC678" s="37"/>
      <c r="JND678" s="37"/>
      <c r="JNE678" s="37"/>
      <c r="JNF678" s="37"/>
      <c r="JNG678" s="37"/>
      <c r="JNH678" s="37"/>
      <c r="JNI678" s="37"/>
      <c r="JNJ678" s="37"/>
      <c r="JNK678" s="37"/>
      <c r="JNL678" s="37"/>
      <c r="JNM678" s="37"/>
      <c r="JNN678" s="37"/>
      <c r="JNO678" s="37"/>
      <c r="JNP678" s="37"/>
      <c r="JNQ678" s="37"/>
      <c r="JNR678" s="37"/>
      <c r="JNS678" s="37"/>
      <c r="JNT678" s="37"/>
      <c r="JNU678" s="37"/>
      <c r="JNV678" s="37"/>
      <c r="JNW678" s="37"/>
      <c r="JNX678" s="37"/>
      <c r="JNY678" s="37"/>
      <c r="JNZ678" s="37"/>
      <c r="JOA678" s="37"/>
      <c r="JOB678" s="37"/>
      <c r="JOC678" s="37"/>
      <c r="JOD678" s="37"/>
      <c r="JOE678" s="37"/>
      <c r="JOF678" s="37"/>
      <c r="JOG678" s="37"/>
      <c r="JOH678" s="37"/>
      <c r="JOI678" s="37"/>
      <c r="JOJ678" s="37"/>
      <c r="JOK678" s="37"/>
      <c r="JOL678" s="37"/>
      <c r="JOM678" s="37"/>
      <c r="JON678" s="37"/>
      <c r="JOO678" s="37"/>
      <c r="JOP678" s="37"/>
      <c r="JOQ678" s="37"/>
      <c r="JOR678" s="37"/>
      <c r="JOS678" s="37"/>
      <c r="JOT678" s="37"/>
      <c r="JOU678" s="37"/>
      <c r="JOV678" s="37"/>
      <c r="JOW678" s="37"/>
      <c r="JOX678" s="37"/>
      <c r="JOY678" s="37"/>
      <c r="JOZ678" s="37"/>
      <c r="JPA678" s="37"/>
      <c r="JPB678" s="37"/>
      <c r="JPC678" s="37"/>
      <c r="JPD678" s="37"/>
      <c r="JPE678" s="37"/>
      <c r="JPF678" s="37"/>
      <c r="JPG678" s="37"/>
      <c r="JPH678" s="37"/>
      <c r="JPI678" s="37"/>
      <c r="JPJ678" s="37"/>
      <c r="JPK678" s="37"/>
      <c r="JPL678" s="37"/>
      <c r="JPM678" s="37"/>
      <c r="JPN678" s="37"/>
      <c r="JPO678" s="37"/>
      <c r="JPP678" s="37"/>
      <c r="JPQ678" s="37"/>
      <c r="JPR678" s="37"/>
      <c r="JPS678" s="37"/>
      <c r="JPT678" s="37"/>
      <c r="JPU678" s="37"/>
      <c r="JPV678" s="37"/>
      <c r="JPW678" s="37"/>
      <c r="JPX678" s="37"/>
      <c r="JPY678" s="37"/>
      <c r="JPZ678" s="37"/>
      <c r="JQA678" s="37"/>
      <c r="JQB678" s="37"/>
      <c r="JQC678" s="37"/>
      <c r="JQD678" s="37"/>
      <c r="JQE678" s="37"/>
      <c r="JQF678" s="37"/>
      <c r="JQG678" s="37"/>
      <c r="JQH678" s="37"/>
      <c r="JQI678" s="37"/>
      <c r="JQJ678" s="37"/>
      <c r="JQK678" s="37"/>
      <c r="JQL678" s="37"/>
      <c r="JQM678" s="37"/>
      <c r="JQN678" s="37"/>
      <c r="JQO678" s="37"/>
      <c r="JQP678" s="37"/>
      <c r="JQQ678" s="37"/>
      <c r="JQR678" s="37"/>
      <c r="JQS678" s="37"/>
      <c r="JQT678" s="37"/>
      <c r="JQU678" s="37"/>
      <c r="JQV678" s="37"/>
      <c r="JQW678" s="37"/>
      <c r="JQX678" s="37"/>
      <c r="JQY678" s="37"/>
      <c r="JQZ678" s="37"/>
      <c r="JRA678" s="37"/>
      <c r="JRB678" s="37"/>
      <c r="JRC678" s="37"/>
      <c r="JRD678" s="37"/>
      <c r="JRE678" s="37"/>
      <c r="JRF678" s="37"/>
      <c r="JRG678" s="37"/>
      <c r="JRH678" s="37"/>
      <c r="JRI678" s="37"/>
      <c r="JRJ678" s="37"/>
      <c r="JRK678" s="37"/>
      <c r="JRL678" s="37"/>
      <c r="JRM678" s="37"/>
      <c r="JRN678" s="37"/>
      <c r="JRO678" s="37"/>
      <c r="JRP678" s="37"/>
      <c r="JRQ678" s="37"/>
      <c r="JRR678" s="37"/>
      <c r="JRS678" s="37"/>
      <c r="JRT678" s="37"/>
      <c r="JRU678" s="37"/>
      <c r="JRV678" s="37"/>
      <c r="JRW678" s="37"/>
      <c r="JRX678" s="37"/>
      <c r="JRY678" s="37"/>
      <c r="JRZ678" s="37"/>
      <c r="JSA678" s="37"/>
      <c r="JSB678" s="37"/>
      <c r="JSC678" s="37"/>
      <c r="JSD678" s="37"/>
      <c r="JSE678" s="37"/>
      <c r="JSF678" s="37"/>
      <c r="JSG678" s="37"/>
      <c r="JSH678" s="37"/>
      <c r="JSI678" s="37"/>
      <c r="JSJ678" s="37"/>
      <c r="JSK678" s="37"/>
      <c r="JSL678" s="37"/>
      <c r="JSM678" s="37"/>
      <c r="JSN678" s="37"/>
      <c r="JSO678" s="37"/>
      <c r="JSP678" s="37"/>
      <c r="JSQ678" s="37"/>
      <c r="JSR678" s="37"/>
      <c r="JSS678" s="37"/>
      <c r="JST678" s="37"/>
      <c r="JSU678" s="37"/>
      <c r="JSV678" s="37"/>
      <c r="JSW678" s="37"/>
      <c r="JSX678" s="37"/>
      <c r="JSY678" s="37"/>
      <c r="JSZ678" s="37"/>
      <c r="JTA678" s="37"/>
      <c r="JTB678" s="37"/>
      <c r="JTC678" s="37"/>
      <c r="JTD678" s="37"/>
      <c r="JTE678" s="37"/>
      <c r="JTF678" s="37"/>
      <c r="JTG678" s="37"/>
      <c r="JTH678" s="37"/>
      <c r="JTI678" s="37"/>
      <c r="JTJ678" s="37"/>
      <c r="JTK678" s="37"/>
      <c r="JTL678" s="37"/>
      <c r="JTM678" s="37"/>
      <c r="JTN678" s="37"/>
      <c r="JTO678" s="37"/>
      <c r="JTP678" s="37"/>
      <c r="JTQ678" s="37"/>
      <c r="JTR678" s="37"/>
      <c r="JTS678" s="37"/>
      <c r="JTT678" s="37"/>
      <c r="JTU678" s="37"/>
      <c r="JTV678" s="37"/>
      <c r="JTW678" s="37"/>
      <c r="JTX678" s="37"/>
      <c r="JTY678" s="37"/>
      <c r="JTZ678" s="37"/>
      <c r="JUA678" s="37"/>
      <c r="JUB678" s="37"/>
      <c r="JUC678" s="37"/>
      <c r="JUD678" s="37"/>
      <c r="JUE678" s="37"/>
      <c r="JUF678" s="37"/>
      <c r="JUG678" s="37"/>
      <c r="JUH678" s="37"/>
      <c r="JUI678" s="37"/>
      <c r="JUJ678" s="37"/>
      <c r="JUK678" s="37"/>
      <c r="JUL678" s="37"/>
      <c r="JUM678" s="37"/>
      <c r="JUN678" s="37"/>
      <c r="JUO678" s="37"/>
      <c r="JUP678" s="37"/>
      <c r="JUQ678" s="37"/>
      <c r="JUR678" s="37"/>
      <c r="JUS678" s="37"/>
      <c r="JUT678" s="37"/>
      <c r="JUU678" s="37"/>
      <c r="JUV678" s="37"/>
      <c r="JUW678" s="37"/>
      <c r="JUX678" s="37"/>
      <c r="JUY678" s="37"/>
      <c r="JUZ678" s="37"/>
      <c r="JVA678" s="37"/>
      <c r="JVB678" s="37"/>
      <c r="JVC678" s="37"/>
      <c r="JVD678" s="37"/>
      <c r="JVE678" s="37"/>
      <c r="JVF678" s="37"/>
      <c r="JVG678" s="37"/>
      <c r="JVH678" s="37"/>
      <c r="JVI678" s="37"/>
      <c r="JVJ678" s="37"/>
      <c r="JVK678" s="37"/>
      <c r="JVL678" s="37"/>
      <c r="JVM678" s="37"/>
      <c r="JVN678" s="37"/>
      <c r="JVO678" s="37"/>
      <c r="JVP678" s="37"/>
      <c r="JVQ678" s="37"/>
      <c r="JVR678" s="37"/>
      <c r="JVS678" s="37"/>
      <c r="JVT678" s="37"/>
      <c r="JVU678" s="37"/>
      <c r="JVV678" s="37"/>
      <c r="JVW678" s="37"/>
      <c r="JVX678" s="37"/>
      <c r="JVY678" s="37"/>
      <c r="JVZ678" s="37"/>
      <c r="JWA678" s="37"/>
      <c r="JWB678" s="37"/>
      <c r="JWC678" s="37"/>
      <c r="JWD678" s="37"/>
      <c r="JWE678" s="37"/>
      <c r="JWF678" s="37"/>
      <c r="JWG678" s="37"/>
      <c r="JWH678" s="37"/>
      <c r="JWI678" s="37"/>
      <c r="JWJ678" s="37"/>
      <c r="JWK678" s="37"/>
      <c r="JWL678" s="37"/>
      <c r="JWM678" s="37"/>
      <c r="JWN678" s="37"/>
      <c r="JWO678" s="37"/>
      <c r="JWP678" s="37"/>
      <c r="JWQ678" s="37"/>
      <c r="JWR678" s="37"/>
      <c r="JWS678" s="37"/>
      <c r="JWT678" s="37"/>
      <c r="JWU678" s="37"/>
      <c r="JWV678" s="37"/>
      <c r="JWW678" s="37"/>
      <c r="JWX678" s="37"/>
      <c r="JWY678" s="37"/>
      <c r="JWZ678" s="37"/>
      <c r="JXA678" s="37"/>
      <c r="JXB678" s="37"/>
      <c r="JXC678" s="37"/>
      <c r="JXD678" s="37"/>
      <c r="JXE678" s="37"/>
      <c r="JXF678" s="37"/>
      <c r="JXG678" s="37"/>
      <c r="JXH678" s="37"/>
      <c r="JXI678" s="37"/>
      <c r="JXJ678" s="37"/>
      <c r="JXK678" s="37"/>
      <c r="JXL678" s="37"/>
      <c r="JXM678" s="37"/>
      <c r="JXN678" s="37"/>
      <c r="JXO678" s="37"/>
      <c r="JXP678" s="37"/>
      <c r="JXQ678" s="37"/>
      <c r="JXR678" s="37"/>
      <c r="JXS678" s="37"/>
      <c r="JXT678" s="37"/>
      <c r="JXU678" s="37"/>
      <c r="JXV678" s="37"/>
      <c r="JXW678" s="37"/>
      <c r="JXX678" s="37"/>
      <c r="JXY678" s="37"/>
      <c r="JXZ678" s="37"/>
      <c r="JYA678" s="37"/>
      <c r="JYB678" s="37"/>
      <c r="JYC678" s="37"/>
      <c r="JYD678" s="37"/>
      <c r="JYE678" s="37"/>
      <c r="JYF678" s="37"/>
      <c r="JYG678" s="37"/>
      <c r="JYH678" s="37"/>
      <c r="JYI678" s="37"/>
      <c r="JYJ678" s="37"/>
      <c r="JYK678" s="37"/>
      <c r="JYL678" s="37"/>
      <c r="JYM678" s="37"/>
      <c r="JYN678" s="37"/>
      <c r="JYO678" s="37"/>
      <c r="JYP678" s="37"/>
      <c r="JYQ678" s="37"/>
      <c r="JYR678" s="37"/>
      <c r="JYS678" s="37"/>
      <c r="JYT678" s="37"/>
      <c r="JYU678" s="37"/>
      <c r="JYV678" s="37"/>
      <c r="JYW678" s="37"/>
      <c r="JYX678" s="37"/>
      <c r="JYY678" s="37"/>
      <c r="JYZ678" s="37"/>
      <c r="JZA678" s="37"/>
      <c r="JZB678" s="37"/>
      <c r="JZC678" s="37"/>
      <c r="JZD678" s="37"/>
      <c r="JZE678" s="37"/>
      <c r="JZF678" s="37"/>
      <c r="JZG678" s="37"/>
      <c r="JZH678" s="37"/>
      <c r="JZI678" s="37"/>
      <c r="JZJ678" s="37"/>
      <c r="JZK678" s="37"/>
      <c r="JZL678" s="37"/>
      <c r="JZM678" s="37"/>
      <c r="JZN678" s="37"/>
      <c r="JZO678" s="37"/>
      <c r="JZP678" s="37"/>
      <c r="JZQ678" s="37"/>
      <c r="JZR678" s="37"/>
      <c r="JZS678" s="37"/>
      <c r="JZT678" s="37"/>
      <c r="JZU678" s="37"/>
      <c r="JZV678" s="37"/>
      <c r="JZW678" s="37"/>
      <c r="JZX678" s="37"/>
      <c r="JZY678" s="37"/>
      <c r="JZZ678" s="37"/>
      <c r="KAA678" s="37"/>
      <c r="KAB678" s="37"/>
      <c r="KAC678" s="37"/>
      <c r="KAD678" s="37"/>
      <c r="KAE678" s="37"/>
      <c r="KAF678" s="37"/>
      <c r="KAG678" s="37"/>
      <c r="KAH678" s="37"/>
      <c r="KAI678" s="37"/>
      <c r="KAJ678" s="37"/>
      <c r="KAK678" s="37"/>
      <c r="KAL678" s="37"/>
      <c r="KAM678" s="37"/>
      <c r="KAN678" s="37"/>
      <c r="KAO678" s="37"/>
      <c r="KAP678" s="37"/>
      <c r="KAQ678" s="37"/>
      <c r="KAR678" s="37"/>
      <c r="KAS678" s="37"/>
      <c r="KAT678" s="37"/>
      <c r="KAU678" s="37"/>
      <c r="KAV678" s="37"/>
      <c r="KAW678" s="37"/>
      <c r="KAX678" s="37"/>
      <c r="KAY678" s="37"/>
      <c r="KAZ678" s="37"/>
      <c r="KBA678" s="37"/>
      <c r="KBB678" s="37"/>
      <c r="KBC678" s="37"/>
      <c r="KBD678" s="37"/>
      <c r="KBE678" s="37"/>
      <c r="KBF678" s="37"/>
      <c r="KBG678" s="37"/>
      <c r="KBH678" s="37"/>
      <c r="KBI678" s="37"/>
      <c r="KBJ678" s="37"/>
      <c r="KBK678" s="37"/>
      <c r="KBL678" s="37"/>
      <c r="KBM678" s="37"/>
      <c r="KBN678" s="37"/>
      <c r="KBO678" s="37"/>
      <c r="KBP678" s="37"/>
      <c r="KBQ678" s="37"/>
      <c r="KBR678" s="37"/>
      <c r="KBS678" s="37"/>
      <c r="KBT678" s="37"/>
      <c r="KBU678" s="37"/>
      <c r="KBV678" s="37"/>
      <c r="KBW678" s="37"/>
      <c r="KBX678" s="37"/>
      <c r="KBY678" s="37"/>
      <c r="KBZ678" s="37"/>
      <c r="KCA678" s="37"/>
      <c r="KCB678" s="37"/>
      <c r="KCC678" s="37"/>
      <c r="KCD678" s="37"/>
      <c r="KCE678" s="37"/>
      <c r="KCF678" s="37"/>
      <c r="KCG678" s="37"/>
      <c r="KCH678" s="37"/>
      <c r="KCI678" s="37"/>
      <c r="KCJ678" s="37"/>
      <c r="KCK678" s="37"/>
      <c r="KCL678" s="37"/>
      <c r="KCM678" s="37"/>
      <c r="KCN678" s="37"/>
      <c r="KCO678" s="37"/>
      <c r="KCP678" s="37"/>
      <c r="KCQ678" s="37"/>
      <c r="KCR678" s="37"/>
      <c r="KCS678" s="37"/>
      <c r="KCT678" s="37"/>
      <c r="KCU678" s="37"/>
      <c r="KCV678" s="37"/>
      <c r="KCW678" s="37"/>
      <c r="KCX678" s="37"/>
      <c r="KCY678" s="37"/>
      <c r="KCZ678" s="37"/>
      <c r="KDA678" s="37"/>
      <c r="KDB678" s="37"/>
      <c r="KDC678" s="37"/>
      <c r="KDD678" s="37"/>
      <c r="KDE678" s="37"/>
      <c r="KDF678" s="37"/>
      <c r="KDG678" s="37"/>
      <c r="KDH678" s="37"/>
      <c r="KDI678" s="37"/>
      <c r="KDJ678" s="37"/>
      <c r="KDK678" s="37"/>
      <c r="KDL678" s="37"/>
      <c r="KDM678" s="37"/>
      <c r="KDN678" s="37"/>
      <c r="KDO678" s="37"/>
      <c r="KDP678" s="37"/>
      <c r="KDQ678" s="37"/>
      <c r="KDR678" s="37"/>
      <c r="KDS678" s="37"/>
      <c r="KDT678" s="37"/>
      <c r="KDU678" s="37"/>
      <c r="KDV678" s="37"/>
      <c r="KDW678" s="37"/>
      <c r="KDX678" s="37"/>
      <c r="KDY678" s="37"/>
      <c r="KDZ678" s="37"/>
      <c r="KEA678" s="37"/>
      <c r="KEB678" s="37"/>
      <c r="KEC678" s="37"/>
      <c r="KED678" s="37"/>
      <c r="KEE678" s="37"/>
      <c r="KEF678" s="37"/>
      <c r="KEG678" s="37"/>
      <c r="KEH678" s="37"/>
      <c r="KEI678" s="37"/>
      <c r="KEJ678" s="37"/>
      <c r="KEK678" s="37"/>
      <c r="KEL678" s="37"/>
      <c r="KEM678" s="37"/>
      <c r="KEN678" s="37"/>
      <c r="KEO678" s="37"/>
      <c r="KEP678" s="37"/>
      <c r="KEQ678" s="37"/>
      <c r="KER678" s="37"/>
      <c r="KES678" s="37"/>
      <c r="KET678" s="37"/>
      <c r="KEU678" s="37"/>
      <c r="KEV678" s="37"/>
      <c r="KEW678" s="37"/>
      <c r="KEX678" s="37"/>
      <c r="KEY678" s="37"/>
      <c r="KEZ678" s="37"/>
      <c r="KFA678" s="37"/>
      <c r="KFB678" s="37"/>
      <c r="KFC678" s="37"/>
      <c r="KFD678" s="37"/>
      <c r="KFE678" s="37"/>
      <c r="KFF678" s="37"/>
      <c r="KFG678" s="37"/>
      <c r="KFH678" s="37"/>
      <c r="KFI678" s="37"/>
      <c r="KFJ678" s="37"/>
      <c r="KFK678" s="37"/>
      <c r="KFL678" s="37"/>
      <c r="KFM678" s="37"/>
      <c r="KFN678" s="37"/>
      <c r="KFO678" s="37"/>
      <c r="KFP678" s="37"/>
      <c r="KFQ678" s="37"/>
      <c r="KFR678" s="37"/>
      <c r="KFS678" s="37"/>
      <c r="KFT678" s="37"/>
      <c r="KFU678" s="37"/>
      <c r="KFV678" s="37"/>
      <c r="KFW678" s="37"/>
      <c r="KFX678" s="37"/>
      <c r="KFY678" s="37"/>
      <c r="KFZ678" s="37"/>
      <c r="KGA678" s="37"/>
      <c r="KGB678" s="37"/>
      <c r="KGC678" s="37"/>
      <c r="KGD678" s="37"/>
      <c r="KGE678" s="37"/>
      <c r="KGF678" s="37"/>
      <c r="KGG678" s="37"/>
      <c r="KGH678" s="37"/>
      <c r="KGI678" s="37"/>
      <c r="KGJ678" s="37"/>
      <c r="KGK678" s="37"/>
      <c r="KGL678" s="37"/>
      <c r="KGM678" s="37"/>
      <c r="KGN678" s="37"/>
      <c r="KGO678" s="37"/>
      <c r="KGP678" s="37"/>
      <c r="KGQ678" s="37"/>
      <c r="KGR678" s="37"/>
      <c r="KGS678" s="37"/>
      <c r="KGT678" s="37"/>
      <c r="KGU678" s="37"/>
      <c r="KGV678" s="37"/>
      <c r="KGW678" s="37"/>
      <c r="KGX678" s="37"/>
      <c r="KGY678" s="37"/>
      <c r="KGZ678" s="37"/>
      <c r="KHA678" s="37"/>
      <c r="KHB678" s="37"/>
      <c r="KHC678" s="37"/>
      <c r="KHD678" s="37"/>
      <c r="KHE678" s="37"/>
      <c r="KHF678" s="37"/>
      <c r="KHG678" s="37"/>
      <c r="KHH678" s="37"/>
      <c r="KHI678" s="37"/>
      <c r="KHJ678" s="37"/>
      <c r="KHK678" s="37"/>
      <c r="KHL678" s="37"/>
      <c r="KHM678" s="37"/>
      <c r="KHN678" s="37"/>
      <c r="KHO678" s="37"/>
      <c r="KHP678" s="37"/>
      <c r="KHQ678" s="37"/>
      <c r="KHR678" s="37"/>
      <c r="KHS678" s="37"/>
      <c r="KHT678" s="37"/>
      <c r="KHU678" s="37"/>
      <c r="KHV678" s="37"/>
      <c r="KHW678" s="37"/>
      <c r="KHX678" s="37"/>
      <c r="KHY678" s="37"/>
      <c r="KHZ678" s="37"/>
      <c r="KIA678" s="37"/>
      <c r="KIB678" s="37"/>
      <c r="KIC678" s="37"/>
      <c r="KID678" s="37"/>
      <c r="KIE678" s="37"/>
      <c r="KIF678" s="37"/>
      <c r="KIG678" s="37"/>
      <c r="KIH678" s="37"/>
      <c r="KII678" s="37"/>
      <c r="KIJ678" s="37"/>
      <c r="KIK678" s="37"/>
      <c r="KIL678" s="37"/>
      <c r="KIM678" s="37"/>
      <c r="KIN678" s="37"/>
      <c r="KIO678" s="37"/>
      <c r="KIP678" s="37"/>
      <c r="KIQ678" s="37"/>
      <c r="KIR678" s="37"/>
      <c r="KIS678" s="37"/>
      <c r="KIT678" s="37"/>
      <c r="KIU678" s="37"/>
      <c r="KIV678" s="37"/>
      <c r="KIW678" s="37"/>
      <c r="KIX678" s="37"/>
      <c r="KIY678" s="37"/>
      <c r="KIZ678" s="37"/>
      <c r="KJA678" s="37"/>
      <c r="KJB678" s="37"/>
      <c r="KJC678" s="37"/>
      <c r="KJD678" s="37"/>
      <c r="KJE678" s="37"/>
      <c r="KJF678" s="37"/>
      <c r="KJG678" s="37"/>
      <c r="KJH678" s="37"/>
      <c r="KJI678" s="37"/>
      <c r="KJJ678" s="37"/>
      <c r="KJK678" s="37"/>
      <c r="KJL678" s="37"/>
      <c r="KJM678" s="37"/>
      <c r="KJN678" s="37"/>
      <c r="KJO678" s="37"/>
      <c r="KJP678" s="37"/>
      <c r="KJQ678" s="37"/>
      <c r="KJR678" s="37"/>
      <c r="KJS678" s="37"/>
      <c r="KJT678" s="37"/>
      <c r="KJU678" s="37"/>
      <c r="KJV678" s="37"/>
      <c r="KJW678" s="37"/>
      <c r="KJX678" s="37"/>
      <c r="KJY678" s="37"/>
      <c r="KJZ678" s="37"/>
      <c r="KKA678" s="37"/>
      <c r="KKB678" s="37"/>
      <c r="KKC678" s="37"/>
      <c r="KKD678" s="37"/>
      <c r="KKE678" s="37"/>
      <c r="KKF678" s="37"/>
      <c r="KKG678" s="37"/>
      <c r="KKH678" s="37"/>
      <c r="KKI678" s="37"/>
      <c r="KKJ678" s="37"/>
      <c r="KKK678" s="37"/>
      <c r="KKL678" s="37"/>
      <c r="KKM678" s="37"/>
      <c r="KKN678" s="37"/>
      <c r="KKO678" s="37"/>
      <c r="KKP678" s="37"/>
      <c r="KKQ678" s="37"/>
      <c r="KKR678" s="37"/>
      <c r="KKS678" s="37"/>
      <c r="KKT678" s="37"/>
      <c r="KKU678" s="37"/>
      <c r="KKV678" s="37"/>
      <c r="KKW678" s="37"/>
      <c r="KKX678" s="37"/>
      <c r="KKY678" s="37"/>
      <c r="KKZ678" s="37"/>
      <c r="KLA678" s="37"/>
      <c r="KLB678" s="37"/>
      <c r="KLC678" s="37"/>
      <c r="KLD678" s="37"/>
      <c r="KLE678" s="37"/>
      <c r="KLF678" s="37"/>
      <c r="KLG678" s="37"/>
      <c r="KLH678" s="37"/>
      <c r="KLI678" s="37"/>
      <c r="KLJ678" s="37"/>
      <c r="KLK678" s="37"/>
      <c r="KLL678" s="37"/>
      <c r="KLM678" s="37"/>
      <c r="KLN678" s="37"/>
      <c r="KLO678" s="37"/>
      <c r="KLP678" s="37"/>
      <c r="KLQ678" s="37"/>
      <c r="KLR678" s="37"/>
      <c r="KLS678" s="37"/>
      <c r="KLT678" s="37"/>
      <c r="KLU678" s="37"/>
      <c r="KLV678" s="37"/>
      <c r="KLW678" s="37"/>
      <c r="KLX678" s="37"/>
      <c r="KLY678" s="37"/>
      <c r="KLZ678" s="37"/>
      <c r="KMA678" s="37"/>
      <c r="KMB678" s="37"/>
      <c r="KMC678" s="37"/>
      <c r="KMD678" s="37"/>
      <c r="KME678" s="37"/>
      <c r="KMF678" s="37"/>
      <c r="KMG678" s="37"/>
      <c r="KMH678" s="37"/>
      <c r="KMI678" s="37"/>
      <c r="KMJ678" s="37"/>
      <c r="KMK678" s="37"/>
      <c r="KML678" s="37"/>
      <c r="KMM678" s="37"/>
      <c r="KMN678" s="37"/>
      <c r="KMO678" s="37"/>
      <c r="KMP678" s="37"/>
      <c r="KMQ678" s="37"/>
      <c r="KMR678" s="37"/>
      <c r="KMS678" s="37"/>
      <c r="KMT678" s="37"/>
      <c r="KMU678" s="37"/>
      <c r="KMV678" s="37"/>
      <c r="KMW678" s="37"/>
      <c r="KMX678" s="37"/>
      <c r="KMY678" s="37"/>
      <c r="KMZ678" s="37"/>
      <c r="KNA678" s="37"/>
      <c r="KNB678" s="37"/>
      <c r="KNC678" s="37"/>
      <c r="KND678" s="37"/>
      <c r="KNE678" s="37"/>
      <c r="KNF678" s="37"/>
      <c r="KNG678" s="37"/>
      <c r="KNH678" s="37"/>
      <c r="KNI678" s="37"/>
      <c r="KNJ678" s="37"/>
      <c r="KNK678" s="37"/>
      <c r="KNL678" s="37"/>
      <c r="KNM678" s="37"/>
      <c r="KNN678" s="37"/>
      <c r="KNO678" s="37"/>
      <c r="KNP678" s="37"/>
      <c r="KNQ678" s="37"/>
      <c r="KNR678" s="37"/>
      <c r="KNS678" s="37"/>
      <c r="KNT678" s="37"/>
      <c r="KNU678" s="37"/>
      <c r="KNV678" s="37"/>
      <c r="KNW678" s="37"/>
      <c r="KNX678" s="37"/>
      <c r="KNY678" s="37"/>
      <c r="KNZ678" s="37"/>
      <c r="KOA678" s="37"/>
      <c r="KOB678" s="37"/>
      <c r="KOC678" s="37"/>
      <c r="KOD678" s="37"/>
      <c r="KOE678" s="37"/>
      <c r="KOF678" s="37"/>
      <c r="KOG678" s="37"/>
      <c r="KOH678" s="37"/>
      <c r="KOI678" s="37"/>
      <c r="KOJ678" s="37"/>
      <c r="KOK678" s="37"/>
      <c r="KOL678" s="37"/>
      <c r="KOM678" s="37"/>
      <c r="KON678" s="37"/>
      <c r="KOO678" s="37"/>
      <c r="KOP678" s="37"/>
      <c r="KOQ678" s="37"/>
      <c r="KOR678" s="37"/>
      <c r="KOS678" s="37"/>
      <c r="KOT678" s="37"/>
      <c r="KOU678" s="37"/>
      <c r="KOV678" s="37"/>
      <c r="KOW678" s="37"/>
      <c r="KOX678" s="37"/>
      <c r="KOY678" s="37"/>
      <c r="KOZ678" s="37"/>
      <c r="KPA678" s="37"/>
      <c r="KPB678" s="37"/>
      <c r="KPC678" s="37"/>
      <c r="KPD678" s="37"/>
      <c r="KPE678" s="37"/>
      <c r="KPF678" s="37"/>
      <c r="KPG678" s="37"/>
      <c r="KPH678" s="37"/>
      <c r="KPI678" s="37"/>
      <c r="KPJ678" s="37"/>
      <c r="KPK678" s="37"/>
      <c r="KPL678" s="37"/>
      <c r="KPM678" s="37"/>
      <c r="KPN678" s="37"/>
      <c r="KPO678" s="37"/>
      <c r="KPP678" s="37"/>
      <c r="KPQ678" s="37"/>
      <c r="KPR678" s="37"/>
      <c r="KPS678" s="37"/>
      <c r="KPT678" s="37"/>
      <c r="KPU678" s="37"/>
      <c r="KPV678" s="37"/>
      <c r="KPW678" s="37"/>
      <c r="KPX678" s="37"/>
      <c r="KPY678" s="37"/>
      <c r="KPZ678" s="37"/>
      <c r="KQA678" s="37"/>
      <c r="KQB678" s="37"/>
      <c r="KQC678" s="37"/>
      <c r="KQD678" s="37"/>
      <c r="KQE678" s="37"/>
      <c r="KQF678" s="37"/>
      <c r="KQG678" s="37"/>
      <c r="KQH678" s="37"/>
      <c r="KQI678" s="37"/>
      <c r="KQJ678" s="37"/>
      <c r="KQK678" s="37"/>
      <c r="KQL678" s="37"/>
      <c r="KQM678" s="37"/>
      <c r="KQN678" s="37"/>
      <c r="KQO678" s="37"/>
      <c r="KQP678" s="37"/>
      <c r="KQQ678" s="37"/>
      <c r="KQR678" s="37"/>
      <c r="KQS678" s="37"/>
      <c r="KQT678" s="37"/>
      <c r="KQU678" s="37"/>
      <c r="KQV678" s="37"/>
      <c r="KQW678" s="37"/>
      <c r="KQX678" s="37"/>
      <c r="KQY678" s="37"/>
      <c r="KQZ678" s="37"/>
      <c r="KRA678" s="37"/>
      <c r="KRB678" s="37"/>
      <c r="KRC678" s="37"/>
      <c r="KRD678" s="37"/>
      <c r="KRE678" s="37"/>
      <c r="KRF678" s="37"/>
      <c r="KRG678" s="37"/>
      <c r="KRH678" s="37"/>
      <c r="KRI678" s="37"/>
      <c r="KRJ678" s="37"/>
      <c r="KRK678" s="37"/>
      <c r="KRL678" s="37"/>
      <c r="KRM678" s="37"/>
      <c r="KRN678" s="37"/>
      <c r="KRO678" s="37"/>
      <c r="KRP678" s="37"/>
      <c r="KRQ678" s="37"/>
      <c r="KRR678" s="37"/>
      <c r="KRS678" s="37"/>
      <c r="KRT678" s="37"/>
      <c r="KRU678" s="37"/>
      <c r="KRV678" s="37"/>
      <c r="KRW678" s="37"/>
      <c r="KRX678" s="37"/>
      <c r="KRY678" s="37"/>
      <c r="KRZ678" s="37"/>
      <c r="KSA678" s="37"/>
      <c r="KSB678" s="37"/>
      <c r="KSC678" s="37"/>
      <c r="KSD678" s="37"/>
      <c r="KSE678" s="37"/>
      <c r="KSF678" s="37"/>
      <c r="KSG678" s="37"/>
      <c r="KSH678" s="37"/>
      <c r="KSI678" s="37"/>
      <c r="KSJ678" s="37"/>
      <c r="KSK678" s="37"/>
      <c r="KSL678" s="37"/>
      <c r="KSM678" s="37"/>
      <c r="KSN678" s="37"/>
      <c r="KSO678" s="37"/>
      <c r="KSP678" s="37"/>
      <c r="KSQ678" s="37"/>
      <c r="KSR678" s="37"/>
      <c r="KSS678" s="37"/>
      <c r="KST678" s="37"/>
      <c r="KSU678" s="37"/>
      <c r="KSV678" s="37"/>
      <c r="KSW678" s="37"/>
      <c r="KSX678" s="37"/>
      <c r="KSY678" s="37"/>
      <c r="KSZ678" s="37"/>
      <c r="KTA678" s="37"/>
      <c r="KTB678" s="37"/>
      <c r="KTC678" s="37"/>
      <c r="KTD678" s="37"/>
      <c r="KTE678" s="37"/>
      <c r="KTF678" s="37"/>
      <c r="KTG678" s="37"/>
      <c r="KTH678" s="37"/>
      <c r="KTI678" s="37"/>
      <c r="KTJ678" s="37"/>
      <c r="KTK678" s="37"/>
      <c r="KTL678" s="37"/>
      <c r="KTM678" s="37"/>
      <c r="KTN678" s="37"/>
      <c r="KTO678" s="37"/>
      <c r="KTP678" s="37"/>
      <c r="KTQ678" s="37"/>
      <c r="KTR678" s="37"/>
      <c r="KTS678" s="37"/>
      <c r="KTT678" s="37"/>
      <c r="KTU678" s="37"/>
      <c r="KTV678" s="37"/>
      <c r="KTW678" s="37"/>
      <c r="KTX678" s="37"/>
      <c r="KTY678" s="37"/>
      <c r="KTZ678" s="37"/>
      <c r="KUA678" s="37"/>
      <c r="KUB678" s="37"/>
      <c r="KUC678" s="37"/>
      <c r="KUD678" s="37"/>
      <c r="KUE678" s="37"/>
      <c r="KUF678" s="37"/>
      <c r="KUG678" s="37"/>
      <c r="KUH678" s="37"/>
      <c r="KUI678" s="37"/>
      <c r="KUJ678" s="37"/>
      <c r="KUK678" s="37"/>
      <c r="KUL678" s="37"/>
      <c r="KUM678" s="37"/>
      <c r="KUN678" s="37"/>
      <c r="KUO678" s="37"/>
      <c r="KUP678" s="37"/>
      <c r="KUQ678" s="37"/>
      <c r="KUR678" s="37"/>
      <c r="KUS678" s="37"/>
      <c r="KUT678" s="37"/>
      <c r="KUU678" s="37"/>
      <c r="KUV678" s="37"/>
      <c r="KUW678" s="37"/>
      <c r="KUX678" s="37"/>
      <c r="KUY678" s="37"/>
      <c r="KUZ678" s="37"/>
      <c r="KVA678" s="37"/>
      <c r="KVB678" s="37"/>
      <c r="KVC678" s="37"/>
      <c r="KVD678" s="37"/>
      <c r="KVE678" s="37"/>
      <c r="KVF678" s="37"/>
      <c r="KVG678" s="37"/>
      <c r="KVH678" s="37"/>
      <c r="KVI678" s="37"/>
      <c r="KVJ678" s="37"/>
      <c r="KVK678" s="37"/>
      <c r="KVL678" s="37"/>
      <c r="KVM678" s="37"/>
      <c r="KVN678" s="37"/>
      <c r="KVO678" s="37"/>
      <c r="KVP678" s="37"/>
      <c r="KVQ678" s="37"/>
      <c r="KVR678" s="37"/>
      <c r="KVS678" s="37"/>
      <c r="KVT678" s="37"/>
      <c r="KVU678" s="37"/>
      <c r="KVV678" s="37"/>
      <c r="KVW678" s="37"/>
      <c r="KVX678" s="37"/>
      <c r="KVY678" s="37"/>
      <c r="KVZ678" s="37"/>
      <c r="KWA678" s="37"/>
      <c r="KWB678" s="37"/>
      <c r="KWC678" s="37"/>
      <c r="KWD678" s="37"/>
      <c r="KWE678" s="37"/>
      <c r="KWF678" s="37"/>
      <c r="KWG678" s="37"/>
      <c r="KWH678" s="37"/>
      <c r="KWI678" s="37"/>
      <c r="KWJ678" s="37"/>
      <c r="KWK678" s="37"/>
      <c r="KWL678" s="37"/>
      <c r="KWM678" s="37"/>
      <c r="KWN678" s="37"/>
      <c r="KWO678" s="37"/>
      <c r="KWP678" s="37"/>
      <c r="KWQ678" s="37"/>
      <c r="KWR678" s="37"/>
      <c r="KWS678" s="37"/>
      <c r="KWT678" s="37"/>
      <c r="KWU678" s="37"/>
      <c r="KWV678" s="37"/>
      <c r="KWW678" s="37"/>
      <c r="KWX678" s="37"/>
      <c r="KWY678" s="37"/>
      <c r="KWZ678" s="37"/>
      <c r="KXA678" s="37"/>
      <c r="KXB678" s="37"/>
      <c r="KXC678" s="37"/>
      <c r="KXD678" s="37"/>
      <c r="KXE678" s="37"/>
      <c r="KXF678" s="37"/>
      <c r="KXG678" s="37"/>
      <c r="KXH678" s="37"/>
      <c r="KXI678" s="37"/>
      <c r="KXJ678" s="37"/>
      <c r="KXK678" s="37"/>
      <c r="KXL678" s="37"/>
      <c r="KXM678" s="37"/>
      <c r="KXN678" s="37"/>
      <c r="KXO678" s="37"/>
      <c r="KXP678" s="37"/>
      <c r="KXQ678" s="37"/>
      <c r="KXR678" s="37"/>
      <c r="KXS678" s="37"/>
      <c r="KXT678" s="37"/>
      <c r="KXU678" s="37"/>
      <c r="KXV678" s="37"/>
      <c r="KXW678" s="37"/>
      <c r="KXX678" s="37"/>
      <c r="KXY678" s="37"/>
      <c r="KXZ678" s="37"/>
      <c r="KYA678" s="37"/>
      <c r="KYB678" s="37"/>
      <c r="KYC678" s="37"/>
      <c r="KYD678" s="37"/>
      <c r="KYE678" s="37"/>
      <c r="KYF678" s="37"/>
      <c r="KYG678" s="37"/>
      <c r="KYH678" s="37"/>
      <c r="KYI678" s="37"/>
      <c r="KYJ678" s="37"/>
      <c r="KYK678" s="37"/>
      <c r="KYL678" s="37"/>
      <c r="KYM678" s="37"/>
      <c r="KYN678" s="37"/>
      <c r="KYO678" s="37"/>
      <c r="KYP678" s="37"/>
      <c r="KYQ678" s="37"/>
      <c r="KYR678" s="37"/>
      <c r="KYS678" s="37"/>
      <c r="KYT678" s="37"/>
      <c r="KYU678" s="37"/>
      <c r="KYV678" s="37"/>
      <c r="KYW678" s="37"/>
      <c r="KYX678" s="37"/>
      <c r="KYY678" s="37"/>
      <c r="KYZ678" s="37"/>
      <c r="KZA678" s="37"/>
      <c r="KZB678" s="37"/>
      <c r="KZC678" s="37"/>
      <c r="KZD678" s="37"/>
      <c r="KZE678" s="37"/>
      <c r="KZF678" s="37"/>
      <c r="KZG678" s="37"/>
      <c r="KZH678" s="37"/>
      <c r="KZI678" s="37"/>
      <c r="KZJ678" s="37"/>
      <c r="KZK678" s="37"/>
      <c r="KZL678" s="37"/>
      <c r="KZM678" s="37"/>
      <c r="KZN678" s="37"/>
      <c r="KZO678" s="37"/>
      <c r="KZP678" s="37"/>
      <c r="KZQ678" s="37"/>
      <c r="KZR678" s="37"/>
      <c r="KZS678" s="37"/>
      <c r="KZT678" s="37"/>
      <c r="KZU678" s="37"/>
      <c r="KZV678" s="37"/>
      <c r="KZW678" s="37"/>
      <c r="KZX678" s="37"/>
      <c r="KZY678" s="37"/>
      <c r="KZZ678" s="37"/>
      <c r="LAA678" s="37"/>
      <c r="LAB678" s="37"/>
      <c r="LAC678" s="37"/>
      <c r="LAD678" s="37"/>
      <c r="LAE678" s="37"/>
      <c r="LAF678" s="37"/>
      <c r="LAG678" s="37"/>
      <c r="LAH678" s="37"/>
      <c r="LAI678" s="37"/>
      <c r="LAJ678" s="37"/>
      <c r="LAK678" s="37"/>
      <c r="LAL678" s="37"/>
      <c r="LAM678" s="37"/>
      <c r="LAN678" s="37"/>
      <c r="LAO678" s="37"/>
      <c r="LAP678" s="37"/>
      <c r="LAQ678" s="37"/>
      <c r="LAR678" s="37"/>
      <c r="LAS678" s="37"/>
      <c r="LAT678" s="37"/>
      <c r="LAU678" s="37"/>
      <c r="LAV678" s="37"/>
      <c r="LAW678" s="37"/>
      <c r="LAX678" s="37"/>
      <c r="LAY678" s="37"/>
      <c r="LAZ678" s="37"/>
      <c r="LBA678" s="37"/>
      <c r="LBB678" s="37"/>
      <c r="LBC678" s="37"/>
      <c r="LBD678" s="37"/>
      <c r="LBE678" s="37"/>
      <c r="LBF678" s="37"/>
      <c r="LBG678" s="37"/>
      <c r="LBH678" s="37"/>
      <c r="LBI678" s="37"/>
      <c r="LBJ678" s="37"/>
      <c r="LBK678" s="37"/>
      <c r="LBL678" s="37"/>
      <c r="LBM678" s="37"/>
      <c r="LBN678" s="37"/>
      <c r="LBO678" s="37"/>
      <c r="LBP678" s="37"/>
      <c r="LBQ678" s="37"/>
      <c r="LBR678" s="37"/>
      <c r="LBS678" s="37"/>
      <c r="LBT678" s="37"/>
      <c r="LBU678" s="37"/>
      <c r="LBV678" s="37"/>
      <c r="LBW678" s="37"/>
      <c r="LBX678" s="37"/>
      <c r="LBY678" s="37"/>
      <c r="LBZ678" s="37"/>
      <c r="LCA678" s="37"/>
      <c r="LCB678" s="37"/>
      <c r="LCC678" s="37"/>
      <c r="LCD678" s="37"/>
      <c r="LCE678" s="37"/>
      <c r="LCF678" s="37"/>
      <c r="LCG678" s="37"/>
      <c r="LCH678" s="37"/>
      <c r="LCI678" s="37"/>
      <c r="LCJ678" s="37"/>
      <c r="LCK678" s="37"/>
      <c r="LCL678" s="37"/>
      <c r="LCM678" s="37"/>
      <c r="LCN678" s="37"/>
      <c r="LCO678" s="37"/>
      <c r="LCP678" s="37"/>
      <c r="LCQ678" s="37"/>
      <c r="LCR678" s="37"/>
      <c r="LCS678" s="37"/>
      <c r="LCT678" s="37"/>
      <c r="LCU678" s="37"/>
      <c r="LCV678" s="37"/>
      <c r="LCW678" s="37"/>
      <c r="LCX678" s="37"/>
      <c r="LCY678" s="37"/>
      <c r="LCZ678" s="37"/>
      <c r="LDA678" s="37"/>
      <c r="LDB678" s="37"/>
      <c r="LDC678" s="37"/>
      <c r="LDD678" s="37"/>
      <c r="LDE678" s="37"/>
      <c r="LDF678" s="37"/>
      <c r="LDG678" s="37"/>
      <c r="LDH678" s="37"/>
      <c r="LDI678" s="37"/>
      <c r="LDJ678" s="37"/>
      <c r="LDK678" s="37"/>
      <c r="LDL678" s="37"/>
      <c r="LDM678" s="37"/>
      <c r="LDN678" s="37"/>
      <c r="LDO678" s="37"/>
      <c r="LDP678" s="37"/>
      <c r="LDQ678" s="37"/>
      <c r="LDR678" s="37"/>
      <c r="LDS678" s="37"/>
      <c r="LDT678" s="37"/>
      <c r="LDU678" s="37"/>
      <c r="LDV678" s="37"/>
      <c r="LDW678" s="37"/>
      <c r="LDX678" s="37"/>
      <c r="LDY678" s="37"/>
      <c r="LDZ678" s="37"/>
      <c r="LEA678" s="37"/>
      <c r="LEB678" s="37"/>
      <c r="LEC678" s="37"/>
      <c r="LED678" s="37"/>
      <c r="LEE678" s="37"/>
      <c r="LEF678" s="37"/>
      <c r="LEG678" s="37"/>
      <c r="LEH678" s="37"/>
      <c r="LEI678" s="37"/>
      <c r="LEJ678" s="37"/>
      <c r="LEK678" s="37"/>
      <c r="LEL678" s="37"/>
      <c r="LEM678" s="37"/>
      <c r="LEN678" s="37"/>
      <c r="LEO678" s="37"/>
      <c r="LEP678" s="37"/>
      <c r="LEQ678" s="37"/>
      <c r="LER678" s="37"/>
      <c r="LES678" s="37"/>
      <c r="LET678" s="37"/>
      <c r="LEU678" s="37"/>
      <c r="LEV678" s="37"/>
      <c r="LEW678" s="37"/>
      <c r="LEX678" s="37"/>
      <c r="LEY678" s="37"/>
      <c r="LEZ678" s="37"/>
      <c r="LFA678" s="37"/>
      <c r="LFB678" s="37"/>
      <c r="LFC678" s="37"/>
      <c r="LFD678" s="37"/>
      <c r="LFE678" s="37"/>
      <c r="LFF678" s="37"/>
      <c r="LFG678" s="37"/>
      <c r="LFH678" s="37"/>
      <c r="LFI678" s="37"/>
      <c r="LFJ678" s="37"/>
      <c r="LFK678" s="37"/>
      <c r="LFL678" s="37"/>
      <c r="LFM678" s="37"/>
      <c r="LFN678" s="37"/>
      <c r="LFO678" s="37"/>
      <c r="LFP678" s="37"/>
      <c r="LFQ678" s="37"/>
      <c r="LFR678" s="37"/>
      <c r="LFS678" s="37"/>
      <c r="LFT678" s="37"/>
      <c r="LFU678" s="37"/>
      <c r="LFV678" s="37"/>
      <c r="LFW678" s="37"/>
      <c r="LFX678" s="37"/>
      <c r="LFY678" s="37"/>
      <c r="LFZ678" s="37"/>
      <c r="LGA678" s="37"/>
      <c r="LGB678" s="37"/>
      <c r="LGC678" s="37"/>
      <c r="LGD678" s="37"/>
      <c r="LGE678" s="37"/>
      <c r="LGF678" s="37"/>
      <c r="LGG678" s="37"/>
      <c r="LGH678" s="37"/>
      <c r="LGI678" s="37"/>
      <c r="LGJ678" s="37"/>
      <c r="LGK678" s="37"/>
      <c r="LGL678" s="37"/>
      <c r="LGM678" s="37"/>
      <c r="LGN678" s="37"/>
      <c r="LGO678" s="37"/>
      <c r="LGP678" s="37"/>
      <c r="LGQ678" s="37"/>
      <c r="LGR678" s="37"/>
      <c r="LGS678" s="37"/>
      <c r="LGT678" s="37"/>
      <c r="LGU678" s="37"/>
      <c r="LGV678" s="37"/>
      <c r="LGW678" s="37"/>
      <c r="LGX678" s="37"/>
      <c r="LGY678" s="37"/>
      <c r="LGZ678" s="37"/>
      <c r="LHA678" s="37"/>
      <c r="LHB678" s="37"/>
      <c r="LHC678" s="37"/>
      <c r="LHD678" s="37"/>
      <c r="LHE678" s="37"/>
      <c r="LHF678" s="37"/>
      <c r="LHG678" s="37"/>
      <c r="LHH678" s="37"/>
      <c r="LHI678" s="37"/>
      <c r="LHJ678" s="37"/>
      <c r="LHK678" s="37"/>
      <c r="LHL678" s="37"/>
      <c r="LHM678" s="37"/>
      <c r="LHN678" s="37"/>
      <c r="LHO678" s="37"/>
      <c r="LHP678" s="37"/>
      <c r="LHQ678" s="37"/>
      <c r="LHR678" s="37"/>
      <c r="LHS678" s="37"/>
      <c r="LHT678" s="37"/>
      <c r="LHU678" s="37"/>
      <c r="LHV678" s="37"/>
      <c r="LHW678" s="37"/>
      <c r="LHX678" s="37"/>
      <c r="LHY678" s="37"/>
      <c r="LHZ678" s="37"/>
      <c r="LIA678" s="37"/>
      <c r="LIB678" s="37"/>
      <c r="LIC678" s="37"/>
      <c r="LID678" s="37"/>
      <c r="LIE678" s="37"/>
      <c r="LIF678" s="37"/>
      <c r="LIG678" s="37"/>
      <c r="LIH678" s="37"/>
      <c r="LII678" s="37"/>
      <c r="LIJ678" s="37"/>
      <c r="LIK678" s="37"/>
      <c r="LIL678" s="37"/>
      <c r="LIM678" s="37"/>
      <c r="LIN678" s="37"/>
      <c r="LIO678" s="37"/>
      <c r="LIP678" s="37"/>
      <c r="LIQ678" s="37"/>
      <c r="LIR678" s="37"/>
      <c r="LIS678" s="37"/>
      <c r="LIT678" s="37"/>
      <c r="LIU678" s="37"/>
      <c r="LIV678" s="37"/>
      <c r="LIW678" s="37"/>
      <c r="LIX678" s="37"/>
      <c r="LIY678" s="37"/>
      <c r="LIZ678" s="37"/>
      <c r="LJA678" s="37"/>
      <c r="LJB678" s="37"/>
      <c r="LJC678" s="37"/>
      <c r="LJD678" s="37"/>
      <c r="LJE678" s="37"/>
      <c r="LJF678" s="37"/>
      <c r="LJG678" s="37"/>
      <c r="LJH678" s="37"/>
      <c r="LJI678" s="37"/>
      <c r="LJJ678" s="37"/>
      <c r="LJK678" s="37"/>
      <c r="LJL678" s="37"/>
      <c r="LJM678" s="37"/>
      <c r="LJN678" s="37"/>
      <c r="LJO678" s="37"/>
      <c r="LJP678" s="37"/>
      <c r="LJQ678" s="37"/>
      <c r="LJR678" s="37"/>
      <c r="LJS678" s="37"/>
      <c r="LJT678" s="37"/>
      <c r="LJU678" s="37"/>
      <c r="LJV678" s="37"/>
      <c r="LJW678" s="37"/>
      <c r="LJX678" s="37"/>
      <c r="LJY678" s="37"/>
      <c r="LJZ678" s="37"/>
      <c r="LKA678" s="37"/>
      <c r="LKB678" s="37"/>
      <c r="LKC678" s="37"/>
      <c r="LKD678" s="37"/>
      <c r="LKE678" s="37"/>
      <c r="LKF678" s="37"/>
      <c r="LKG678" s="37"/>
      <c r="LKH678" s="37"/>
      <c r="LKI678" s="37"/>
      <c r="LKJ678" s="37"/>
      <c r="LKK678" s="37"/>
      <c r="LKL678" s="37"/>
      <c r="LKM678" s="37"/>
      <c r="LKN678" s="37"/>
      <c r="LKO678" s="37"/>
      <c r="LKP678" s="37"/>
      <c r="LKQ678" s="37"/>
      <c r="LKR678" s="37"/>
      <c r="LKS678" s="37"/>
      <c r="LKT678" s="37"/>
      <c r="LKU678" s="37"/>
      <c r="LKV678" s="37"/>
      <c r="LKW678" s="37"/>
      <c r="LKX678" s="37"/>
      <c r="LKY678" s="37"/>
      <c r="LKZ678" s="37"/>
      <c r="LLA678" s="37"/>
      <c r="LLB678" s="37"/>
      <c r="LLC678" s="37"/>
      <c r="LLD678" s="37"/>
      <c r="LLE678" s="37"/>
      <c r="LLF678" s="37"/>
      <c r="LLG678" s="37"/>
      <c r="LLH678" s="37"/>
      <c r="LLI678" s="37"/>
      <c r="LLJ678" s="37"/>
      <c r="LLK678" s="37"/>
      <c r="LLL678" s="37"/>
      <c r="LLM678" s="37"/>
      <c r="LLN678" s="37"/>
      <c r="LLO678" s="37"/>
      <c r="LLP678" s="37"/>
      <c r="LLQ678" s="37"/>
      <c r="LLR678" s="37"/>
      <c r="LLS678" s="37"/>
      <c r="LLT678" s="37"/>
      <c r="LLU678" s="37"/>
      <c r="LLV678" s="37"/>
      <c r="LLW678" s="37"/>
      <c r="LLX678" s="37"/>
      <c r="LLY678" s="37"/>
      <c r="LLZ678" s="37"/>
      <c r="LMA678" s="37"/>
      <c r="LMB678" s="37"/>
      <c r="LMC678" s="37"/>
      <c r="LMD678" s="37"/>
      <c r="LME678" s="37"/>
      <c r="LMF678" s="37"/>
      <c r="LMG678" s="37"/>
      <c r="LMH678" s="37"/>
      <c r="LMI678" s="37"/>
      <c r="LMJ678" s="37"/>
      <c r="LMK678" s="37"/>
      <c r="LML678" s="37"/>
      <c r="LMM678" s="37"/>
      <c r="LMN678" s="37"/>
      <c r="LMO678" s="37"/>
      <c r="LMP678" s="37"/>
      <c r="LMQ678" s="37"/>
      <c r="LMR678" s="37"/>
      <c r="LMS678" s="37"/>
      <c r="LMT678" s="37"/>
      <c r="LMU678" s="37"/>
      <c r="LMV678" s="37"/>
      <c r="LMW678" s="37"/>
      <c r="LMX678" s="37"/>
      <c r="LMY678" s="37"/>
      <c r="LMZ678" s="37"/>
      <c r="LNA678" s="37"/>
      <c r="LNB678" s="37"/>
      <c r="LNC678" s="37"/>
      <c r="LND678" s="37"/>
      <c r="LNE678" s="37"/>
      <c r="LNF678" s="37"/>
      <c r="LNG678" s="37"/>
      <c r="LNH678" s="37"/>
      <c r="LNI678" s="37"/>
      <c r="LNJ678" s="37"/>
      <c r="LNK678" s="37"/>
      <c r="LNL678" s="37"/>
      <c r="LNM678" s="37"/>
      <c r="LNN678" s="37"/>
      <c r="LNO678" s="37"/>
      <c r="LNP678" s="37"/>
      <c r="LNQ678" s="37"/>
      <c r="LNR678" s="37"/>
      <c r="LNS678" s="37"/>
      <c r="LNT678" s="37"/>
      <c r="LNU678" s="37"/>
      <c r="LNV678" s="37"/>
      <c r="LNW678" s="37"/>
      <c r="LNX678" s="37"/>
      <c r="LNY678" s="37"/>
      <c r="LNZ678" s="37"/>
      <c r="LOA678" s="37"/>
      <c r="LOB678" s="37"/>
      <c r="LOC678" s="37"/>
      <c r="LOD678" s="37"/>
      <c r="LOE678" s="37"/>
      <c r="LOF678" s="37"/>
      <c r="LOG678" s="37"/>
      <c r="LOH678" s="37"/>
      <c r="LOI678" s="37"/>
      <c r="LOJ678" s="37"/>
      <c r="LOK678" s="37"/>
      <c r="LOL678" s="37"/>
      <c r="LOM678" s="37"/>
      <c r="LON678" s="37"/>
      <c r="LOO678" s="37"/>
      <c r="LOP678" s="37"/>
      <c r="LOQ678" s="37"/>
      <c r="LOR678" s="37"/>
      <c r="LOS678" s="37"/>
      <c r="LOT678" s="37"/>
      <c r="LOU678" s="37"/>
      <c r="LOV678" s="37"/>
      <c r="LOW678" s="37"/>
      <c r="LOX678" s="37"/>
      <c r="LOY678" s="37"/>
      <c r="LOZ678" s="37"/>
      <c r="LPA678" s="37"/>
      <c r="LPB678" s="37"/>
      <c r="LPC678" s="37"/>
      <c r="LPD678" s="37"/>
      <c r="LPE678" s="37"/>
      <c r="LPF678" s="37"/>
      <c r="LPG678" s="37"/>
      <c r="LPH678" s="37"/>
      <c r="LPI678" s="37"/>
      <c r="LPJ678" s="37"/>
      <c r="LPK678" s="37"/>
      <c r="LPL678" s="37"/>
      <c r="LPM678" s="37"/>
      <c r="LPN678" s="37"/>
      <c r="LPO678" s="37"/>
      <c r="LPP678" s="37"/>
      <c r="LPQ678" s="37"/>
      <c r="LPR678" s="37"/>
      <c r="LPS678" s="37"/>
      <c r="LPT678" s="37"/>
      <c r="LPU678" s="37"/>
      <c r="LPV678" s="37"/>
      <c r="LPW678" s="37"/>
      <c r="LPX678" s="37"/>
      <c r="LPY678" s="37"/>
      <c r="LPZ678" s="37"/>
      <c r="LQA678" s="37"/>
      <c r="LQB678" s="37"/>
      <c r="LQC678" s="37"/>
      <c r="LQD678" s="37"/>
      <c r="LQE678" s="37"/>
      <c r="LQF678" s="37"/>
      <c r="LQG678" s="37"/>
      <c r="LQH678" s="37"/>
      <c r="LQI678" s="37"/>
      <c r="LQJ678" s="37"/>
      <c r="LQK678" s="37"/>
      <c r="LQL678" s="37"/>
      <c r="LQM678" s="37"/>
      <c r="LQN678" s="37"/>
      <c r="LQO678" s="37"/>
      <c r="LQP678" s="37"/>
      <c r="LQQ678" s="37"/>
      <c r="LQR678" s="37"/>
      <c r="LQS678" s="37"/>
      <c r="LQT678" s="37"/>
      <c r="LQU678" s="37"/>
      <c r="LQV678" s="37"/>
      <c r="LQW678" s="37"/>
      <c r="LQX678" s="37"/>
      <c r="LQY678" s="37"/>
      <c r="LQZ678" s="37"/>
      <c r="LRA678" s="37"/>
      <c r="LRB678" s="37"/>
      <c r="LRC678" s="37"/>
      <c r="LRD678" s="37"/>
      <c r="LRE678" s="37"/>
      <c r="LRF678" s="37"/>
      <c r="LRG678" s="37"/>
      <c r="LRH678" s="37"/>
      <c r="LRI678" s="37"/>
      <c r="LRJ678" s="37"/>
      <c r="LRK678" s="37"/>
      <c r="LRL678" s="37"/>
      <c r="LRM678" s="37"/>
      <c r="LRN678" s="37"/>
      <c r="LRO678" s="37"/>
      <c r="LRP678" s="37"/>
      <c r="LRQ678" s="37"/>
      <c r="LRR678" s="37"/>
      <c r="LRS678" s="37"/>
      <c r="LRT678" s="37"/>
      <c r="LRU678" s="37"/>
      <c r="LRV678" s="37"/>
      <c r="LRW678" s="37"/>
      <c r="LRX678" s="37"/>
      <c r="LRY678" s="37"/>
      <c r="LRZ678" s="37"/>
      <c r="LSA678" s="37"/>
      <c r="LSB678" s="37"/>
      <c r="LSC678" s="37"/>
      <c r="LSD678" s="37"/>
      <c r="LSE678" s="37"/>
      <c r="LSF678" s="37"/>
      <c r="LSG678" s="37"/>
      <c r="LSH678" s="37"/>
      <c r="LSI678" s="37"/>
      <c r="LSJ678" s="37"/>
      <c r="LSK678" s="37"/>
      <c r="LSL678" s="37"/>
      <c r="LSM678" s="37"/>
      <c r="LSN678" s="37"/>
      <c r="LSO678" s="37"/>
      <c r="LSP678" s="37"/>
      <c r="LSQ678" s="37"/>
      <c r="LSR678" s="37"/>
      <c r="LSS678" s="37"/>
      <c r="LST678" s="37"/>
      <c r="LSU678" s="37"/>
      <c r="LSV678" s="37"/>
      <c r="LSW678" s="37"/>
      <c r="LSX678" s="37"/>
      <c r="LSY678" s="37"/>
      <c r="LSZ678" s="37"/>
      <c r="LTA678" s="37"/>
      <c r="LTB678" s="37"/>
      <c r="LTC678" s="37"/>
      <c r="LTD678" s="37"/>
      <c r="LTE678" s="37"/>
      <c r="LTF678" s="37"/>
      <c r="LTG678" s="37"/>
      <c r="LTH678" s="37"/>
      <c r="LTI678" s="37"/>
      <c r="LTJ678" s="37"/>
      <c r="LTK678" s="37"/>
      <c r="LTL678" s="37"/>
      <c r="LTM678" s="37"/>
      <c r="LTN678" s="37"/>
      <c r="LTO678" s="37"/>
      <c r="LTP678" s="37"/>
      <c r="LTQ678" s="37"/>
      <c r="LTR678" s="37"/>
      <c r="LTS678" s="37"/>
      <c r="LTT678" s="37"/>
      <c r="LTU678" s="37"/>
      <c r="LTV678" s="37"/>
      <c r="LTW678" s="37"/>
      <c r="LTX678" s="37"/>
      <c r="LTY678" s="37"/>
      <c r="LTZ678" s="37"/>
      <c r="LUA678" s="37"/>
      <c r="LUB678" s="37"/>
      <c r="LUC678" s="37"/>
      <c r="LUD678" s="37"/>
      <c r="LUE678" s="37"/>
      <c r="LUF678" s="37"/>
      <c r="LUG678" s="37"/>
      <c r="LUH678" s="37"/>
      <c r="LUI678" s="37"/>
      <c r="LUJ678" s="37"/>
      <c r="LUK678" s="37"/>
      <c r="LUL678" s="37"/>
      <c r="LUM678" s="37"/>
      <c r="LUN678" s="37"/>
      <c r="LUO678" s="37"/>
      <c r="LUP678" s="37"/>
      <c r="LUQ678" s="37"/>
      <c r="LUR678" s="37"/>
      <c r="LUS678" s="37"/>
      <c r="LUT678" s="37"/>
      <c r="LUU678" s="37"/>
      <c r="LUV678" s="37"/>
      <c r="LUW678" s="37"/>
      <c r="LUX678" s="37"/>
      <c r="LUY678" s="37"/>
      <c r="LUZ678" s="37"/>
      <c r="LVA678" s="37"/>
      <c r="LVB678" s="37"/>
      <c r="LVC678" s="37"/>
      <c r="LVD678" s="37"/>
      <c r="LVE678" s="37"/>
      <c r="LVF678" s="37"/>
      <c r="LVG678" s="37"/>
      <c r="LVH678" s="37"/>
      <c r="LVI678" s="37"/>
      <c r="LVJ678" s="37"/>
      <c r="LVK678" s="37"/>
      <c r="LVL678" s="37"/>
      <c r="LVM678" s="37"/>
      <c r="LVN678" s="37"/>
      <c r="LVO678" s="37"/>
      <c r="LVP678" s="37"/>
      <c r="LVQ678" s="37"/>
      <c r="LVR678" s="37"/>
      <c r="LVS678" s="37"/>
      <c r="LVT678" s="37"/>
      <c r="LVU678" s="37"/>
      <c r="LVV678" s="37"/>
      <c r="LVW678" s="37"/>
      <c r="LVX678" s="37"/>
      <c r="LVY678" s="37"/>
      <c r="LVZ678" s="37"/>
      <c r="LWA678" s="37"/>
      <c r="LWB678" s="37"/>
      <c r="LWC678" s="37"/>
      <c r="LWD678" s="37"/>
      <c r="LWE678" s="37"/>
      <c r="LWF678" s="37"/>
      <c r="LWG678" s="37"/>
      <c r="LWH678" s="37"/>
      <c r="LWI678" s="37"/>
      <c r="LWJ678" s="37"/>
      <c r="LWK678" s="37"/>
      <c r="LWL678" s="37"/>
      <c r="LWM678" s="37"/>
      <c r="LWN678" s="37"/>
      <c r="LWO678" s="37"/>
      <c r="LWP678" s="37"/>
      <c r="LWQ678" s="37"/>
      <c r="LWR678" s="37"/>
      <c r="LWS678" s="37"/>
      <c r="LWT678" s="37"/>
      <c r="LWU678" s="37"/>
      <c r="LWV678" s="37"/>
      <c r="LWW678" s="37"/>
      <c r="LWX678" s="37"/>
      <c r="LWY678" s="37"/>
      <c r="LWZ678" s="37"/>
      <c r="LXA678" s="37"/>
      <c r="LXB678" s="37"/>
      <c r="LXC678" s="37"/>
      <c r="LXD678" s="37"/>
      <c r="LXE678" s="37"/>
      <c r="LXF678" s="37"/>
      <c r="LXG678" s="37"/>
      <c r="LXH678" s="37"/>
      <c r="LXI678" s="37"/>
      <c r="LXJ678" s="37"/>
      <c r="LXK678" s="37"/>
      <c r="LXL678" s="37"/>
      <c r="LXM678" s="37"/>
      <c r="LXN678" s="37"/>
      <c r="LXO678" s="37"/>
      <c r="LXP678" s="37"/>
      <c r="LXQ678" s="37"/>
      <c r="LXR678" s="37"/>
      <c r="LXS678" s="37"/>
      <c r="LXT678" s="37"/>
      <c r="LXU678" s="37"/>
      <c r="LXV678" s="37"/>
      <c r="LXW678" s="37"/>
      <c r="LXX678" s="37"/>
      <c r="LXY678" s="37"/>
      <c r="LXZ678" s="37"/>
      <c r="LYA678" s="37"/>
      <c r="LYB678" s="37"/>
      <c r="LYC678" s="37"/>
      <c r="LYD678" s="37"/>
      <c r="LYE678" s="37"/>
      <c r="LYF678" s="37"/>
      <c r="LYG678" s="37"/>
      <c r="LYH678" s="37"/>
      <c r="LYI678" s="37"/>
      <c r="LYJ678" s="37"/>
      <c r="LYK678" s="37"/>
      <c r="LYL678" s="37"/>
      <c r="LYM678" s="37"/>
      <c r="LYN678" s="37"/>
      <c r="LYO678" s="37"/>
      <c r="LYP678" s="37"/>
      <c r="LYQ678" s="37"/>
      <c r="LYR678" s="37"/>
      <c r="LYS678" s="37"/>
      <c r="LYT678" s="37"/>
      <c r="LYU678" s="37"/>
      <c r="LYV678" s="37"/>
      <c r="LYW678" s="37"/>
      <c r="LYX678" s="37"/>
      <c r="LYY678" s="37"/>
      <c r="LYZ678" s="37"/>
      <c r="LZA678" s="37"/>
      <c r="LZB678" s="37"/>
      <c r="LZC678" s="37"/>
      <c r="LZD678" s="37"/>
      <c r="LZE678" s="37"/>
      <c r="LZF678" s="37"/>
      <c r="LZG678" s="37"/>
      <c r="LZH678" s="37"/>
      <c r="LZI678" s="37"/>
      <c r="LZJ678" s="37"/>
      <c r="LZK678" s="37"/>
      <c r="LZL678" s="37"/>
      <c r="LZM678" s="37"/>
      <c r="LZN678" s="37"/>
      <c r="LZO678" s="37"/>
      <c r="LZP678" s="37"/>
      <c r="LZQ678" s="37"/>
      <c r="LZR678" s="37"/>
      <c r="LZS678" s="37"/>
      <c r="LZT678" s="37"/>
      <c r="LZU678" s="37"/>
      <c r="LZV678" s="37"/>
      <c r="LZW678" s="37"/>
      <c r="LZX678" s="37"/>
      <c r="LZY678" s="37"/>
      <c r="LZZ678" s="37"/>
      <c r="MAA678" s="37"/>
      <c r="MAB678" s="37"/>
      <c r="MAC678" s="37"/>
      <c r="MAD678" s="37"/>
      <c r="MAE678" s="37"/>
      <c r="MAF678" s="37"/>
      <c r="MAG678" s="37"/>
      <c r="MAH678" s="37"/>
      <c r="MAI678" s="37"/>
      <c r="MAJ678" s="37"/>
      <c r="MAK678" s="37"/>
      <c r="MAL678" s="37"/>
      <c r="MAM678" s="37"/>
      <c r="MAN678" s="37"/>
      <c r="MAO678" s="37"/>
      <c r="MAP678" s="37"/>
      <c r="MAQ678" s="37"/>
      <c r="MAR678" s="37"/>
      <c r="MAS678" s="37"/>
      <c r="MAT678" s="37"/>
      <c r="MAU678" s="37"/>
      <c r="MAV678" s="37"/>
      <c r="MAW678" s="37"/>
      <c r="MAX678" s="37"/>
      <c r="MAY678" s="37"/>
      <c r="MAZ678" s="37"/>
      <c r="MBA678" s="37"/>
      <c r="MBB678" s="37"/>
      <c r="MBC678" s="37"/>
      <c r="MBD678" s="37"/>
      <c r="MBE678" s="37"/>
      <c r="MBF678" s="37"/>
      <c r="MBG678" s="37"/>
      <c r="MBH678" s="37"/>
      <c r="MBI678" s="37"/>
      <c r="MBJ678" s="37"/>
      <c r="MBK678" s="37"/>
      <c r="MBL678" s="37"/>
      <c r="MBM678" s="37"/>
      <c r="MBN678" s="37"/>
      <c r="MBO678" s="37"/>
      <c r="MBP678" s="37"/>
      <c r="MBQ678" s="37"/>
      <c r="MBR678" s="37"/>
      <c r="MBS678" s="37"/>
      <c r="MBT678" s="37"/>
      <c r="MBU678" s="37"/>
      <c r="MBV678" s="37"/>
      <c r="MBW678" s="37"/>
      <c r="MBX678" s="37"/>
      <c r="MBY678" s="37"/>
      <c r="MBZ678" s="37"/>
      <c r="MCA678" s="37"/>
      <c r="MCB678" s="37"/>
      <c r="MCC678" s="37"/>
      <c r="MCD678" s="37"/>
      <c r="MCE678" s="37"/>
      <c r="MCF678" s="37"/>
      <c r="MCG678" s="37"/>
      <c r="MCH678" s="37"/>
      <c r="MCI678" s="37"/>
      <c r="MCJ678" s="37"/>
      <c r="MCK678" s="37"/>
      <c r="MCL678" s="37"/>
      <c r="MCM678" s="37"/>
      <c r="MCN678" s="37"/>
      <c r="MCO678" s="37"/>
      <c r="MCP678" s="37"/>
      <c r="MCQ678" s="37"/>
      <c r="MCR678" s="37"/>
      <c r="MCS678" s="37"/>
      <c r="MCT678" s="37"/>
      <c r="MCU678" s="37"/>
      <c r="MCV678" s="37"/>
      <c r="MCW678" s="37"/>
      <c r="MCX678" s="37"/>
      <c r="MCY678" s="37"/>
      <c r="MCZ678" s="37"/>
      <c r="MDA678" s="37"/>
      <c r="MDB678" s="37"/>
      <c r="MDC678" s="37"/>
      <c r="MDD678" s="37"/>
      <c r="MDE678" s="37"/>
      <c r="MDF678" s="37"/>
      <c r="MDG678" s="37"/>
      <c r="MDH678" s="37"/>
      <c r="MDI678" s="37"/>
      <c r="MDJ678" s="37"/>
      <c r="MDK678" s="37"/>
      <c r="MDL678" s="37"/>
      <c r="MDM678" s="37"/>
      <c r="MDN678" s="37"/>
      <c r="MDO678" s="37"/>
      <c r="MDP678" s="37"/>
      <c r="MDQ678" s="37"/>
      <c r="MDR678" s="37"/>
      <c r="MDS678" s="37"/>
      <c r="MDT678" s="37"/>
      <c r="MDU678" s="37"/>
      <c r="MDV678" s="37"/>
      <c r="MDW678" s="37"/>
      <c r="MDX678" s="37"/>
      <c r="MDY678" s="37"/>
      <c r="MDZ678" s="37"/>
      <c r="MEA678" s="37"/>
      <c r="MEB678" s="37"/>
      <c r="MEC678" s="37"/>
      <c r="MED678" s="37"/>
      <c r="MEE678" s="37"/>
      <c r="MEF678" s="37"/>
      <c r="MEG678" s="37"/>
      <c r="MEH678" s="37"/>
      <c r="MEI678" s="37"/>
      <c r="MEJ678" s="37"/>
      <c r="MEK678" s="37"/>
      <c r="MEL678" s="37"/>
      <c r="MEM678" s="37"/>
      <c r="MEN678" s="37"/>
      <c r="MEO678" s="37"/>
      <c r="MEP678" s="37"/>
      <c r="MEQ678" s="37"/>
      <c r="MER678" s="37"/>
      <c r="MES678" s="37"/>
      <c r="MET678" s="37"/>
      <c r="MEU678" s="37"/>
      <c r="MEV678" s="37"/>
      <c r="MEW678" s="37"/>
      <c r="MEX678" s="37"/>
      <c r="MEY678" s="37"/>
      <c r="MEZ678" s="37"/>
      <c r="MFA678" s="37"/>
      <c r="MFB678" s="37"/>
      <c r="MFC678" s="37"/>
      <c r="MFD678" s="37"/>
      <c r="MFE678" s="37"/>
      <c r="MFF678" s="37"/>
      <c r="MFG678" s="37"/>
      <c r="MFH678" s="37"/>
      <c r="MFI678" s="37"/>
      <c r="MFJ678" s="37"/>
      <c r="MFK678" s="37"/>
      <c r="MFL678" s="37"/>
      <c r="MFM678" s="37"/>
      <c r="MFN678" s="37"/>
      <c r="MFO678" s="37"/>
      <c r="MFP678" s="37"/>
      <c r="MFQ678" s="37"/>
      <c r="MFR678" s="37"/>
      <c r="MFS678" s="37"/>
      <c r="MFT678" s="37"/>
      <c r="MFU678" s="37"/>
      <c r="MFV678" s="37"/>
      <c r="MFW678" s="37"/>
      <c r="MFX678" s="37"/>
      <c r="MFY678" s="37"/>
      <c r="MFZ678" s="37"/>
      <c r="MGA678" s="37"/>
      <c r="MGB678" s="37"/>
      <c r="MGC678" s="37"/>
      <c r="MGD678" s="37"/>
      <c r="MGE678" s="37"/>
      <c r="MGF678" s="37"/>
      <c r="MGG678" s="37"/>
      <c r="MGH678" s="37"/>
      <c r="MGI678" s="37"/>
      <c r="MGJ678" s="37"/>
      <c r="MGK678" s="37"/>
      <c r="MGL678" s="37"/>
      <c r="MGM678" s="37"/>
      <c r="MGN678" s="37"/>
      <c r="MGO678" s="37"/>
      <c r="MGP678" s="37"/>
      <c r="MGQ678" s="37"/>
      <c r="MGR678" s="37"/>
      <c r="MGS678" s="37"/>
      <c r="MGT678" s="37"/>
      <c r="MGU678" s="37"/>
      <c r="MGV678" s="37"/>
      <c r="MGW678" s="37"/>
      <c r="MGX678" s="37"/>
      <c r="MGY678" s="37"/>
      <c r="MGZ678" s="37"/>
      <c r="MHA678" s="37"/>
      <c r="MHB678" s="37"/>
      <c r="MHC678" s="37"/>
      <c r="MHD678" s="37"/>
      <c r="MHE678" s="37"/>
      <c r="MHF678" s="37"/>
      <c r="MHG678" s="37"/>
      <c r="MHH678" s="37"/>
      <c r="MHI678" s="37"/>
      <c r="MHJ678" s="37"/>
      <c r="MHK678" s="37"/>
      <c r="MHL678" s="37"/>
      <c r="MHM678" s="37"/>
      <c r="MHN678" s="37"/>
      <c r="MHO678" s="37"/>
      <c r="MHP678" s="37"/>
      <c r="MHQ678" s="37"/>
      <c r="MHR678" s="37"/>
      <c r="MHS678" s="37"/>
      <c r="MHT678" s="37"/>
      <c r="MHU678" s="37"/>
      <c r="MHV678" s="37"/>
      <c r="MHW678" s="37"/>
      <c r="MHX678" s="37"/>
      <c r="MHY678" s="37"/>
      <c r="MHZ678" s="37"/>
      <c r="MIA678" s="37"/>
      <c r="MIB678" s="37"/>
      <c r="MIC678" s="37"/>
      <c r="MID678" s="37"/>
      <c r="MIE678" s="37"/>
      <c r="MIF678" s="37"/>
      <c r="MIG678" s="37"/>
      <c r="MIH678" s="37"/>
      <c r="MII678" s="37"/>
      <c r="MIJ678" s="37"/>
      <c r="MIK678" s="37"/>
      <c r="MIL678" s="37"/>
      <c r="MIM678" s="37"/>
      <c r="MIN678" s="37"/>
      <c r="MIO678" s="37"/>
      <c r="MIP678" s="37"/>
      <c r="MIQ678" s="37"/>
      <c r="MIR678" s="37"/>
      <c r="MIS678" s="37"/>
      <c r="MIT678" s="37"/>
      <c r="MIU678" s="37"/>
      <c r="MIV678" s="37"/>
      <c r="MIW678" s="37"/>
      <c r="MIX678" s="37"/>
      <c r="MIY678" s="37"/>
      <c r="MIZ678" s="37"/>
      <c r="MJA678" s="37"/>
      <c r="MJB678" s="37"/>
      <c r="MJC678" s="37"/>
      <c r="MJD678" s="37"/>
      <c r="MJE678" s="37"/>
      <c r="MJF678" s="37"/>
      <c r="MJG678" s="37"/>
      <c r="MJH678" s="37"/>
      <c r="MJI678" s="37"/>
      <c r="MJJ678" s="37"/>
      <c r="MJK678" s="37"/>
      <c r="MJL678" s="37"/>
      <c r="MJM678" s="37"/>
      <c r="MJN678" s="37"/>
      <c r="MJO678" s="37"/>
      <c r="MJP678" s="37"/>
      <c r="MJQ678" s="37"/>
      <c r="MJR678" s="37"/>
      <c r="MJS678" s="37"/>
      <c r="MJT678" s="37"/>
      <c r="MJU678" s="37"/>
      <c r="MJV678" s="37"/>
      <c r="MJW678" s="37"/>
      <c r="MJX678" s="37"/>
      <c r="MJY678" s="37"/>
      <c r="MJZ678" s="37"/>
      <c r="MKA678" s="37"/>
      <c r="MKB678" s="37"/>
      <c r="MKC678" s="37"/>
      <c r="MKD678" s="37"/>
      <c r="MKE678" s="37"/>
      <c r="MKF678" s="37"/>
      <c r="MKG678" s="37"/>
      <c r="MKH678" s="37"/>
      <c r="MKI678" s="37"/>
      <c r="MKJ678" s="37"/>
      <c r="MKK678" s="37"/>
      <c r="MKL678" s="37"/>
      <c r="MKM678" s="37"/>
      <c r="MKN678" s="37"/>
      <c r="MKO678" s="37"/>
      <c r="MKP678" s="37"/>
      <c r="MKQ678" s="37"/>
      <c r="MKR678" s="37"/>
      <c r="MKS678" s="37"/>
      <c r="MKT678" s="37"/>
      <c r="MKU678" s="37"/>
      <c r="MKV678" s="37"/>
      <c r="MKW678" s="37"/>
      <c r="MKX678" s="37"/>
      <c r="MKY678" s="37"/>
      <c r="MKZ678" s="37"/>
      <c r="MLA678" s="37"/>
      <c r="MLB678" s="37"/>
      <c r="MLC678" s="37"/>
      <c r="MLD678" s="37"/>
      <c r="MLE678" s="37"/>
      <c r="MLF678" s="37"/>
      <c r="MLG678" s="37"/>
      <c r="MLH678" s="37"/>
      <c r="MLI678" s="37"/>
      <c r="MLJ678" s="37"/>
      <c r="MLK678" s="37"/>
      <c r="MLL678" s="37"/>
      <c r="MLM678" s="37"/>
      <c r="MLN678" s="37"/>
      <c r="MLO678" s="37"/>
      <c r="MLP678" s="37"/>
      <c r="MLQ678" s="37"/>
      <c r="MLR678" s="37"/>
      <c r="MLS678" s="37"/>
      <c r="MLT678" s="37"/>
      <c r="MLU678" s="37"/>
      <c r="MLV678" s="37"/>
      <c r="MLW678" s="37"/>
      <c r="MLX678" s="37"/>
      <c r="MLY678" s="37"/>
      <c r="MLZ678" s="37"/>
      <c r="MMA678" s="37"/>
      <c r="MMB678" s="37"/>
      <c r="MMC678" s="37"/>
      <c r="MMD678" s="37"/>
      <c r="MME678" s="37"/>
      <c r="MMF678" s="37"/>
      <c r="MMG678" s="37"/>
      <c r="MMH678" s="37"/>
      <c r="MMI678" s="37"/>
      <c r="MMJ678" s="37"/>
      <c r="MMK678" s="37"/>
      <c r="MML678" s="37"/>
      <c r="MMM678" s="37"/>
      <c r="MMN678" s="37"/>
      <c r="MMO678" s="37"/>
      <c r="MMP678" s="37"/>
      <c r="MMQ678" s="37"/>
      <c r="MMR678" s="37"/>
      <c r="MMS678" s="37"/>
      <c r="MMT678" s="37"/>
      <c r="MMU678" s="37"/>
      <c r="MMV678" s="37"/>
      <c r="MMW678" s="37"/>
      <c r="MMX678" s="37"/>
      <c r="MMY678" s="37"/>
      <c r="MMZ678" s="37"/>
      <c r="MNA678" s="37"/>
      <c r="MNB678" s="37"/>
      <c r="MNC678" s="37"/>
      <c r="MND678" s="37"/>
      <c r="MNE678" s="37"/>
      <c r="MNF678" s="37"/>
      <c r="MNG678" s="37"/>
      <c r="MNH678" s="37"/>
      <c r="MNI678" s="37"/>
      <c r="MNJ678" s="37"/>
      <c r="MNK678" s="37"/>
      <c r="MNL678" s="37"/>
      <c r="MNM678" s="37"/>
      <c r="MNN678" s="37"/>
      <c r="MNO678" s="37"/>
      <c r="MNP678" s="37"/>
      <c r="MNQ678" s="37"/>
      <c r="MNR678" s="37"/>
      <c r="MNS678" s="37"/>
      <c r="MNT678" s="37"/>
      <c r="MNU678" s="37"/>
      <c r="MNV678" s="37"/>
      <c r="MNW678" s="37"/>
      <c r="MNX678" s="37"/>
      <c r="MNY678" s="37"/>
      <c r="MNZ678" s="37"/>
      <c r="MOA678" s="37"/>
      <c r="MOB678" s="37"/>
      <c r="MOC678" s="37"/>
      <c r="MOD678" s="37"/>
      <c r="MOE678" s="37"/>
      <c r="MOF678" s="37"/>
      <c r="MOG678" s="37"/>
      <c r="MOH678" s="37"/>
      <c r="MOI678" s="37"/>
      <c r="MOJ678" s="37"/>
      <c r="MOK678" s="37"/>
      <c r="MOL678" s="37"/>
      <c r="MOM678" s="37"/>
      <c r="MON678" s="37"/>
      <c r="MOO678" s="37"/>
      <c r="MOP678" s="37"/>
      <c r="MOQ678" s="37"/>
      <c r="MOR678" s="37"/>
      <c r="MOS678" s="37"/>
      <c r="MOT678" s="37"/>
      <c r="MOU678" s="37"/>
      <c r="MOV678" s="37"/>
      <c r="MOW678" s="37"/>
      <c r="MOX678" s="37"/>
      <c r="MOY678" s="37"/>
      <c r="MOZ678" s="37"/>
      <c r="MPA678" s="37"/>
      <c r="MPB678" s="37"/>
      <c r="MPC678" s="37"/>
      <c r="MPD678" s="37"/>
      <c r="MPE678" s="37"/>
      <c r="MPF678" s="37"/>
      <c r="MPG678" s="37"/>
      <c r="MPH678" s="37"/>
      <c r="MPI678" s="37"/>
      <c r="MPJ678" s="37"/>
      <c r="MPK678" s="37"/>
      <c r="MPL678" s="37"/>
      <c r="MPM678" s="37"/>
      <c r="MPN678" s="37"/>
      <c r="MPO678" s="37"/>
      <c r="MPP678" s="37"/>
      <c r="MPQ678" s="37"/>
      <c r="MPR678" s="37"/>
      <c r="MPS678" s="37"/>
      <c r="MPT678" s="37"/>
      <c r="MPU678" s="37"/>
      <c r="MPV678" s="37"/>
      <c r="MPW678" s="37"/>
      <c r="MPX678" s="37"/>
      <c r="MPY678" s="37"/>
      <c r="MPZ678" s="37"/>
      <c r="MQA678" s="37"/>
      <c r="MQB678" s="37"/>
      <c r="MQC678" s="37"/>
      <c r="MQD678" s="37"/>
      <c r="MQE678" s="37"/>
      <c r="MQF678" s="37"/>
      <c r="MQG678" s="37"/>
      <c r="MQH678" s="37"/>
      <c r="MQI678" s="37"/>
      <c r="MQJ678" s="37"/>
      <c r="MQK678" s="37"/>
      <c r="MQL678" s="37"/>
      <c r="MQM678" s="37"/>
      <c r="MQN678" s="37"/>
      <c r="MQO678" s="37"/>
      <c r="MQP678" s="37"/>
      <c r="MQQ678" s="37"/>
      <c r="MQR678" s="37"/>
      <c r="MQS678" s="37"/>
      <c r="MQT678" s="37"/>
      <c r="MQU678" s="37"/>
      <c r="MQV678" s="37"/>
      <c r="MQW678" s="37"/>
      <c r="MQX678" s="37"/>
      <c r="MQY678" s="37"/>
      <c r="MQZ678" s="37"/>
      <c r="MRA678" s="37"/>
      <c r="MRB678" s="37"/>
      <c r="MRC678" s="37"/>
      <c r="MRD678" s="37"/>
      <c r="MRE678" s="37"/>
      <c r="MRF678" s="37"/>
      <c r="MRG678" s="37"/>
      <c r="MRH678" s="37"/>
      <c r="MRI678" s="37"/>
      <c r="MRJ678" s="37"/>
      <c r="MRK678" s="37"/>
      <c r="MRL678" s="37"/>
      <c r="MRM678" s="37"/>
      <c r="MRN678" s="37"/>
      <c r="MRO678" s="37"/>
      <c r="MRP678" s="37"/>
      <c r="MRQ678" s="37"/>
      <c r="MRR678" s="37"/>
      <c r="MRS678" s="37"/>
      <c r="MRT678" s="37"/>
      <c r="MRU678" s="37"/>
      <c r="MRV678" s="37"/>
      <c r="MRW678" s="37"/>
      <c r="MRX678" s="37"/>
      <c r="MRY678" s="37"/>
      <c r="MRZ678" s="37"/>
      <c r="MSA678" s="37"/>
      <c r="MSB678" s="37"/>
      <c r="MSC678" s="37"/>
      <c r="MSD678" s="37"/>
      <c r="MSE678" s="37"/>
      <c r="MSF678" s="37"/>
      <c r="MSG678" s="37"/>
      <c r="MSH678" s="37"/>
      <c r="MSI678" s="37"/>
      <c r="MSJ678" s="37"/>
      <c r="MSK678" s="37"/>
      <c r="MSL678" s="37"/>
      <c r="MSM678" s="37"/>
      <c r="MSN678" s="37"/>
      <c r="MSO678" s="37"/>
      <c r="MSP678" s="37"/>
      <c r="MSQ678" s="37"/>
      <c r="MSR678" s="37"/>
      <c r="MSS678" s="37"/>
      <c r="MST678" s="37"/>
      <c r="MSU678" s="37"/>
      <c r="MSV678" s="37"/>
      <c r="MSW678" s="37"/>
      <c r="MSX678" s="37"/>
      <c r="MSY678" s="37"/>
      <c r="MSZ678" s="37"/>
      <c r="MTA678" s="37"/>
      <c r="MTB678" s="37"/>
      <c r="MTC678" s="37"/>
      <c r="MTD678" s="37"/>
      <c r="MTE678" s="37"/>
      <c r="MTF678" s="37"/>
      <c r="MTG678" s="37"/>
      <c r="MTH678" s="37"/>
      <c r="MTI678" s="37"/>
      <c r="MTJ678" s="37"/>
      <c r="MTK678" s="37"/>
      <c r="MTL678" s="37"/>
      <c r="MTM678" s="37"/>
      <c r="MTN678" s="37"/>
      <c r="MTO678" s="37"/>
      <c r="MTP678" s="37"/>
      <c r="MTQ678" s="37"/>
      <c r="MTR678" s="37"/>
      <c r="MTS678" s="37"/>
      <c r="MTT678" s="37"/>
      <c r="MTU678" s="37"/>
      <c r="MTV678" s="37"/>
      <c r="MTW678" s="37"/>
      <c r="MTX678" s="37"/>
      <c r="MTY678" s="37"/>
      <c r="MTZ678" s="37"/>
      <c r="MUA678" s="37"/>
      <c r="MUB678" s="37"/>
      <c r="MUC678" s="37"/>
      <c r="MUD678" s="37"/>
      <c r="MUE678" s="37"/>
      <c r="MUF678" s="37"/>
      <c r="MUG678" s="37"/>
      <c r="MUH678" s="37"/>
      <c r="MUI678" s="37"/>
      <c r="MUJ678" s="37"/>
      <c r="MUK678" s="37"/>
      <c r="MUL678" s="37"/>
      <c r="MUM678" s="37"/>
      <c r="MUN678" s="37"/>
      <c r="MUO678" s="37"/>
      <c r="MUP678" s="37"/>
      <c r="MUQ678" s="37"/>
      <c r="MUR678" s="37"/>
      <c r="MUS678" s="37"/>
      <c r="MUT678" s="37"/>
      <c r="MUU678" s="37"/>
      <c r="MUV678" s="37"/>
      <c r="MUW678" s="37"/>
      <c r="MUX678" s="37"/>
      <c r="MUY678" s="37"/>
      <c r="MUZ678" s="37"/>
      <c r="MVA678" s="37"/>
      <c r="MVB678" s="37"/>
      <c r="MVC678" s="37"/>
      <c r="MVD678" s="37"/>
      <c r="MVE678" s="37"/>
      <c r="MVF678" s="37"/>
      <c r="MVG678" s="37"/>
      <c r="MVH678" s="37"/>
      <c r="MVI678" s="37"/>
      <c r="MVJ678" s="37"/>
      <c r="MVK678" s="37"/>
      <c r="MVL678" s="37"/>
      <c r="MVM678" s="37"/>
      <c r="MVN678" s="37"/>
      <c r="MVO678" s="37"/>
      <c r="MVP678" s="37"/>
      <c r="MVQ678" s="37"/>
      <c r="MVR678" s="37"/>
      <c r="MVS678" s="37"/>
      <c r="MVT678" s="37"/>
      <c r="MVU678" s="37"/>
      <c r="MVV678" s="37"/>
      <c r="MVW678" s="37"/>
      <c r="MVX678" s="37"/>
      <c r="MVY678" s="37"/>
      <c r="MVZ678" s="37"/>
      <c r="MWA678" s="37"/>
      <c r="MWB678" s="37"/>
      <c r="MWC678" s="37"/>
      <c r="MWD678" s="37"/>
      <c r="MWE678" s="37"/>
      <c r="MWF678" s="37"/>
      <c r="MWG678" s="37"/>
      <c r="MWH678" s="37"/>
      <c r="MWI678" s="37"/>
      <c r="MWJ678" s="37"/>
      <c r="MWK678" s="37"/>
      <c r="MWL678" s="37"/>
      <c r="MWM678" s="37"/>
      <c r="MWN678" s="37"/>
      <c r="MWO678" s="37"/>
      <c r="MWP678" s="37"/>
      <c r="MWQ678" s="37"/>
      <c r="MWR678" s="37"/>
      <c r="MWS678" s="37"/>
      <c r="MWT678" s="37"/>
      <c r="MWU678" s="37"/>
      <c r="MWV678" s="37"/>
      <c r="MWW678" s="37"/>
      <c r="MWX678" s="37"/>
      <c r="MWY678" s="37"/>
      <c r="MWZ678" s="37"/>
      <c r="MXA678" s="37"/>
      <c r="MXB678" s="37"/>
      <c r="MXC678" s="37"/>
      <c r="MXD678" s="37"/>
      <c r="MXE678" s="37"/>
      <c r="MXF678" s="37"/>
      <c r="MXG678" s="37"/>
      <c r="MXH678" s="37"/>
      <c r="MXI678" s="37"/>
      <c r="MXJ678" s="37"/>
      <c r="MXK678" s="37"/>
      <c r="MXL678" s="37"/>
      <c r="MXM678" s="37"/>
      <c r="MXN678" s="37"/>
      <c r="MXO678" s="37"/>
      <c r="MXP678" s="37"/>
      <c r="MXQ678" s="37"/>
      <c r="MXR678" s="37"/>
      <c r="MXS678" s="37"/>
      <c r="MXT678" s="37"/>
      <c r="MXU678" s="37"/>
      <c r="MXV678" s="37"/>
      <c r="MXW678" s="37"/>
      <c r="MXX678" s="37"/>
      <c r="MXY678" s="37"/>
      <c r="MXZ678" s="37"/>
      <c r="MYA678" s="37"/>
      <c r="MYB678" s="37"/>
      <c r="MYC678" s="37"/>
      <c r="MYD678" s="37"/>
      <c r="MYE678" s="37"/>
      <c r="MYF678" s="37"/>
      <c r="MYG678" s="37"/>
      <c r="MYH678" s="37"/>
      <c r="MYI678" s="37"/>
      <c r="MYJ678" s="37"/>
      <c r="MYK678" s="37"/>
      <c r="MYL678" s="37"/>
      <c r="MYM678" s="37"/>
      <c r="MYN678" s="37"/>
      <c r="MYO678" s="37"/>
      <c r="MYP678" s="37"/>
      <c r="MYQ678" s="37"/>
      <c r="MYR678" s="37"/>
      <c r="MYS678" s="37"/>
      <c r="MYT678" s="37"/>
      <c r="MYU678" s="37"/>
      <c r="MYV678" s="37"/>
      <c r="MYW678" s="37"/>
      <c r="MYX678" s="37"/>
      <c r="MYY678" s="37"/>
      <c r="MYZ678" s="37"/>
      <c r="MZA678" s="37"/>
      <c r="MZB678" s="37"/>
      <c r="MZC678" s="37"/>
      <c r="MZD678" s="37"/>
      <c r="MZE678" s="37"/>
      <c r="MZF678" s="37"/>
      <c r="MZG678" s="37"/>
      <c r="MZH678" s="37"/>
      <c r="MZI678" s="37"/>
      <c r="MZJ678" s="37"/>
      <c r="MZK678" s="37"/>
      <c r="MZL678" s="37"/>
      <c r="MZM678" s="37"/>
      <c r="MZN678" s="37"/>
      <c r="MZO678" s="37"/>
      <c r="MZP678" s="37"/>
      <c r="MZQ678" s="37"/>
      <c r="MZR678" s="37"/>
      <c r="MZS678" s="37"/>
      <c r="MZT678" s="37"/>
      <c r="MZU678" s="37"/>
      <c r="MZV678" s="37"/>
      <c r="MZW678" s="37"/>
      <c r="MZX678" s="37"/>
      <c r="MZY678" s="37"/>
      <c r="MZZ678" s="37"/>
      <c r="NAA678" s="37"/>
      <c r="NAB678" s="37"/>
      <c r="NAC678" s="37"/>
      <c r="NAD678" s="37"/>
      <c r="NAE678" s="37"/>
      <c r="NAF678" s="37"/>
      <c r="NAG678" s="37"/>
      <c r="NAH678" s="37"/>
      <c r="NAI678" s="37"/>
      <c r="NAJ678" s="37"/>
      <c r="NAK678" s="37"/>
      <c r="NAL678" s="37"/>
      <c r="NAM678" s="37"/>
      <c r="NAN678" s="37"/>
      <c r="NAO678" s="37"/>
      <c r="NAP678" s="37"/>
      <c r="NAQ678" s="37"/>
      <c r="NAR678" s="37"/>
      <c r="NAS678" s="37"/>
      <c r="NAT678" s="37"/>
      <c r="NAU678" s="37"/>
      <c r="NAV678" s="37"/>
      <c r="NAW678" s="37"/>
      <c r="NAX678" s="37"/>
      <c r="NAY678" s="37"/>
      <c r="NAZ678" s="37"/>
      <c r="NBA678" s="37"/>
      <c r="NBB678" s="37"/>
      <c r="NBC678" s="37"/>
      <c r="NBD678" s="37"/>
      <c r="NBE678" s="37"/>
      <c r="NBF678" s="37"/>
      <c r="NBG678" s="37"/>
      <c r="NBH678" s="37"/>
      <c r="NBI678" s="37"/>
      <c r="NBJ678" s="37"/>
      <c r="NBK678" s="37"/>
      <c r="NBL678" s="37"/>
      <c r="NBM678" s="37"/>
      <c r="NBN678" s="37"/>
      <c r="NBO678" s="37"/>
      <c r="NBP678" s="37"/>
      <c r="NBQ678" s="37"/>
      <c r="NBR678" s="37"/>
      <c r="NBS678" s="37"/>
      <c r="NBT678" s="37"/>
      <c r="NBU678" s="37"/>
      <c r="NBV678" s="37"/>
      <c r="NBW678" s="37"/>
      <c r="NBX678" s="37"/>
      <c r="NBY678" s="37"/>
      <c r="NBZ678" s="37"/>
      <c r="NCA678" s="37"/>
      <c r="NCB678" s="37"/>
      <c r="NCC678" s="37"/>
      <c r="NCD678" s="37"/>
      <c r="NCE678" s="37"/>
      <c r="NCF678" s="37"/>
      <c r="NCG678" s="37"/>
      <c r="NCH678" s="37"/>
      <c r="NCI678" s="37"/>
      <c r="NCJ678" s="37"/>
      <c r="NCK678" s="37"/>
      <c r="NCL678" s="37"/>
      <c r="NCM678" s="37"/>
      <c r="NCN678" s="37"/>
      <c r="NCO678" s="37"/>
      <c r="NCP678" s="37"/>
      <c r="NCQ678" s="37"/>
      <c r="NCR678" s="37"/>
      <c r="NCS678" s="37"/>
      <c r="NCT678" s="37"/>
      <c r="NCU678" s="37"/>
      <c r="NCV678" s="37"/>
      <c r="NCW678" s="37"/>
      <c r="NCX678" s="37"/>
      <c r="NCY678" s="37"/>
      <c r="NCZ678" s="37"/>
      <c r="NDA678" s="37"/>
      <c r="NDB678" s="37"/>
      <c r="NDC678" s="37"/>
      <c r="NDD678" s="37"/>
      <c r="NDE678" s="37"/>
      <c r="NDF678" s="37"/>
      <c r="NDG678" s="37"/>
      <c r="NDH678" s="37"/>
      <c r="NDI678" s="37"/>
      <c r="NDJ678" s="37"/>
      <c r="NDK678" s="37"/>
      <c r="NDL678" s="37"/>
      <c r="NDM678" s="37"/>
      <c r="NDN678" s="37"/>
      <c r="NDO678" s="37"/>
      <c r="NDP678" s="37"/>
      <c r="NDQ678" s="37"/>
      <c r="NDR678" s="37"/>
      <c r="NDS678" s="37"/>
      <c r="NDT678" s="37"/>
      <c r="NDU678" s="37"/>
      <c r="NDV678" s="37"/>
      <c r="NDW678" s="37"/>
      <c r="NDX678" s="37"/>
      <c r="NDY678" s="37"/>
      <c r="NDZ678" s="37"/>
      <c r="NEA678" s="37"/>
      <c r="NEB678" s="37"/>
      <c r="NEC678" s="37"/>
      <c r="NED678" s="37"/>
      <c r="NEE678" s="37"/>
      <c r="NEF678" s="37"/>
      <c r="NEG678" s="37"/>
      <c r="NEH678" s="37"/>
      <c r="NEI678" s="37"/>
      <c r="NEJ678" s="37"/>
      <c r="NEK678" s="37"/>
      <c r="NEL678" s="37"/>
      <c r="NEM678" s="37"/>
      <c r="NEN678" s="37"/>
      <c r="NEO678" s="37"/>
      <c r="NEP678" s="37"/>
      <c r="NEQ678" s="37"/>
      <c r="NER678" s="37"/>
      <c r="NES678" s="37"/>
      <c r="NET678" s="37"/>
      <c r="NEU678" s="37"/>
      <c r="NEV678" s="37"/>
      <c r="NEW678" s="37"/>
      <c r="NEX678" s="37"/>
      <c r="NEY678" s="37"/>
      <c r="NEZ678" s="37"/>
      <c r="NFA678" s="37"/>
      <c r="NFB678" s="37"/>
      <c r="NFC678" s="37"/>
      <c r="NFD678" s="37"/>
      <c r="NFE678" s="37"/>
      <c r="NFF678" s="37"/>
      <c r="NFG678" s="37"/>
      <c r="NFH678" s="37"/>
      <c r="NFI678" s="37"/>
      <c r="NFJ678" s="37"/>
      <c r="NFK678" s="37"/>
      <c r="NFL678" s="37"/>
      <c r="NFM678" s="37"/>
      <c r="NFN678" s="37"/>
      <c r="NFO678" s="37"/>
      <c r="NFP678" s="37"/>
      <c r="NFQ678" s="37"/>
      <c r="NFR678" s="37"/>
      <c r="NFS678" s="37"/>
      <c r="NFT678" s="37"/>
      <c r="NFU678" s="37"/>
      <c r="NFV678" s="37"/>
      <c r="NFW678" s="37"/>
      <c r="NFX678" s="37"/>
      <c r="NFY678" s="37"/>
      <c r="NFZ678" s="37"/>
      <c r="NGA678" s="37"/>
      <c r="NGB678" s="37"/>
      <c r="NGC678" s="37"/>
      <c r="NGD678" s="37"/>
      <c r="NGE678" s="37"/>
      <c r="NGF678" s="37"/>
      <c r="NGG678" s="37"/>
      <c r="NGH678" s="37"/>
      <c r="NGI678" s="37"/>
      <c r="NGJ678" s="37"/>
      <c r="NGK678" s="37"/>
      <c r="NGL678" s="37"/>
      <c r="NGM678" s="37"/>
      <c r="NGN678" s="37"/>
      <c r="NGO678" s="37"/>
      <c r="NGP678" s="37"/>
      <c r="NGQ678" s="37"/>
      <c r="NGR678" s="37"/>
      <c r="NGS678" s="37"/>
      <c r="NGT678" s="37"/>
      <c r="NGU678" s="37"/>
      <c r="NGV678" s="37"/>
      <c r="NGW678" s="37"/>
      <c r="NGX678" s="37"/>
      <c r="NGY678" s="37"/>
      <c r="NGZ678" s="37"/>
      <c r="NHA678" s="37"/>
      <c r="NHB678" s="37"/>
      <c r="NHC678" s="37"/>
      <c r="NHD678" s="37"/>
      <c r="NHE678" s="37"/>
      <c r="NHF678" s="37"/>
      <c r="NHG678" s="37"/>
      <c r="NHH678" s="37"/>
      <c r="NHI678" s="37"/>
      <c r="NHJ678" s="37"/>
      <c r="NHK678" s="37"/>
      <c r="NHL678" s="37"/>
      <c r="NHM678" s="37"/>
      <c r="NHN678" s="37"/>
      <c r="NHO678" s="37"/>
      <c r="NHP678" s="37"/>
      <c r="NHQ678" s="37"/>
      <c r="NHR678" s="37"/>
      <c r="NHS678" s="37"/>
      <c r="NHT678" s="37"/>
      <c r="NHU678" s="37"/>
      <c r="NHV678" s="37"/>
      <c r="NHW678" s="37"/>
      <c r="NHX678" s="37"/>
      <c r="NHY678" s="37"/>
      <c r="NHZ678" s="37"/>
      <c r="NIA678" s="37"/>
      <c r="NIB678" s="37"/>
      <c r="NIC678" s="37"/>
      <c r="NID678" s="37"/>
      <c r="NIE678" s="37"/>
      <c r="NIF678" s="37"/>
      <c r="NIG678" s="37"/>
      <c r="NIH678" s="37"/>
      <c r="NII678" s="37"/>
      <c r="NIJ678" s="37"/>
      <c r="NIK678" s="37"/>
      <c r="NIL678" s="37"/>
      <c r="NIM678" s="37"/>
      <c r="NIN678" s="37"/>
      <c r="NIO678" s="37"/>
      <c r="NIP678" s="37"/>
      <c r="NIQ678" s="37"/>
      <c r="NIR678" s="37"/>
      <c r="NIS678" s="37"/>
      <c r="NIT678" s="37"/>
      <c r="NIU678" s="37"/>
      <c r="NIV678" s="37"/>
      <c r="NIW678" s="37"/>
      <c r="NIX678" s="37"/>
      <c r="NIY678" s="37"/>
      <c r="NIZ678" s="37"/>
      <c r="NJA678" s="37"/>
      <c r="NJB678" s="37"/>
      <c r="NJC678" s="37"/>
      <c r="NJD678" s="37"/>
      <c r="NJE678" s="37"/>
      <c r="NJF678" s="37"/>
      <c r="NJG678" s="37"/>
      <c r="NJH678" s="37"/>
      <c r="NJI678" s="37"/>
      <c r="NJJ678" s="37"/>
      <c r="NJK678" s="37"/>
      <c r="NJL678" s="37"/>
      <c r="NJM678" s="37"/>
      <c r="NJN678" s="37"/>
      <c r="NJO678" s="37"/>
      <c r="NJP678" s="37"/>
      <c r="NJQ678" s="37"/>
      <c r="NJR678" s="37"/>
      <c r="NJS678" s="37"/>
      <c r="NJT678" s="37"/>
      <c r="NJU678" s="37"/>
      <c r="NJV678" s="37"/>
      <c r="NJW678" s="37"/>
      <c r="NJX678" s="37"/>
      <c r="NJY678" s="37"/>
      <c r="NJZ678" s="37"/>
      <c r="NKA678" s="37"/>
      <c r="NKB678" s="37"/>
      <c r="NKC678" s="37"/>
      <c r="NKD678" s="37"/>
      <c r="NKE678" s="37"/>
      <c r="NKF678" s="37"/>
      <c r="NKG678" s="37"/>
      <c r="NKH678" s="37"/>
      <c r="NKI678" s="37"/>
      <c r="NKJ678" s="37"/>
      <c r="NKK678" s="37"/>
      <c r="NKL678" s="37"/>
      <c r="NKM678" s="37"/>
      <c r="NKN678" s="37"/>
      <c r="NKO678" s="37"/>
      <c r="NKP678" s="37"/>
      <c r="NKQ678" s="37"/>
      <c r="NKR678" s="37"/>
      <c r="NKS678" s="37"/>
      <c r="NKT678" s="37"/>
      <c r="NKU678" s="37"/>
      <c r="NKV678" s="37"/>
      <c r="NKW678" s="37"/>
      <c r="NKX678" s="37"/>
      <c r="NKY678" s="37"/>
      <c r="NKZ678" s="37"/>
      <c r="NLA678" s="37"/>
      <c r="NLB678" s="37"/>
      <c r="NLC678" s="37"/>
      <c r="NLD678" s="37"/>
      <c r="NLE678" s="37"/>
      <c r="NLF678" s="37"/>
      <c r="NLG678" s="37"/>
      <c r="NLH678" s="37"/>
      <c r="NLI678" s="37"/>
      <c r="NLJ678" s="37"/>
      <c r="NLK678" s="37"/>
      <c r="NLL678" s="37"/>
      <c r="NLM678" s="37"/>
      <c r="NLN678" s="37"/>
      <c r="NLO678" s="37"/>
      <c r="NLP678" s="37"/>
      <c r="NLQ678" s="37"/>
      <c r="NLR678" s="37"/>
      <c r="NLS678" s="37"/>
      <c r="NLT678" s="37"/>
      <c r="NLU678" s="37"/>
      <c r="NLV678" s="37"/>
      <c r="NLW678" s="37"/>
      <c r="NLX678" s="37"/>
      <c r="NLY678" s="37"/>
      <c r="NLZ678" s="37"/>
      <c r="NMA678" s="37"/>
      <c r="NMB678" s="37"/>
      <c r="NMC678" s="37"/>
      <c r="NMD678" s="37"/>
      <c r="NME678" s="37"/>
      <c r="NMF678" s="37"/>
      <c r="NMG678" s="37"/>
      <c r="NMH678" s="37"/>
      <c r="NMI678" s="37"/>
      <c r="NMJ678" s="37"/>
      <c r="NMK678" s="37"/>
      <c r="NML678" s="37"/>
      <c r="NMM678" s="37"/>
      <c r="NMN678" s="37"/>
      <c r="NMO678" s="37"/>
      <c r="NMP678" s="37"/>
      <c r="NMQ678" s="37"/>
      <c r="NMR678" s="37"/>
      <c r="NMS678" s="37"/>
      <c r="NMT678" s="37"/>
      <c r="NMU678" s="37"/>
      <c r="NMV678" s="37"/>
      <c r="NMW678" s="37"/>
      <c r="NMX678" s="37"/>
      <c r="NMY678" s="37"/>
      <c r="NMZ678" s="37"/>
      <c r="NNA678" s="37"/>
      <c r="NNB678" s="37"/>
      <c r="NNC678" s="37"/>
      <c r="NND678" s="37"/>
      <c r="NNE678" s="37"/>
      <c r="NNF678" s="37"/>
      <c r="NNG678" s="37"/>
      <c r="NNH678" s="37"/>
      <c r="NNI678" s="37"/>
      <c r="NNJ678" s="37"/>
      <c r="NNK678" s="37"/>
      <c r="NNL678" s="37"/>
      <c r="NNM678" s="37"/>
      <c r="NNN678" s="37"/>
      <c r="NNO678" s="37"/>
      <c r="NNP678" s="37"/>
      <c r="NNQ678" s="37"/>
      <c r="NNR678" s="37"/>
      <c r="NNS678" s="37"/>
      <c r="NNT678" s="37"/>
      <c r="NNU678" s="37"/>
      <c r="NNV678" s="37"/>
      <c r="NNW678" s="37"/>
      <c r="NNX678" s="37"/>
      <c r="NNY678" s="37"/>
      <c r="NNZ678" s="37"/>
      <c r="NOA678" s="37"/>
      <c r="NOB678" s="37"/>
      <c r="NOC678" s="37"/>
      <c r="NOD678" s="37"/>
      <c r="NOE678" s="37"/>
      <c r="NOF678" s="37"/>
      <c r="NOG678" s="37"/>
      <c r="NOH678" s="37"/>
      <c r="NOI678" s="37"/>
      <c r="NOJ678" s="37"/>
      <c r="NOK678" s="37"/>
      <c r="NOL678" s="37"/>
      <c r="NOM678" s="37"/>
      <c r="NON678" s="37"/>
      <c r="NOO678" s="37"/>
      <c r="NOP678" s="37"/>
      <c r="NOQ678" s="37"/>
      <c r="NOR678" s="37"/>
      <c r="NOS678" s="37"/>
      <c r="NOT678" s="37"/>
      <c r="NOU678" s="37"/>
      <c r="NOV678" s="37"/>
      <c r="NOW678" s="37"/>
      <c r="NOX678" s="37"/>
      <c r="NOY678" s="37"/>
      <c r="NOZ678" s="37"/>
      <c r="NPA678" s="37"/>
      <c r="NPB678" s="37"/>
      <c r="NPC678" s="37"/>
      <c r="NPD678" s="37"/>
      <c r="NPE678" s="37"/>
      <c r="NPF678" s="37"/>
      <c r="NPG678" s="37"/>
      <c r="NPH678" s="37"/>
      <c r="NPI678" s="37"/>
      <c r="NPJ678" s="37"/>
      <c r="NPK678" s="37"/>
      <c r="NPL678" s="37"/>
      <c r="NPM678" s="37"/>
      <c r="NPN678" s="37"/>
      <c r="NPO678" s="37"/>
      <c r="NPP678" s="37"/>
      <c r="NPQ678" s="37"/>
      <c r="NPR678" s="37"/>
      <c r="NPS678" s="37"/>
      <c r="NPT678" s="37"/>
      <c r="NPU678" s="37"/>
      <c r="NPV678" s="37"/>
      <c r="NPW678" s="37"/>
      <c r="NPX678" s="37"/>
      <c r="NPY678" s="37"/>
      <c r="NPZ678" s="37"/>
      <c r="NQA678" s="37"/>
      <c r="NQB678" s="37"/>
      <c r="NQC678" s="37"/>
      <c r="NQD678" s="37"/>
      <c r="NQE678" s="37"/>
      <c r="NQF678" s="37"/>
      <c r="NQG678" s="37"/>
      <c r="NQH678" s="37"/>
      <c r="NQI678" s="37"/>
      <c r="NQJ678" s="37"/>
      <c r="NQK678" s="37"/>
      <c r="NQL678" s="37"/>
      <c r="NQM678" s="37"/>
      <c r="NQN678" s="37"/>
      <c r="NQO678" s="37"/>
      <c r="NQP678" s="37"/>
      <c r="NQQ678" s="37"/>
      <c r="NQR678" s="37"/>
      <c r="NQS678" s="37"/>
      <c r="NQT678" s="37"/>
      <c r="NQU678" s="37"/>
      <c r="NQV678" s="37"/>
      <c r="NQW678" s="37"/>
      <c r="NQX678" s="37"/>
      <c r="NQY678" s="37"/>
      <c r="NQZ678" s="37"/>
      <c r="NRA678" s="37"/>
      <c r="NRB678" s="37"/>
      <c r="NRC678" s="37"/>
      <c r="NRD678" s="37"/>
      <c r="NRE678" s="37"/>
      <c r="NRF678" s="37"/>
      <c r="NRG678" s="37"/>
      <c r="NRH678" s="37"/>
      <c r="NRI678" s="37"/>
      <c r="NRJ678" s="37"/>
      <c r="NRK678" s="37"/>
      <c r="NRL678" s="37"/>
      <c r="NRM678" s="37"/>
      <c r="NRN678" s="37"/>
      <c r="NRO678" s="37"/>
      <c r="NRP678" s="37"/>
      <c r="NRQ678" s="37"/>
      <c r="NRR678" s="37"/>
      <c r="NRS678" s="37"/>
      <c r="NRT678" s="37"/>
      <c r="NRU678" s="37"/>
      <c r="NRV678" s="37"/>
      <c r="NRW678" s="37"/>
      <c r="NRX678" s="37"/>
      <c r="NRY678" s="37"/>
      <c r="NRZ678" s="37"/>
      <c r="NSA678" s="37"/>
      <c r="NSB678" s="37"/>
      <c r="NSC678" s="37"/>
      <c r="NSD678" s="37"/>
      <c r="NSE678" s="37"/>
      <c r="NSF678" s="37"/>
      <c r="NSG678" s="37"/>
      <c r="NSH678" s="37"/>
      <c r="NSI678" s="37"/>
      <c r="NSJ678" s="37"/>
      <c r="NSK678" s="37"/>
      <c r="NSL678" s="37"/>
      <c r="NSM678" s="37"/>
      <c r="NSN678" s="37"/>
      <c r="NSO678" s="37"/>
      <c r="NSP678" s="37"/>
      <c r="NSQ678" s="37"/>
      <c r="NSR678" s="37"/>
      <c r="NSS678" s="37"/>
      <c r="NST678" s="37"/>
      <c r="NSU678" s="37"/>
      <c r="NSV678" s="37"/>
      <c r="NSW678" s="37"/>
      <c r="NSX678" s="37"/>
      <c r="NSY678" s="37"/>
      <c r="NSZ678" s="37"/>
      <c r="NTA678" s="37"/>
      <c r="NTB678" s="37"/>
      <c r="NTC678" s="37"/>
      <c r="NTD678" s="37"/>
      <c r="NTE678" s="37"/>
      <c r="NTF678" s="37"/>
      <c r="NTG678" s="37"/>
      <c r="NTH678" s="37"/>
      <c r="NTI678" s="37"/>
      <c r="NTJ678" s="37"/>
      <c r="NTK678" s="37"/>
      <c r="NTL678" s="37"/>
      <c r="NTM678" s="37"/>
      <c r="NTN678" s="37"/>
      <c r="NTO678" s="37"/>
      <c r="NTP678" s="37"/>
      <c r="NTQ678" s="37"/>
      <c r="NTR678" s="37"/>
      <c r="NTS678" s="37"/>
      <c r="NTT678" s="37"/>
      <c r="NTU678" s="37"/>
      <c r="NTV678" s="37"/>
      <c r="NTW678" s="37"/>
      <c r="NTX678" s="37"/>
      <c r="NTY678" s="37"/>
      <c r="NTZ678" s="37"/>
      <c r="NUA678" s="37"/>
      <c r="NUB678" s="37"/>
      <c r="NUC678" s="37"/>
      <c r="NUD678" s="37"/>
      <c r="NUE678" s="37"/>
      <c r="NUF678" s="37"/>
      <c r="NUG678" s="37"/>
      <c r="NUH678" s="37"/>
      <c r="NUI678" s="37"/>
      <c r="NUJ678" s="37"/>
      <c r="NUK678" s="37"/>
      <c r="NUL678" s="37"/>
      <c r="NUM678" s="37"/>
      <c r="NUN678" s="37"/>
      <c r="NUO678" s="37"/>
      <c r="NUP678" s="37"/>
      <c r="NUQ678" s="37"/>
      <c r="NUR678" s="37"/>
      <c r="NUS678" s="37"/>
      <c r="NUT678" s="37"/>
      <c r="NUU678" s="37"/>
      <c r="NUV678" s="37"/>
      <c r="NUW678" s="37"/>
      <c r="NUX678" s="37"/>
      <c r="NUY678" s="37"/>
      <c r="NUZ678" s="37"/>
      <c r="NVA678" s="37"/>
      <c r="NVB678" s="37"/>
      <c r="NVC678" s="37"/>
      <c r="NVD678" s="37"/>
      <c r="NVE678" s="37"/>
      <c r="NVF678" s="37"/>
      <c r="NVG678" s="37"/>
      <c r="NVH678" s="37"/>
      <c r="NVI678" s="37"/>
      <c r="NVJ678" s="37"/>
      <c r="NVK678" s="37"/>
      <c r="NVL678" s="37"/>
      <c r="NVM678" s="37"/>
      <c r="NVN678" s="37"/>
      <c r="NVO678" s="37"/>
      <c r="NVP678" s="37"/>
      <c r="NVQ678" s="37"/>
      <c r="NVR678" s="37"/>
      <c r="NVS678" s="37"/>
      <c r="NVT678" s="37"/>
      <c r="NVU678" s="37"/>
      <c r="NVV678" s="37"/>
      <c r="NVW678" s="37"/>
      <c r="NVX678" s="37"/>
      <c r="NVY678" s="37"/>
      <c r="NVZ678" s="37"/>
      <c r="NWA678" s="37"/>
      <c r="NWB678" s="37"/>
      <c r="NWC678" s="37"/>
      <c r="NWD678" s="37"/>
      <c r="NWE678" s="37"/>
      <c r="NWF678" s="37"/>
      <c r="NWG678" s="37"/>
      <c r="NWH678" s="37"/>
      <c r="NWI678" s="37"/>
      <c r="NWJ678" s="37"/>
      <c r="NWK678" s="37"/>
      <c r="NWL678" s="37"/>
      <c r="NWM678" s="37"/>
      <c r="NWN678" s="37"/>
      <c r="NWO678" s="37"/>
      <c r="NWP678" s="37"/>
      <c r="NWQ678" s="37"/>
      <c r="NWR678" s="37"/>
      <c r="NWS678" s="37"/>
      <c r="NWT678" s="37"/>
      <c r="NWU678" s="37"/>
      <c r="NWV678" s="37"/>
      <c r="NWW678" s="37"/>
      <c r="NWX678" s="37"/>
      <c r="NWY678" s="37"/>
      <c r="NWZ678" s="37"/>
      <c r="NXA678" s="37"/>
      <c r="NXB678" s="37"/>
      <c r="NXC678" s="37"/>
      <c r="NXD678" s="37"/>
      <c r="NXE678" s="37"/>
      <c r="NXF678" s="37"/>
      <c r="NXG678" s="37"/>
      <c r="NXH678" s="37"/>
      <c r="NXI678" s="37"/>
      <c r="NXJ678" s="37"/>
      <c r="NXK678" s="37"/>
      <c r="NXL678" s="37"/>
      <c r="NXM678" s="37"/>
      <c r="NXN678" s="37"/>
      <c r="NXO678" s="37"/>
      <c r="NXP678" s="37"/>
      <c r="NXQ678" s="37"/>
      <c r="NXR678" s="37"/>
      <c r="NXS678" s="37"/>
      <c r="NXT678" s="37"/>
      <c r="NXU678" s="37"/>
      <c r="NXV678" s="37"/>
      <c r="NXW678" s="37"/>
      <c r="NXX678" s="37"/>
      <c r="NXY678" s="37"/>
      <c r="NXZ678" s="37"/>
      <c r="NYA678" s="37"/>
      <c r="NYB678" s="37"/>
      <c r="NYC678" s="37"/>
      <c r="NYD678" s="37"/>
      <c r="NYE678" s="37"/>
      <c r="NYF678" s="37"/>
      <c r="NYG678" s="37"/>
      <c r="NYH678" s="37"/>
      <c r="NYI678" s="37"/>
      <c r="NYJ678" s="37"/>
      <c r="NYK678" s="37"/>
      <c r="NYL678" s="37"/>
      <c r="NYM678" s="37"/>
      <c r="NYN678" s="37"/>
      <c r="NYO678" s="37"/>
      <c r="NYP678" s="37"/>
      <c r="NYQ678" s="37"/>
      <c r="NYR678" s="37"/>
      <c r="NYS678" s="37"/>
      <c r="NYT678" s="37"/>
      <c r="NYU678" s="37"/>
      <c r="NYV678" s="37"/>
      <c r="NYW678" s="37"/>
      <c r="NYX678" s="37"/>
      <c r="NYY678" s="37"/>
      <c r="NYZ678" s="37"/>
      <c r="NZA678" s="37"/>
      <c r="NZB678" s="37"/>
      <c r="NZC678" s="37"/>
      <c r="NZD678" s="37"/>
      <c r="NZE678" s="37"/>
      <c r="NZF678" s="37"/>
      <c r="NZG678" s="37"/>
      <c r="NZH678" s="37"/>
      <c r="NZI678" s="37"/>
      <c r="NZJ678" s="37"/>
      <c r="NZK678" s="37"/>
      <c r="NZL678" s="37"/>
      <c r="NZM678" s="37"/>
      <c r="NZN678" s="37"/>
      <c r="NZO678" s="37"/>
      <c r="NZP678" s="37"/>
      <c r="NZQ678" s="37"/>
      <c r="NZR678" s="37"/>
      <c r="NZS678" s="37"/>
      <c r="NZT678" s="37"/>
      <c r="NZU678" s="37"/>
      <c r="NZV678" s="37"/>
      <c r="NZW678" s="37"/>
      <c r="NZX678" s="37"/>
      <c r="NZY678" s="37"/>
      <c r="NZZ678" s="37"/>
      <c r="OAA678" s="37"/>
      <c r="OAB678" s="37"/>
      <c r="OAC678" s="37"/>
      <c r="OAD678" s="37"/>
      <c r="OAE678" s="37"/>
      <c r="OAF678" s="37"/>
      <c r="OAG678" s="37"/>
      <c r="OAH678" s="37"/>
      <c r="OAI678" s="37"/>
      <c r="OAJ678" s="37"/>
      <c r="OAK678" s="37"/>
      <c r="OAL678" s="37"/>
      <c r="OAM678" s="37"/>
      <c r="OAN678" s="37"/>
      <c r="OAO678" s="37"/>
      <c r="OAP678" s="37"/>
      <c r="OAQ678" s="37"/>
      <c r="OAR678" s="37"/>
      <c r="OAS678" s="37"/>
      <c r="OAT678" s="37"/>
      <c r="OAU678" s="37"/>
      <c r="OAV678" s="37"/>
      <c r="OAW678" s="37"/>
      <c r="OAX678" s="37"/>
      <c r="OAY678" s="37"/>
      <c r="OAZ678" s="37"/>
      <c r="OBA678" s="37"/>
      <c r="OBB678" s="37"/>
      <c r="OBC678" s="37"/>
      <c r="OBD678" s="37"/>
      <c r="OBE678" s="37"/>
      <c r="OBF678" s="37"/>
      <c r="OBG678" s="37"/>
      <c r="OBH678" s="37"/>
      <c r="OBI678" s="37"/>
      <c r="OBJ678" s="37"/>
      <c r="OBK678" s="37"/>
      <c r="OBL678" s="37"/>
      <c r="OBM678" s="37"/>
      <c r="OBN678" s="37"/>
      <c r="OBO678" s="37"/>
      <c r="OBP678" s="37"/>
      <c r="OBQ678" s="37"/>
      <c r="OBR678" s="37"/>
      <c r="OBS678" s="37"/>
      <c r="OBT678" s="37"/>
      <c r="OBU678" s="37"/>
      <c r="OBV678" s="37"/>
      <c r="OBW678" s="37"/>
      <c r="OBX678" s="37"/>
      <c r="OBY678" s="37"/>
      <c r="OBZ678" s="37"/>
      <c r="OCA678" s="37"/>
      <c r="OCB678" s="37"/>
      <c r="OCC678" s="37"/>
      <c r="OCD678" s="37"/>
      <c r="OCE678" s="37"/>
      <c r="OCF678" s="37"/>
      <c r="OCG678" s="37"/>
      <c r="OCH678" s="37"/>
      <c r="OCI678" s="37"/>
      <c r="OCJ678" s="37"/>
      <c r="OCK678" s="37"/>
      <c r="OCL678" s="37"/>
      <c r="OCM678" s="37"/>
      <c r="OCN678" s="37"/>
      <c r="OCO678" s="37"/>
      <c r="OCP678" s="37"/>
      <c r="OCQ678" s="37"/>
      <c r="OCR678" s="37"/>
      <c r="OCS678" s="37"/>
      <c r="OCT678" s="37"/>
      <c r="OCU678" s="37"/>
      <c r="OCV678" s="37"/>
      <c r="OCW678" s="37"/>
      <c r="OCX678" s="37"/>
      <c r="OCY678" s="37"/>
      <c r="OCZ678" s="37"/>
      <c r="ODA678" s="37"/>
      <c r="ODB678" s="37"/>
      <c r="ODC678" s="37"/>
      <c r="ODD678" s="37"/>
      <c r="ODE678" s="37"/>
      <c r="ODF678" s="37"/>
      <c r="ODG678" s="37"/>
      <c r="ODH678" s="37"/>
      <c r="ODI678" s="37"/>
      <c r="ODJ678" s="37"/>
      <c r="ODK678" s="37"/>
      <c r="ODL678" s="37"/>
      <c r="ODM678" s="37"/>
      <c r="ODN678" s="37"/>
      <c r="ODO678" s="37"/>
      <c r="ODP678" s="37"/>
      <c r="ODQ678" s="37"/>
      <c r="ODR678" s="37"/>
      <c r="ODS678" s="37"/>
      <c r="ODT678" s="37"/>
      <c r="ODU678" s="37"/>
      <c r="ODV678" s="37"/>
      <c r="ODW678" s="37"/>
      <c r="ODX678" s="37"/>
      <c r="ODY678" s="37"/>
      <c r="ODZ678" s="37"/>
      <c r="OEA678" s="37"/>
      <c r="OEB678" s="37"/>
      <c r="OEC678" s="37"/>
      <c r="OED678" s="37"/>
      <c r="OEE678" s="37"/>
      <c r="OEF678" s="37"/>
      <c r="OEG678" s="37"/>
      <c r="OEH678" s="37"/>
      <c r="OEI678" s="37"/>
      <c r="OEJ678" s="37"/>
      <c r="OEK678" s="37"/>
      <c r="OEL678" s="37"/>
      <c r="OEM678" s="37"/>
      <c r="OEN678" s="37"/>
      <c r="OEO678" s="37"/>
      <c r="OEP678" s="37"/>
      <c r="OEQ678" s="37"/>
      <c r="OER678" s="37"/>
      <c r="OES678" s="37"/>
      <c r="OET678" s="37"/>
      <c r="OEU678" s="37"/>
      <c r="OEV678" s="37"/>
      <c r="OEW678" s="37"/>
      <c r="OEX678" s="37"/>
      <c r="OEY678" s="37"/>
      <c r="OEZ678" s="37"/>
      <c r="OFA678" s="37"/>
      <c r="OFB678" s="37"/>
      <c r="OFC678" s="37"/>
      <c r="OFD678" s="37"/>
      <c r="OFE678" s="37"/>
      <c r="OFF678" s="37"/>
      <c r="OFG678" s="37"/>
      <c r="OFH678" s="37"/>
      <c r="OFI678" s="37"/>
      <c r="OFJ678" s="37"/>
      <c r="OFK678" s="37"/>
      <c r="OFL678" s="37"/>
      <c r="OFM678" s="37"/>
      <c r="OFN678" s="37"/>
      <c r="OFO678" s="37"/>
      <c r="OFP678" s="37"/>
      <c r="OFQ678" s="37"/>
      <c r="OFR678" s="37"/>
      <c r="OFS678" s="37"/>
      <c r="OFT678" s="37"/>
      <c r="OFU678" s="37"/>
      <c r="OFV678" s="37"/>
      <c r="OFW678" s="37"/>
      <c r="OFX678" s="37"/>
      <c r="OFY678" s="37"/>
      <c r="OFZ678" s="37"/>
      <c r="OGA678" s="37"/>
      <c r="OGB678" s="37"/>
      <c r="OGC678" s="37"/>
      <c r="OGD678" s="37"/>
      <c r="OGE678" s="37"/>
      <c r="OGF678" s="37"/>
      <c r="OGG678" s="37"/>
      <c r="OGH678" s="37"/>
      <c r="OGI678" s="37"/>
      <c r="OGJ678" s="37"/>
      <c r="OGK678" s="37"/>
      <c r="OGL678" s="37"/>
      <c r="OGM678" s="37"/>
      <c r="OGN678" s="37"/>
      <c r="OGO678" s="37"/>
      <c r="OGP678" s="37"/>
      <c r="OGQ678" s="37"/>
      <c r="OGR678" s="37"/>
      <c r="OGS678" s="37"/>
      <c r="OGT678" s="37"/>
      <c r="OGU678" s="37"/>
      <c r="OGV678" s="37"/>
      <c r="OGW678" s="37"/>
      <c r="OGX678" s="37"/>
      <c r="OGY678" s="37"/>
      <c r="OGZ678" s="37"/>
      <c r="OHA678" s="37"/>
      <c r="OHB678" s="37"/>
      <c r="OHC678" s="37"/>
      <c r="OHD678" s="37"/>
      <c r="OHE678" s="37"/>
      <c r="OHF678" s="37"/>
      <c r="OHG678" s="37"/>
      <c r="OHH678" s="37"/>
      <c r="OHI678" s="37"/>
      <c r="OHJ678" s="37"/>
      <c r="OHK678" s="37"/>
      <c r="OHL678" s="37"/>
      <c r="OHM678" s="37"/>
      <c r="OHN678" s="37"/>
      <c r="OHO678" s="37"/>
      <c r="OHP678" s="37"/>
      <c r="OHQ678" s="37"/>
      <c r="OHR678" s="37"/>
      <c r="OHS678" s="37"/>
      <c r="OHT678" s="37"/>
      <c r="OHU678" s="37"/>
      <c r="OHV678" s="37"/>
      <c r="OHW678" s="37"/>
      <c r="OHX678" s="37"/>
      <c r="OHY678" s="37"/>
      <c r="OHZ678" s="37"/>
      <c r="OIA678" s="37"/>
      <c r="OIB678" s="37"/>
      <c r="OIC678" s="37"/>
      <c r="OID678" s="37"/>
      <c r="OIE678" s="37"/>
      <c r="OIF678" s="37"/>
      <c r="OIG678" s="37"/>
      <c r="OIH678" s="37"/>
      <c r="OII678" s="37"/>
      <c r="OIJ678" s="37"/>
      <c r="OIK678" s="37"/>
      <c r="OIL678" s="37"/>
      <c r="OIM678" s="37"/>
      <c r="OIN678" s="37"/>
      <c r="OIO678" s="37"/>
      <c r="OIP678" s="37"/>
      <c r="OIQ678" s="37"/>
      <c r="OIR678" s="37"/>
      <c r="OIS678" s="37"/>
      <c r="OIT678" s="37"/>
      <c r="OIU678" s="37"/>
      <c r="OIV678" s="37"/>
      <c r="OIW678" s="37"/>
      <c r="OIX678" s="37"/>
      <c r="OIY678" s="37"/>
      <c r="OIZ678" s="37"/>
      <c r="OJA678" s="37"/>
      <c r="OJB678" s="37"/>
      <c r="OJC678" s="37"/>
      <c r="OJD678" s="37"/>
      <c r="OJE678" s="37"/>
      <c r="OJF678" s="37"/>
      <c r="OJG678" s="37"/>
      <c r="OJH678" s="37"/>
      <c r="OJI678" s="37"/>
      <c r="OJJ678" s="37"/>
      <c r="OJK678" s="37"/>
      <c r="OJL678" s="37"/>
      <c r="OJM678" s="37"/>
      <c r="OJN678" s="37"/>
      <c r="OJO678" s="37"/>
      <c r="OJP678" s="37"/>
      <c r="OJQ678" s="37"/>
      <c r="OJR678" s="37"/>
      <c r="OJS678" s="37"/>
      <c r="OJT678" s="37"/>
      <c r="OJU678" s="37"/>
      <c r="OJV678" s="37"/>
      <c r="OJW678" s="37"/>
      <c r="OJX678" s="37"/>
      <c r="OJY678" s="37"/>
      <c r="OJZ678" s="37"/>
      <c r="OKA678" s="37"/>
      <c r="OKB678" s="37"/>
      <c r="OKC678" s="37"/>
      <c r="OKD678" s="37"/>
      <c r="OKE678" s="37"/>
      <c r="OKF678" s="37"/>
      <c r="OKG678" s="37"/>
      <c r="OKH678" s="37"/>
      <c r="OKI678" s="37"/>
      <c r="OKJ678" s="37"/>
      <c r="OKK678" s="37"/>
      <c r="OKL678" s="37"/>
      <c r="OKM678" s="37"/>
      <c r="OKN678" s="37"/>
      <c r="OKO678" s="37"/>
      <c r="OKP678" s="37"/>
      <c r="OKQ678" s="37"/>
      <c r="OKR678" s="37"/>
      <c r="OKS678" s="37"/>
      <c r="OKT678" s="37"/>
      <c r="OKU678" s="37"/>
      <c r="OKV678" s="37"/>
      <c r="OKW678" s="37"/>
      <c r="OKX678" s="37"/>
      <c r="OKY678" s="37"/>
      <c r="OKZ678" s="37"/>
      <c r="OLA678" s="37"/>
      <c r="OLB678" s="37"/>
      <c r="OLC678" s="37"/>
      <c r="OLD678" s="37"/>
      <c r="OLE678" s="37"/>
      <c r="OLF678" s="37"/>
      <c r="OLG678" s="37"/>
      <c r="OLH678" s="37"/>
      <c r="OLI678" s="37"/>
      <c r="OLJ678" s="37"/>
      <c r="OLK678" s="37"/>
      <c r="OLL678" s="37"/>
      <c r="OLM678" s="37"/>
      <c r="OLN678" s="37"/>
      <c r="OLO678" s="37"/>
      <c r="OLP678" s="37"/>
      <c r="OLQ678" s="37"/>
      <c r="OLR678" s="37"/>
      <c r="OLS678" s="37"/>
      <c r="OLT678" s="37"/>
      <c r="OLU678" s="37"/>
      <c r="OLV678" s="37"/>
      <c r="OLW678" s="37"/>
      <c r="OLX678" s="37"/>
      <c r="OLY678" s="37"/>
      <c r="OLZ678" s="37"/>
      <c r="OMA678" s="37"/>
      <c r="OMB678" s="37"/>
      <c r="OMC678" s="37"/>
      <c r="OMD678" s="37"/>
      <c r="OME678" s="37"/>
      <c r="OMF678" s="37"/>
      <c r="OMG678" s="37"/>
      <c r="OMH678" s="37"/>
      <c r="OMI678" s="37"/>
      <c r="OMJ678" s="37"/>
      <c r="OMK678" s="37"/>
      <c r="OML678" s="37"/>
      <c r="OMM678" s="37"/>
      <c r="OMN678" s="37"/>
      <c r="OMO678" s="37"/>
      <c r="OMP678" s="37"/>
      <c r="OMQ678" s="37"/>
      <c r="OMR678" s="37"/>
      <c r="OMS678" s="37"/>
      <c r="OMT678" s="37"/>
      <c r="OMU678" s="37"/>
      <c r="OMV678" s="37"/>
      <c r="OMW678" s="37"/>
      <c r="OMX678" s="37"/>
      <c r="OMY678" s="37"/>
      <c r="OMZ678" s="37"/>
      <c r="ONA678" s="37"/>
      <c r="ONB678" s="37"/>
      <c r="ONC678" s="37"/>
      <c r="OND678" s="37"/>
      <c r="ONE678" s="37"/>
      <c r="ONF678" s="37"/>
      <c r="ONG678" s="37"/>
      <c r="ONH678" s="37"/>
      <c r="ONI678" s="37"/>
      <c r="ONJ678" s="37"/>
      <c r="ONK678" s="37"/>
      <c r="ONL678" s="37"/>
      <c r="ONM678" s="37"/>
      <c r="ONN678" s="37"/>
      <c r="ONO678" s="37"/>
      <c r="ONP678" s="37"/>
      <c r="ONQ678" s="37"/>
      <c r="ONR678" s="37"/>
      <c r="ONS678" s="37"/>
      <c r="ONT678" s="37"/>
      <c r="ONU678" s="37"/>
      <c r="ONV678" s="37"/>
      <c r="ONW678" s="37"/>
      <c r="ONX678" s="37"/>
      <c r="ONY678" s="37"/>
      <c r="ONZ678" s="37"/>
      <c r="OOA678" s="37"/>
      <c r="OOB678" s="37"/>
      <c r="OOC678" s="37"/>
      <c r="OOD678" s="37"/>
      <c r="OOE678" s="37"/>
      <c r="OOF678" s="37"/>
      <c r="OOG678" s="37"/>
      <c r="OOH678" s="37"/>
      <c r="OOI678" s="37"/>
      <c r="OOJ678" s="37"/>
      <c r="OOK678" s="37"/>
      <c r="OOL678" s="37"/>
      <c r="OOM678" s="37"/>
      <c r="OON678" s="37"/>
      <c r="OOO678" s="37"/>
      <c r="OOP678" s="37"/>
      <c r="OOQ678" s="37"/>
      <c r="OOR678" s="37"/>
      <c r="OOS678" s="37"/>
      <c r="OOT678" s="37"/>
      <c r="OOU678" s="37"/>
      <c r="OOV678" s="37"/>
      <c r="OOW678" s="37"/>
      <c r="OOX678" s="37"/>
      <c r="OOY678" s="37"/>
      <c r="OOZ678" s="37"/>
      <c r="OPA678" s="37"/>
      <c r="OPB678" s="37"/>
      <c r="OPC678" s="37"/>
      <c r="OPD678" s="37"/>
      <c r="OPE678" s="37"/>
      <c r="OPF678" s="37"/>
      <c r="OPG678" s="37"/>
      <c r="OPH678" s="37"/>
      <c r="OPI678" s="37"/>
      <c r="OPJ678" s="37"/>
      <c r="OPK678" s="37"/>
      <c r="OPL678" s="37"/>
      <c r="OPM678" s="37"/>
      <c r="OPN678" s="37"/>
      <c r="OPO678" s="37"/>
      <c r="OPP678" s="37"/>
      <c r="OPQ678" s="37"/>
      <c r="OPR678" s="37"/>
      <c r="OPS678" s="37"/>
      <c r="OPT678" s="37"/>
      <c r="OPU678" s="37"/>
      <c r="OPV678" s="37"/>
      <c r="OPW678" s="37"/>
      <c r="OPX678" s="37"/>
      <c r="OPY678" s="37"/>
      <c r="OPZ678" s="37"/>
      <c r="OQA678" s="37"/>
      <c r="OQB678" s="37"/>
      <c r="OQC678" s="37"/>
      <c r="OQD678" s="37"/>
      <c r="OQE678" s="37"/>
      <c r="OQF678" s="37"/>
      <c r="OQG678" s="37"/>
      <c r="OQH678" s="37"/>
      <c r="OQI678" s="37"/>
      <c r="OQJ678" s="37"/>
      <c r="OQK678" s="37"/>
      <c r="OQL678" s="37"/>
      <c r="OQM678" s="37"/>
      <c r="OQN678" s="37"/>
      <c r="OQO678" s="37"/>
      <c r="OQP678" s="37"/>
      <c r="OQQ678" s="37"/>
      <c r="OQR678" s="37"/>
      <c r="OQS678" s="37"/>
      <c r="OQT678" s="37"/>
      <c r="OQU678" s="37"/>
      <c r="OQV678" s="37"/>
      <c r="OQW678" s="37"/>
      <c r="OQX678" s="37"/>
      <c r="OQY678" s="37"/>
      <c r="OQZ678" s="37"/>
      <c r="ORA678" s="37"/>
      <c r="ORB678" s="37"/>
      <c r="ORC678" s="37"/>
      <c r="ORD678" s="37"/>
      <c r="ORE678" s="37"/>
      <c r="ORF678" s="37"/>
      <c r="ORG678" s="37"/>
      <c r="ORH678" s="37"/>
      <c r="ORI678" s="37"/>
      <c r="ORJ678" s="37"/>
      <c r="ORK678" s="37"/>
      <c r="ORL678" s="37"/>
      <c r="ORM678" s="37"/>
      <c r="ORN678" s="37"/>
      <c r="ORO678" s="37"/>
      <c r="ORP678" s="37"/>
      <c r="ORQ678" s="37"/>
      <c r="ORR678" s="37"/>
      <c r="ORS678" s="37"/>
      <c r="ORT678" s="37"/>
      <c r="ORU678" s="37"/>
      <c r="ORV678" s="37"/>
      <c r="ORW678" s="37"/>
      <c r="ORX678" s="37"/>
      <c r="ORY678" s="37"/>
      <c r="ORZ678" s="37"/>
      <c r="OSA678" s="37"/>
      <c r="OSB678" s="37"/>
      <c r="OSC678" s="37"/>
      <c r="OSD678" s="37"/>
      <c r="OSE678" s="37"/>
      <c r="OSF678" s="37"/>
      <c r="OSG678" s="37"/>
      <c r="OSH678" s="37"/>
      <c r="OSI678" s="37"/>
      <c r="OSJ678" s="37"/>
      <c r="OSK678" s="37"/>
      <c r="OSL678" s="37"/>
      <c r="OSM678" s="37"/>
      <c r="OSN678" s="37"/>
      <c r="OSO678" s="37"/>
      <c r="OSP678" s="37"/>
      <c r="OSQ678" s="37"/>
      <c r="OSR678" s="37"/>
      <c r="OSS678" s="37"/>
      <c r="OST678" s="37"/>
      <c r="OSU678" s="37"/>
      <c r="OSV678" s="37"/>
      <c r="OSW678" s="37"/>
      <c r="OSX678" s="37"/>
      <c r="OSY678" s="37"/>
      <c r="OSZ678" s="37"/>
      <c r="OTA678" s="37"/>
      <c r="OTB678" s="37"/>
      <c r="OTC678" s="37"/>
      <c r="OTD678" s="37"/>
      <c r="OTE678" s="37"/>
      <c r="OTF678" s="37"/>
      <c r="OTG678" s="37"/>
      <c r="OTH678" s="37"/>
      <c r="OTI678" s="37"/>
      <c r="OTJ678" s="37"/>
      <c r="OTK678" s="37"/>
      <c r="OTL678" s="37"/>
      <c r="OTM678" s="37"/>
      <c r="OTN678" s="37"/>
      <c r="OTO678" s="37"/>
      <c r="OTP678" s="37"/>
      <c r="OTQ678" s="37"/>
      <c r="OTR678" s="37"/>
      <c r="OTS678" s="37"/>
      <c r="OTT678" s="37"/>
      <c r="OTU678" s="37"/>
      <c r="OTV678" s="37"/>
      <c r="OTW678" s="37"/>
      <c r="OTX678" s="37"/>
      <c r="OTY678" s="37"/>
      <c r="OTZ678" s="37"/>
      <c r="OUA678" s="37"/>
      <c r="OUB678" s="37"/>
      <c r="OUC678" s="37"/>
      <c r="OUD678" s="37"/>
      <c r="OUE678" s="37"/>
      <c r="OUF678" s="37"/>
      <c r="OUG678" s="37"/>
      <c r="OUH678" s="37"/>
      <c r="OUI678" s="37"/>
      <c r="OUJ678" s="37"/>
      <c r="OUK678" s="37"/>
      <c r="OUL678" s="37"/>
      <c r="OUM678" s="37"/>
      <c r="OUN678" s="37"/>
      <c r="OUO678" s="37"/>
      <c r="OUP678" s="37"/>
      <c r="OUQ678" s="37"/>
      <c r="OUR678" s="37"/>
      <c r="OUS678" s="37"/>
      <c r="OUT678" s="37"/>
      <c r="OUU678" s="37"/>
      <c r="OUV678" s="37"/>
      <c r="OUW678" s="37"/>
      <c r="OUX678" s="37"/>
      <c r="OUY678" s="37"/>
      <c r="OUZ678" s="37"/>
      <c r="OVA678" s="37"/>
      <c r="OVB678" s="37"/>
      <c r="OVC678" s="37"/>
      <c r="OVD678" s="37"/>
      <c r="OVE678" s="37"/>
      <c r="OVF678" s="37"/>
      <c r="OVG678" s="37"/>
      <c r="OVH678" s="37"/>
      <c r="OVI678" s="37"/>
      <c r="OVJ678" s="37"/>
      <c r="OVK678" s="37"/>
      <c r="OVL678" s="37"/>
      <c r="OVM678" s="37"/>
      <c r="OVN678" s="37"/>
      <c r="OVO678" s="37"/>
      <c r="OVP678" s="37"/>
      <c r="OVQ678" s="37"/>
      <c r="OVR678" s="37"/>
      <c r="OVS678" s="37"/>
      <c r="OVT678" s="37"/>
      <c r="OVU678" s="37"/>
      <c r="OVV678" s="37"/>
      <c r="OVW678" s="37"/>
      <c r="OVX678" s="37"/>
      <c r="OVY678" s="37"/>
      <c r="OVZ678" s="37"/>
      <c r="OWA678" s="37"/>
      <c r="OWB678" s="37"/>
      <c r="OWC678" s="37"/>
      <c r="OWD678" s="37"/>
      <c r="OWE678" s="37"/>
      <c r="OWF678" s="37"/>
      <c r="OWG678" s="37"/>
      <c r="OWH678" s="37"/>
      <c r="OWI678" s="37"/>
      <c r="OWJ678" s="37"/>
      <c r="OWK678" s="37"/>
      <c r="OWL678" s="37"/>
      <c r="OWM678" s="37"/>
      <c r="OWN678" s="37"/>
      <c r="OWO678" s="37"/>
      <c r="OWP678" s="37"/>
      <c r="OWQ678" s="37"/>
      <c r="OWR678" s="37"/>
      <c r="OWS678" s="37"/>
      <c r="OWT678" s="37"/>
      <c r="OWU678" s="37"/>
      <c r="OWV678" s="37"/>
      <c r="OWW678" s="37"/>
      <c r="OWX678" s="37"/>
      <c r="OWY678" s="37"/>
      <c r="OWZ678" s="37"/>
      <c r="OXA678" s="37"/>
      <c r="OXB678" s="37"/>
      <c r="OXC678" s="37"/>
      <c r="OXD678" s="37"/>
      <c r="OXE678" s="37"/>
      <c r="OXF678" s="37"/>
      <c r="OXG678" s="37"/>
      <c r="OXH678" s="37"/>
      <c r="OXI678" s="37"/>
      <c r="OXJ678" s="37"/>
      <c r="OXK678" s="37"/>
      <c r="OXL678" s="37"/>
      <c r="OXM678" s="37"/>
      <c r="OXN678" s="37"/>
      <c r="OXO678" s="37"/>
      <c r="OXP678" s="37"/>
      <c r="OXQ678" s="37"/>
      <c r="OXR678" s="37"/>
      <c r="OXS678" s="37"/>
      <c r="OXT678" s="37"/>
      <c r="OXU678" s="37"/>
      <c r="OXV678" s="37"/>
      <c r="OXW678" s="37"/>
      <c r="OXX678" s="37"/>
      <c r="OXY678" s="37"/>
      <c r="OXZ678" s="37"/>
      <c r="OYA678" s="37"/>
      <c r="OYB678" s="37"/>
      <c r="OYC678" s="37"/>
      <c r="OYD678" s="37"/>
      <c r="OYE678" s="37"/>
      <c r="OYF678" s="37"/>
      <c r="OYG678" s="37"/>
      <c r="OYH678" s="37"/>
      <c r="OYI678" s="37"/>
      <c r="OYJ678" s="37"/>
      <c r="OYK678" s="37"/>
      <c r="OYL678" s="37"/>
      <c r="OYM678" s="37"/>
      <c r="OYN678" s="37"/>
      <c r="OYO678" s="37"/>
      <c r="OYP678" s="37"/>
      <c r="OYQ678" s="37"/>
      <c r="OYR678" s="37"/>
      <c r="OYS678" s="37"/>
      <c r="OYT678" s="37"/>
      <c r="OYU678" s="37"/>
      <c r="OYV678" s="37"/>
      <c r="OYW678" s="37"/>
      <c r="OYX678" s="37"/>
      <c r="OYY678" s="37"/>
      <c r="OYZ678" s="37"/>
      <c r="OZA678" s="37"/>
      <c r="OZB678" s="37"/>
      <c r="OZC678" s="37"/>
      <c r="OZD678" s="37"/>
      <c r="OZE678" s="37"/>
      <c r="OZF678" s="37"/>
      <c r="OZG678" s="37"/>
      <c r="OZH678" s="37"/>
      <c r="OZI678" s="37"/>
      <c r="OZJ678" s="37"/>
      <c r="OZK678" s="37"/>
      <c r="OZL678" s="37"/>
      <c r="OZM678" s="37"/>
      <c r="OZN678" s="37"/>
      <c r="OZO678" s="37"/>
      <c r="OZP678" s="37"/>
      <c r="OZQ678" s="37"/>
      <c r="OZR678" s="37"/>
      <c r="OZS678" s="37"/>
      <c r="OZT678" s="37"/>
      <c r="OZU678" s="37"/>
      <c r="OZV678" s="37"/>
      <c r="OZW678" s="37"/>
      <c r="OZX678" s="37"/>
      <c r="OZY678" s="37"/>
      <c r="OZZ678" s="37"/>
      <c r="PAA678" s="37"/>
      <c r="PAB678" s="37"/>
      <c r="PAC678" s="37"/>
      <c r="PAD678" s="37"/>
      <c r="PAE678" s="37"/>
      <c r="PAF678" s="37"/>
      <c r="PAG678" s="37"/>
      <c r="PAH678" s="37"/>
      <c r="PAI678" s="37"/>
      <c r="PAJ678" s="37"/>
      <c r="PAK678" s="37"/>
      <c r="PAL678" s="37"/>
      <c r="PAM678" s="37"/>
      <c r="PAN678" s="37"/>
      <c r="PAO678" s="37"/>
      <c r="PAP678" s="37"/>
      <c r="PAQ678" s="37"/>
      <c r="PAR678" s="37"/>
      <c r="PAS678" s="37"/>
      <c r="PAT678" s="37"/>
      <c r="PAU678" s="37"/>
      <c r="PAV678" s="37"/>
      <c r="PAW678" s="37"/>
      <c r="PAX678" s="37"/>
      <c r="PAY678" s="37"/>
      <c r="PAZ678" s="37"/>
      <c r="PBA678" s="37"/>
      <c r="PBB678" s="37"/>
      <c r="PBC678" s="37"/>
      <c r="PBD678" s="37"/>
      <c r="PBE678" s="37"/>
      <c r="PBF678" s="37"/>
      <c r="PBG678" s="37"/>
      <c r="PBH678" s="37"/>
      <c r="PBI678" s="37"/>
      <c r="PBJ678" s="37"/>
      <c r="PBK678" s="37"/>
      <c r="PBL678" s="37"/>
      <c r="PBM678" s="37"/>
      <c r="PBN678" s="37"/>
      <c r="PBO678" s="37"/>
      <c r="PBP678" s="37"/>
      <c r="PBQ678" s="37"/>
      <c r="PBR678" s="37"/>
      <c r="PBS678" s="37"/>
      <c r="PBT678" s="37"/>
      <c r="PBU678" s="37"/>
      <c r="PBV678" s="37"/>
      <c r="PBW678" s="37"/>
      <c r="PBX678" s="37"/>
      <c r="PBY678" s="37"/>
      <c r="PBZ678" s="37"/>
      <c r="PCA678" s="37"/>
      <c r="PCB678" s="37"/>
      <c r="PCC678" s="37"/>
      <c r="PCD678" s="37"/>
      <c r="PCE678" s="37"/>
      <c r="PCF678" s="37"/>
      <c r="PCG678" s="37"/>
      <c r="PCH678" s="37"/>
      <c r="PCI678" s="37"/>
      <c r="PCJ678" s="37"/>
      <c r="PCK678" s="37"/>
      <c r="PCL678" s="37"/>
      <c r="PCM678" s="37"/>
      <c r="PCN678" s="37"/>
      <c r="PCO678" s="37"/>
      <c r="PCP678" s="37"/>
      <c r="PCQ678" s="37"/>
      <c r="PCR678" s="37"/>
      <c r="PCS678" s="37"/>
      <c r="PCT678" s="37"/>
      <c r="PCU678" s="37"/>
      <c r="PCV678" s="37"/>
      <c r="PCW678" s="37"/>
      <c r="PCX678" s="37"/>
      <c r="PCY678" s="37"/>
      <c r="PCZ678" s="37"/>
      <c r="PDA678" s="37"/>
      <c r="PDB678" s="37"/>
      <c r="PDC678" s="37"/>
      <c r="PDD678" s="37"/>
      <c r="PDE678" s="37"/>
      <c r="PDF678" s="37"/>
      <c r="PDG678" s="37"/>
      <c r="PDH678" s="37"/>
      <c r="PDI678" s="37"/>
      <c r="PDJ678" s="37"/>
      <c r="PDK678" s="37"/>
      <c r="PDL678" s="37"/>
      <c r="PDM678" s="37"/>
      <c r="PDN678" s="37"/>
      <c r="PDO678" s="37"/>
      <c r="PDP678" s="37"/>
      <c r="PDQ678" s="37"/>
      <c r="PDR678" s="37"/>
      <c r="PDS678" s="37"/>
      <c r="PDT678" s="37"/>
      <c r="PDU678" s="37"/>
      <c r="PDV678" s="37"/>
      <c r="PDW678" s="37"/>
      <c r="PDX678" s="37"/>
      <c r="PDY678" s="37"/>
      <c r="PDZ678" s="37"/>
      <c r="PEA678" s="37"/>
      <c r="PEB678" s="37"/>
      <c r="PEC678" s="37"/>
      <c r="PED678" s="37"/>
      <c r="PEE678" s="37"/>
      <c r="PEF678" s="37"/>
      <c r="PEG678" s="37"/>
      <c r="PEH678" s="37"/>
      <c r="PEI678" s="37"/>
      <c r="PEJ678" s="37"/>
      <c r="PEK678" s="37"/>
      <c r="PEL678" s="37"/>
      <c r="PEM678" s="37"/>
      <c r="PEN678" s="37"/>
      <c r="PEO678" s="37"/>
      <c r="PEP678" s="37"/>
      <c r="PEQ678" s="37"/>
      <c r="PER678" s="37"/>
      <c r="PES678" s="37"/>
      <c r="PET678" s="37"/>
      <c r="PEU678" s="37"/>
      <c r="PEV678" s="37"/>
      <c r="PEW678" s="37"/>
      <c r="PEX678" s="37"/>
      <c r="PEY678" s="37"/>
      <c r="PEZ678" s="37"/>
      <c r="PFA678" s="37"/>
      <c r="PFB678" s="37"/>
      <c r="PFC678" s="37"/>
      <c r="PFD678" s="37"/>
      <c r="PFE678" s="37"/>
      <c r="PFF678" s="37"/>
      <c r="PFG678" s="37"/>
      <c r="PFH678" s="37"/>
      <c r="PFI678" s="37"/>
      <c r="PFJ678" s="37"/>
      <c r="PFK678" s="37"/>
      <c r="PFL678" s="37"/>
      <c r="PFM678" s="37"/>
      <c r="PFN678" s="37"/>
      <c r="PFO678" s="37"/>
      <c r="PFP678" s="37"/>
      <c r="PFQ678" s="37"/>
      <c r="PFR678" s="37"/>
      <c r="PFS678" s="37"/>
      <c r="PFT678" s="37"/>
      <c r="PFU678" s="37"/>
      <c r="PFV678" s="37"/>
      <c r="PFW678" s="37"/>
      <c r="PFX678" s="37"/>
      <c r="PFY678" s="37"/>
      <c r="PFZ678" s="37"/>
      <c r="PGA678" s="37"/>
      <c r="PGB678" s="37"/>
      <c r="PGC678" s="37"/>
      <c r="PGD678" s="37"/>
      <c r="PGE678" s="37"/>
      <c r="PGF678" s="37"/>
      <c r="PGG678" s="37"/>
      <c r="PGH678" s="37"/>
      <c r="PGI678" s="37"/>
      <c r="PGJ678" s="37"/>
      <c r="PGK678" s="37"/>
      <c r="PGL678" s="37"/>
      <c r="PGM678" s="37"/>
      <c r="PGN678" s="37"/>
      <c r="PGO678" s="37"/>
      <c r="PGP678" s="37"/>
      <c r="PGQ678" s="37"/>
      <c r="PGR678" s="37"/>
      <c r="PGS678" s="37"/>
      <c r="PGT678" s="37"/>
      <c r="PGU678" s="37"/>
      <c r="PGV678" s="37"/>
      <c r="PGW678" s="37"/>
      <c r="PGX678" s="37"/>
      <c r="PGY678" s="37"/>
      <c r="PGZ678" s="37"/>
      <c r="PHA678" s="37"/>
      <c r="PHB678" s="37"/>
      <c r="PHC678" s="37"/>
      <c r="PHD678" s="37"/>
      <c r="PHE678" s="37"/>
      <c r="PHF678" s="37"/>
      <c r="PHG678" s="37"/>
      <c r="PHH678" s="37"/>
      <c r="PHI678" s="37"/>
      <c r="PHJ678" s="37"/>
      <c r="PHK678" s="37"/>
      <c r="PHL678" s="37"/>
      <c r="PHM678" s="37"/>
      <c r="PHN678" s="37"/>
      <c r="PHO678" s="37"/>
      <c r="PHP678" s="37"/>
      <c r="PHQ678" s="37"/>
      <c r="PHR678" s="37"/>
      <c r="PHS678" s="37"/>
      <c r="PHT678" s="37"/>
      <c r="PHU678" s="37"/>
      <c r="PHV678" s="37"/>
      <c r="PHW678" s="37"/>
      <c r="PHX678" s="37"/>
      <c r="PHY678" s="37"/>
      <c r="PHZ678" s="37"/>
      <c r="PIA678" s="37"/>
      <c r="PIB678" s="37"/>
      <c r="PIC678" s="37"/>
      <c r="PID678" s="37"/>
      <c r="PIE678" s="37"/>
      <c r="PIF678" s="37"/>
      <c r="PIG678" s="37"/>
      <c r="PIH678" s="37"/>
      <c r="PII678" s="37"/>
      <c r="PIJ678" s="37"/>
      <c r="PIK678" s="37"/>
      <c r="PIL678" s="37"/>
      <c r="PIM678" s="37"/>
      <c r="PIN678" s="37"/>
      <c r="PIO678" s="37"/>
      <c r="PIP678" s="37"/>
      <c r="PIQ678" s="37"/>
      <c r="PIR678" s="37"/>
      <c r="PIS678" s="37"/>
      <c r="PIT678" s="37"/>
      <c r="PIU678" s="37"/>
      <c r="PIV678" s="37"/>
      <c r="PIW678" s="37"/>
      <c r="PIX678" s="37"/>
      <c r="PIY678" s="37"/>
      <c r="PIZ678" s="37"/>
      <c r="PJA678" s="37"/>
      <c r="PJB678" s="37"/>
      <c r="PJC678" s="37"/>
      <c r="PJD678" s="37"/>
      <c r="PJE678" s="37"/>
      <c r="PJF678" s="37"/>
      <c r="PJG678" s="37"/>
      <c r="PJH678" s="37"/>
      <c r="PJI678" s="37"/>
      <c r="PJJ678" s="37"/>
      <c r="PJK678" s="37"/>
      <c r="PJL678" s="37"/>
      <c r="PJM678" s="37"/>
      <c r="PJN678" s="37"/>
      <c r="PJO678" s="37"/>
      <c r="PJP678" s="37"/>
      <c r="PJQ678" s="37"/>
      <c r="PJR678" s="37"/>
      <c r="PJS678" s="37"/>
      <c r="PJT678" s="37"/>
      <c r="PJU678" s="37"/>
      <c r="PJV678" s="37"/>
      <c r="PJW678" s="37"/>
      <c r="PJX678" s="37"/>
      <c r="PJY678" s="37"/>
      <c r="PJZ678" s="37"/>
      <c r="PKA678" s="37"/>
      <c r="PKB678" s="37"/>
      <c r="PKC678" s="37"/>
      <c r="PKD678" s="37"/>
      <c r="PKE678" s="37"/>
      <c r="PKF678" s="37"/>
      <c r="PKG678" s="37"/>
      <c r="PKH678" s="37"/>
      <c r="PKI678" s="37"/>
      <c r="PKJ678" s="37"/>
      <c r="PKK678" s="37"/>
      <c r="PKL678" s="37"/>
      <c r="PKM678" s="37"/>
      <c r="PKN678" s="37"/>
      <c r="PKO678" s="37"/>
      <c r="PKP678" s="37"/>
      <c r="PKQ678" s="37"/>
      <c r="PKR678" s="37"/>
      <c r="PKS678" s="37"/>
      <c r="PKT678" s="37"/>
      <c r="PKU678" s="37"/>
      <c r="PKV678" s="37"/>
      <c r="PKW678" s="37"/>
      <c r="PKX678" s="37"/>
      <c r="PKY678" s="37"/>
      <c r="PKZ678" s="37"/>
      <c r="PLA678" s="37"/>
      <c r="PLB678" s="37"/>
      <c r="PLC678" s="37"/>
      <c r="PLD678" s="37"/>
      <c r="PLE678" s="37"/>
      <c r="PLF678" s="37"/>
      <c r="PLG678" s="37"/>
      <c r="PLH678" s="37"/>
      <c r="PLI678" s="37"/>
      <c r="PLJ678" s="37"/>
      <c r="PLK678" s="37"/>
      <c r="PLL678" s="37"/>
      <c r="PLM678" s="37"/>
      <c r="PLN678" s="37"/>
      <c r="PLO678" s="37"/>
      <c r="PLP678" s="37"/>
      <c r="PLQ678" s="37"/>
      <c r="PLR678" s="37"/>
      <c r="PLS678" s="37"/>
      <c r="PLT678" s="37"/>
      <c r="PLU678" s="37"/>
      <c r="PLV678" s="37"/>
      <c r="PLW678" s="37"/>
      <c r="PLX678" s="37"/>
      <c r="PLY678" s="37"/>
      <c r="PLZ678" s="37"/>
      <c r="PMA678" s="37"/>
      <c r="PMB678" s="37"/>
      <c r="PMC678" s="37"/>
      <c r="PMD678" s="37"/>
      <c r="PME678" s="37"/>
      <c r="PMF678" s="37"/>
      <c r="PMG678" s="37"/>
      <c r="PMH678" s="37"/>
      <c r="PMI678" s="37"/>
      <c r="PMJ678" s="37"/>
      <c r="PMK678" s="37"/>
      <c r="PML678" s="37"/>
      <c r="PMM678" s="37"/>
      <c r="PMN678" s="37"/>
      <c r="PMO678" s="37"/>
      <c r="PMP678" s="37"/>
      <c r="PMQ678" s="37"/>
      <c r="PMR678" s="37"/>
      <c r="PMS678" s="37"/>
      <c r="PMT678" s="37"/>
      <c r="PMU678" s="37"/>
      <c r="PMV678" s="37"/>
      <c r="PMW678" s="37"/>
      <c r="PMX678" s="37"/>
      <c r="PMY678" s="37"/>
      <c r="PMZ678" s="37"/>
      <c r="PNA678" s="37"/>
      <c r="PNB678" s="37"/>
      <c r="PNC678" s="37"/>
      <c r="PND678" s="37"/>
      <c r="PNE678" s="37"/>
      <c r="PNF678" s="37"/>
      <c r="PNG678" s="37"/>
      <c r="PNH678" s="37"/>
      <c r="PNI678" s="37"/>
      <c r="PNJ678" s="37"/>
      <c r="PNK678" s="37"/>
      <c r="PNL678" s="37"/>
      <c r="PNM678" s="37"/>
      <c r="PNN678" s="37"/>
      <c r="PNO678" s="37"/>
      <c r="PNP678" s="37"/>
      <c r="PNQ678" s="37"/>
      <c r="PNR678" s="37"/>
      <c r="PNS678" s="37"/>
      <c r="PNT678" s="37"/>
      <c r="PNU678" s="37"/>
      <c r="PNV678" s="37"/>
      <c r="PNW678" s="37"/>
      <c r="PNX678" s="37"/>
      <c r="PNY678" s="37"/>
      <c r="PNZ678" s="37"/>
      <c r="POA678" s="37"/>
      <c r="POB678" s="37"/>
      <c r="POC678" s="37"/>
      <c r="POD678" s="37"/>
      <c r="POE678" s="37"/>
      <c r="POF678" s="37"/>
      <c r="POG678" s="37"/>
      <c r="POH678" s="37"/>
      <c r="POI678" s="37"/>
      <c r="POJ678" s="37"/>
      <c r="POK678" s="37"/>
      <c r="POL678" s="37"/>
      <c r="POM678" s="37"/>
      <c r="PON678" s="37"/>
      <c r="POO678" s="37"/>
      <c r="POP678" s="37"/>
      <c r="POQ678" s="37"/>
      <c r="POR678" s="37"/>
      <c r="POS678" s="37"/>
      <c r="POT678" s="37"/>
      <c r="POU678" s="37"/>
      <c r="POV678" s="37"/>
      <c r="POW678" s="37"/>
      <c r="POX678" s="37"/>
      <c r="POY678" s="37"/>
      <c r="POZ678" s="37"/>
      <c r="PPA678" s="37"/>
      <c r="PPB678" s="37"/>
      <c r="PPC678" s="37"/>
      <c r="PPD678" s="37"/>
      <c r="PPE678" s="37"/>
      <c r="PPF678" s="37"/>
      <c r="PPG678" s="37"/>
      <c r="PPH678" s="37"/>
      <c r="PPI678" s="37"/>
      <c r="PPJ678" s="37"/>
      <c r="PPK678" s="37"/>
      <c r="PPL678" s="37"/>
      <c r="PPM678" s="37"/>
      <c r="PPN678" s="37"/>
      <c r="PPO678" s="37"/>
      <c r="PPP678" s="37"/>
      <c r="PPQ678" s="37"/>
      <c r="PPR678" s="37"/>
      <c r="PPS678" s="37"/>
      <c r="PPT678" s="37"/>
      <c r="PPU678" s="37"/>
      <c r="PPV678" s="37"/>
      <c r="PPW678" s="37"/>
      <c r="PPX678" s="37"/>
      <c r="PPY678" s="37"/>
      <c r="PPZ678" s="37"/>
      <c r="PQA678" s="37"/>
      <c r="PQB678" s="37"/>
      <c r="PQC678" s="37"/>
      <c r="PQD678" s="37"/>
      <c r="PQE678" s="37"/>
      <c r="PQF678" s="37"/>
      <c r="PQG678" s="37"/>
      <c r="PQH678" s="37"/>
      <c r="PQI678" s="37"/>
      <c r="PQJ678" s="37"/>
      <c r="PQK678" s="37"/>
      <c r="PQL678" s="37"/>
      <c r="PQM678" s="37"/>
      <c r="PQN678" s="37"/>
      <c r="PQO678" s="37"/>
      <c r="PQP678" s="37"/>
      <c r="PQQ678" s="37"/>
      <c r="PQR678" s="37"/>
      <c r="PQS678" s="37"/>
      <c r="PQT678" s="37"/>
      <c r="PQU678" s="37"/>
      <c r="PQV678" s="37"/>
      <c r="PQW678" s="37"/>
      <c r="PQX678" s="37"/>
      <c r="PQY678" s="37"/>
      <c r="PQZ678" s="37"/>
      <c r="PRA678" s="37"/>
      <c r="PRB678" s="37"/>
      <c r="PRC678" s="37"/>
      <c r="PRD678" s="37"/>
      <c r="PRE678" s="37"/>
      <c r="PRF678" s="37"/>
      <c r="PRG678" s="37"/>
      <c r="PRH678" s="37"/>
      <c r="PRI678" s="37"/>
      <c r="PRJ678" s="37"/>
      <c r="PRK678" s="37"/>
      <c r="PRL678" s="37"/>
      <c r="PRM678" s="37"/>
      <c r="PRN678" s="37"/>
      <c r="PRO678" s="37"/>
      <c r="PRP678" s="37"/>
      <c r="PRQ678" s="37"/>
      <c r="PRR678" s="37"/>
      <c r="PRS678" s="37"/>
      <c r="PRT678" s="37"/>
      <c r="PRU678" s="37"/>
      <c r="PRV678" s="37"/>
      <c r="PRW678" s="37"/>
      <c r="PRX678" s="37"/>
      <c r="PRY678" s="37"/>
      <c r="PRZ678" s="37"/>
      <c r="PSA678" s="37"/>
      <c r="PSB678" s="37"/>
      <c r="PSC678" s="37"/>
      <c r="PSD678" s="37"/>
      <c r="PSE678" s="37"/>
      <c r="PSF678" s="37"/>
      <c r="PSG678" s="37"/>
      <c r="PSH678" s="37"/>
      <c r="PSI678" s="37"/>
      <c r="PSJ678" s="37"/>
      <c r="PSK678" s="37"/>
      <c r="PSL678" s="37"/>
      <c r="PSM678" s="37"/>
      <c r="PSN678" s="37"/>
      <c r="PSO678" s="37"/>
      <c r="PSP678" s="37"/>
      <c r="PSQ678" s="37"/>
      <c r="PSR678" s="37"/>
      <c r="PSS678" s="37"/>
      <c r="PST678" s="37"/>
      <c r="PSU678" s="37"/>
      <c r="PSV678" s="37"/>
      <c r="PSW678" s="37"/>
      <c r="PSX678" s="37"/>
      <c r="PSY678" s="37"/>
      <c r="PSZ678" s="37"/>
      <c r="PTA678" s="37"/>
      <c r="PTB678" s="37"/>
      <c r="PTC678" s="37"/>
      <c r="PTD678" s="37"/>
      <c r="PTE678" s="37"/>
      <c r="PTF678" s="37"/>
      <c r="PTG678" s="37"/>
      <c r="PTH678" s="37"/>
      <c r="PTI678" s="37"/>
      <c r="PTJ678" s="37"/>
      <c r="PTK678" s="37"/>
      <c r="PTL678" s="37"/>
      <c r="PTM678" s="37"/>
      <c r="PTN678" s="37"/>
      <c r="PTO678" s="37"/>
      <c r="PTP678" s="37"/>
      <c r="PTQ678" s="37"/>
      <c r="PTR678" s="37"/>
      <c r="PTS678" s="37"/>
      <c r="PTT678" s="37"/>
      <c r="PTU678" s="37"/>
      <c r="PTV678" s="37"/>
      <c r="PTW678" s="37"/>
      <c r="PTX678" s="37"/>
      <c r="PTY678" s="37"/>
      <c r="PTZ678" s="37"/>
      <c r="PUA678" s="37"/>
      <c r="PUB678" s="37"/>
      <c r="PUC678" s="37"/>
      <c r="PUD678" s="37"/>
      <c r="PUE678" s="37"/>
      <c r="PUF678" s="37"/>
      <c r="PUG678" s="37"/>
      <c r="PUH678" s="37"/>
      <c r="PUI678" s="37"/>
      <c r="PUJ678" s="37"/>
      <c r="PUK678" s="37"/>
      <c r="PUL678" s="37"/>
      <c r="PUM678" s="37"/>
      <c r="PUN678" s="37"/>
      <c r="PUO678" s="37"/>
      <c r="PUP678" s="37"/>
      <c r="PUQ678" s="37"/>
      <c r="PUR678" s="37"/>
      <c r="PUS678" s="37"/>
      <c r="PUT678" s="37"/>
      <c r="PUU678" s="37"/>
      <c r="PUV678" s="37"/>
      <c r="PUW678" s="37"/>
      <c r="PUX678" s="37"/>
      <c r="PUY678" s="37"/>
      <c r="PUZ678" s="37"/>
      <c r="PVA678" s="37"/>
      <c r="PVB678" s="37"/>
      <c r="PVC678" s="37"/>
      <c r="PVD678" s="37"/>
      <c r="PVE678" s="37"/>
      <c r="PVF678" s="37"/>
      <c r="PVG678" s="37"/>
      <c r="PVH678" s="37"/>
      <c r="PVI678" s="37"/>
      <c r="PVJ678" s="37"/>
      <c r="PVK678" s="37"/>
      <c r="PVL678" s="37"/>
      <c r="PVM678" s="37"/>
      <c r="PVN678" s="37"/>
      <c r="PVO678" s="37"/>
      <c r="PVP678" s="37"/>
      <c r="PVQ678" s="37"/>
      <c r="PVR678" s="37"/>
      <c r="PVS678" s="37"/>
      <c r="PVT678" s="37"/>
      <c r="PVU678" s="37"/>
      <c r="PVV678" s="37"/>
      <c r="PVW678" s="37"/>
      <c r="PVX678" s="37"/>
      <c r="PVY678" s="37"/>
      <c r="PVZ678" s="37"/>
      <c r="PWA678" s="37"/>
      <c r="PWB678" s="37"/>
      <c r="PWC678" s="37"/>
      <c r="PWD678" s="37"/>
      <c r="PWE678" s="37"/>
      <c r="PWF678" s="37"/>
      <c r="PWG678" s="37"/>
      <c r="PWH678" s="37"/>
      <c r="PWI678" s="37"/>
      <c r="PWJ678" s="37"/>
      <c r="PWK678" s="37"/>
      <c r="PWL678" s="37"/>
      <c r="PWM678" s="37"/>
      <c r="PWN678" s="37"/>
      <c r="PWO678" s="37"/>
      <c r="PWP678" s="37"/>
      <c r="PWQ678" s="37"/>
      <c r="PWR678" s="37"/>
      <c r="PWS678" s="37"/>
      <c r="PWT678" s="37"/>
      <c r="PWU678" s="37"/>
      <c r="PWV678" s="37"/>
      <c r="PWW678" s="37"/>
      <c r="PWX678" s="37"/>
      <c r="PWY678" s="37"/>
      <c r="PWZ678" s="37"/>
      <c r="PXA678" s="37"/>
      <c r="PXB678" s="37"/>
      <c r="PXC678" s="37"/>
      <c r="PXD678" s="37"/>
      <c r="PXE678" s="37"/>
      <c r="PXF678" s="37"/>
      <c r="PXG678" s="37"/>
      <c r="PXH678" s="37"/>
      <c r="PXI678" s="37"/>
      <c r="PXJ678" s="37"/>
      <c r="PXK678" s="37"/>
      <c r="PXL678" s="37"/>
      <c r="PXM678" s="37"/>
      <c r="PXN678" s="37"/>
      <c r="PXO678" s="37"/>
      <c r="PXP678" s="37"/>
      <c r="PXQ678" s="37"/>
      <c r="PXR678" s="37"/>
      <c r="PXS678" s="37"/>
      <c r="PXT678" s="37"/>
      <c r="PXU678" s="37"/>
      <c r="PXV678" s="37"/>
      <c r="PXW678" s="37"/>
      <c r="PXX678" s="37"/>
      <c r="PXY678" s="37"/>
      <c r="PXZ678" s="37"/>
      <c r="PYA678" s="37"/>
      <c r="PYB678" s="37"/>
      <c r="PYC678" s="37"/>
      <c r="PYD678" s="37"/>
      <c r="PYE678" s="37"/>
      <c r="PYF678" s="37"/>
      <c r="PYG678" s="37"/>
      <c r="PYH678" s="37"/>
      <c r="PYI678" s="37"/>
      <c r="PYJ678" s="37"/>
      <c r="PYK678" s="37"/>
      <c r="PYL678" s="37"/>
      <c r="PYM678" s="37"/>
      <c r="PYN678" s="37"/>
      <c r="PYO678" s="37"/>
      <c r="PYP678" s="37"/>
      <c r="PYQ678" s="37"/>
      <c r="PYR678" s="37"/>
      <c r="PYS678" s="37"/>
      <c r="PYT678" s="37"/>
      <c r="PYU678" s="37"/>
      <c r="PYV678" s="37"/>
      <c r="PYW678" s="37"/>
      <c r="PYX678" s="37"/>
      <c r="PYY678" s="37"/>
      <c r="PYZ678" s="37"/>
      <c r="PZA678" s="37"/>
      <c r="PZB678" s="37"/>
      <c r="PZC678" s="37"/>
      <c r="PZD678" s="37"/>
      <c r="PZE678" s="37"/>
      <c r="PZF678" s="37"/>
      <c r="PZG678" s="37"/>
      <c r="PZH678" s="37"/>
      <c r="PZI678" s="37"/>
      <c r="PZJ678" s="37"/>
      <c r="PZK678" s="37"/>
      <c r="PZL678" s="37"/>
      <c r="PZM678" s="37"/>
      <c r="PZN678" s="37"/>
      <c r="PZO678" s="37"/>
      <c r="PZP678" s="37"/>
      <c r="PZQ678" s="37"/>
      <c r="PZR678" s="37"/>
      <c r="PZS678" s="37"/>
      <c r="PZT678" s="37"/>
      <c r="PZU678" s="37"/>
      <c r="PZV678" s="37"/>
      <c r="PZW678" s="37"/>
      <c r="PZX678" s="37"/>
      <c r="PZY678" s="37"/>
      <c r="PZZ678" s="37"/>
      <c r="QAA678" s="37"/>
      <c r="QAB678" s="37"/>
      <c r="QAC678" s="37"/>
      <c r="QAD678" s="37"/>
      <c r="QAE678" s="37"/>
      <c r="QAF678" s="37"/>
      <c r="QAG678" s="37"/>
      <c r="QAH678" s="37"/>
      <c r="QAI678" s="37"/>
      <c r="QAJ678" s="37"/>
      <c r="QAK678" s="37"/>
      <c r="QAL678" s="37"/>
      <c r="QAM678" s="37"/>
      <c r="QAN678" s="37"/>
      <c r="QAO678" s="37"/>
      <c r="QAP678" s="37"/>
      <c r="QAQ678" s="37"/>
      <c r="QAR678" s="37"/>
      <c r="QAS678" s="37"/>
      <c r="QAT678" s="37"/>
      <c r="QAU678" s="37"/>
      <c r="QAV678" s="37"/>
      <c r="QAW678" s="37"/>
      <c r="QAX678" s="37"/>
      <c r="QAY678" s="37"/>
      <c r="QAZ678" s="37"/>
      <c r="QBA678" s="37"/>
      <c r="QBB678" s="37"/>
      <c r="QBC678" s="37"/>
      <c r="QBD678" s="37"/>
      <c r="QBE678" s="37"/>
      <c r="QBF678" s="37"/>
      <c r="QBG678" s="37"/>
      <c r="QBH678" s="37"/>
      <c r="QBI678" s="37"/>
      <c r="QBJ678" s="37"/>
      <c r="QBK678" s="37"/>
      <c r="QBL678" s="37"/>
      <c r="QBM678" s="37"/>
      <c r="QBN678" s="37"/>
      <c r="QBO678" s="37"/>
      <c r="QBP678" s="37"/>
      <c r="QBQ678" s="37"/>
      <c r="QBR678" s="37"/>
      <c r="QBS678" s="37"/>
      <c r="QBT678" s="37"/>
      <c r="QBU678" s="37"/>
      <c r="QBV678" s="37"/>
      <c r="QBW678" s="37"/>
      <c r="QBX678" s="37"/>
      <c r="QBY678" s="37"/>
      <c r="QBZ678" s="37"/>
      <c r="QCA678" s="37"/>
      <c r="QCB678" s="37"/>
      <c r="QCC678" s="37"/>
      <c r="QCD678" s="37"/>
      <c r="QCE678" s="37"/>
      <c r="QCF678" s="37"/>
      <c r="QCG678" s="37"/>
      <c r="QCH678" s="37"/>
      <c r="QCI678" s="37"/>
      <c r="QCJ678" s="37"/>
      <c r="QCK678" s="37"/>
      <c r="QCL678" s="37"/>
      <c r="QCM678" s="37"/>
      <c r="QCN678" s="37"/>
      <c r="QCO678" s="37"/>
      <c r="QCP678" s="37"/>
      <c r="QCQ678" s="37"/>
      <c r="QCR678" s="37"/>
      <c r="QCS678" s="37"/>
      <c r="QCT678" s="37"/>
      <c r="QCU678" s="37"/>
      <c r="QCV678" s="37"/>
      <c r="QCW678" s="37"/>
      <c r="QCX678" s="37"/>
      <c r="QCY678" s="37"/>
      <c r="QCZ678" s="37"/>
      <c r="QDA678" s="37"/>
      <c r="QDB678" s="37"/>
      <c r="QDC678" s="37"/>
      <c r="QDD678" s="37"/>
      <c r="QDE678" s="37"/>
      <c r="QDF678" s="37"/>
      <c r="QDG678" s="37"/>
      <c r="QDH678" s="37"/>
      <c r="QDI678" s="37"/>
      <c r="QDJ678" s="37"/>
      <c r="QDK678" s="37"/>
      <c r="QDL678" s="37"/>
      <c r="QDM678" s="37"/>
      <c r="QDN678" s="37"/>
      <c r="QDO678" s="37"/>
      <c r="QDP678" s="37"/>
      <c r="QDQ678" s="37"/>
      <c r="QDR678" s="37"/>
      <c r="QDS678" s="37"/>
      <c r="QDT678" s="37"/>
      <c r="QDU678" s="37"/>
      <c r="QDV678" s="37"/>
      <c r="QDW678" s="37"/>
      <c r="QDX678" s="37"/>
      <c r="QDY678" s="37"/>
      <c r="QDZ678" s="37"/>
      <c r="QEA678" s="37"/>
      <c r="QEB678" s="37"/>
      <c r="QEC678" s="37"/>
      <c r="QED678" s="37"/>
      <c r="QEE678" s="37"/>
      <c r="QEF678" s="37"/>
      <c r="QEG678" s="37"/>
      <c r="QEH678" s="37"/>
      <c r="QEI678" s="37"/>
      <c r="QEJ678" s="37"/>
      <c r="QEK678" s="37"/>
      <c r="QEL678" s="37"/>
      <c r="QEM678" s="37"/>
      <c r="QEN678" s="37"/>
      <c r="QEO678" s="37"/>
      <c r="QEP678" s="37"/>
      <c r="QEQ678" s="37"/>
      <c r="QER678" s="37"/>
      <c r="QES678" s="37"/>
      <c r="QET678" s="37"/>
      <c r="QEU678" s="37"/>
      <c r="QEV678" s="37"/>
      <c r="QEW678" s="37"/>
      <c r="QEX678" s="37"/>
      <c r="QEY678" s="37"/>
      <c r="QEZ678" s="37"/>
      <c r="QFA678" s="37"/>
      <c r="QFB678" s="37"/>
      <c r="QFC678" s="37"/>
      <c r="QFD678" s="37"/>
      <c r="QFE678" s="37"/>
      <c r="QFF678" s="37"/>
      <c r="QFG678" s="37"/>
      <c r="QFH678" s="37"/>
      <c r="QFI678" s="37"/>
      <c r="QFJ678" s="37"/>
      <c r="QFK678" s="37"/>
      <c r="QFL678" s="37"/>
      <c r="QFM678" s="37"/>
      <c r="QFN678" s="37"/>
      <c r="QFO678" s="37"/>
      <c r="QFP678" s="37"/>
      <c r="QFQ678" s="37"/>
      <c r="QFR678" s="37"/>
      <c r="QFS678" s="37"/>
      <c r="QFT678" s="37"/>
      <c r="QFU678" s="37"/>
      <c r="QFV678" s="37"/>
      <c r="QFW678" s="37"/>
      <c r="QFX678" s="37"/>
      <c r="QFY678" s="37"/>
      <c r="QFZ678" s="37"/>
      <c r="QGA678" s="37"/>
      <c r="QGB678" s="37"/>
      <c r="QGC678" s="37"/>
      <c r="QGD678" s="37"/>
      <c r="QGE678" s="37"/>
      <c r="QGF678" s="37"/>
      <c r="QGG678" s="37"/>
      <c r="QGH678" s="37"/>
      <c r="QGI678" s="37"/>
      <c r="QGJ678" s="37"/>
      <c r="QGK678" s="37"/>
      <c r="QGL678" s="37"/>
      <c r="QGM678" s="37"/>
      <c r="QGN678" s="37"/>
      <c r="QGO678" s="37"/>
      <c r="QGP678" s="37"/>
      <c r="QGQ678" s="37"/>
      <c r="QGR678" s="37"/>
      <c r="QGS678" s="37"/>
      <c r="QGT678" s="37"/>
      <c r="QGU678" s="37"/>
      <c r="QGV678" s="37"/>
      <c r="QGW678" s="37"/>
      <c r="QGX678" s="37"/>
      <c r="QGY678" s="37"/>
      <c r="QGZ678" s="37"/>
      <c r="QHA678" s="37"/>
      <c r="QHB678" s="37"/>
      <c r="QHC678" s="37"/>
      <c r="QHD678" s="37"/>
      <c r="QHE678" s="37"/>
      <c r="QHF678" s="37"/>
      <c r="QHG678" s="37"/>
      <c r="QHH678" s="37"/>
      <c r="QHI678" s="37"/>
      <c r="QHJ678" s="37"/>
      <c r="QHK678" s="37"/>
      <c r="QHL678" s="37"/>
      <c r="QHM678" s="37"/>
      <c r="QHN678" s="37"/>
      <c r="QHO678" s="37"/>
      <c r="QHP678" s="37"/>
      <c r="QHQ678" s="37"/>
      <c r="QHR678" s="37"/>
      <c r="QHS678" s="37"/>
      <c r="QHT678" s="37"/>
      <c r="QHU678" s="37"/>
      <c r="QHV678" s="37"/>
      <c r="QHW678" s="37"/>
      <c r="QHX678" s="37"/>
      <c r="QHY678" s="37"/>
      <c r="QHZ678" s="37"/>
      <c r="QIA678" s="37"/>
      <c r="QIB678" s="37"/>
      <c r="QIC678" s="37"/>
      <c r="QID678" s="37"/>
      <c r="QIE678" s="37"/>
      <c r="QIF678" s="37"/>
      <c r="QIG678" s="37"/>
      <c r="QIH678" s="37"/>
      <c r="QII678" s="37"/>
      <c r="QIJ678" s="37"/>
      <c r="QIK678" s="37"/>
      <c r="QIL678" s="37"/>
      <c r="QIM678" s="37"/>
      <c r="QIN678" s="37"/>
      <c r="QIO678" s="37"/>
      <c r="QIP678" s="37"/>
      <c r="QIQ678" s="37"/>
      <c r="QIR678" s="37"/>
      <c r="QIS678" s="37"/>
      <c r="QIT678" s="37"/>
      <c r="QIU678" s="37"/>
      <c r="QIV678" s="37"/>
      <c r="QIW678" s="37"/>
      <c r="QIX678" s="37"/>
      <c r="QIY678" s="37"/>
      <c r="QIZ678" s="37"/>
      <c r="QJA678" s="37"/>
      <c r="QJB678" s="37"/>
      <c r="QJC678" s="37"/>
      <c r="QJD678" s="37"/>
      <c r="QJE678" s="37"/>
      <c r="QJF678" s="37"/>
      <c r="QJG678" s="37"/>
      <c r="QJH678" s="37"/>
      <c r="QJI678" s="37"/>
      <c r="QJJ678" s="37"/>
      <c r="QJK678" s="37"/>
      <c r="QJL678" s="37"/>
      <c r="QJM678" s="37"/>
      <c r="QJN678" s="37"/>
      <c r="QJO678" s="37"/>
      <c r="QJP678" s="37"/>
      <c r="QJQ678" s="37"/>
      <c r="QJR678" s="37"/>
      <c r="QJS678" s="37"/>
      <c r="QJT678" s="37"/>
      <c r="QJU678" s="37"/>
      <c r="QJV678" s="37"/>
      <c r="QJW678" s="37"/>
      <c r="QJX678" s="37"/>
      <c r="QJY678" s="37"/>
      <c r="QJZ678" s="37"/>
      <c r="QKA678" s="37"/>
      <c r="QKB678" s="37"/>
      <c r="QKC678" s="37"/>
      <c r="QKD678" s="37"/>
      <c r="QKE678" s="37"/>
      <c r="QKF678" s="37"/>
      <c r="QKG678" s="37"/>
      <c r="QKH678" s="37"/>
      <c r="QKI678" s="37"/>
      <c r="QKJ678" s="37"/>
      <c r="QKK678" s="37"/>
      <c r="QKL678" s="37"/>
      <c r="QKM678" s="37"/>
      <c r="QKN678" s="37"/>
      <c r="QKO678" s="37"/>
      <c r="QKP678" s="37"/>
      <c r="QKQ678" s="37"/>
      <c r="QKR678" s="37"/>
      <c r="QKS678" s="37"/>
      <c r="QKT678" s="37"/>
      <c r="QKU678" s="37"/>
      <c r="QKV678" s="37"/>
      <c r="QKW678" s="37"/>
      <c r="QKX678" s="37"/>
      <c r="QKY678" s="37"/>
      <c r="QKZ678" s="37"/>
      <c r="QLA678" s="37"/>
      <c r="QLB678" s="37"/>
      <c r="QLC678" s="37"/>
      <c r="QLD678" s="37"/>
      <c r="QLE678" s="37"/>
      <c r="QLF678" s="37"/>
      <c r="QLG678" s="37"/>
      <c r="QLH678" s="37"/>
      <c r="QLI678" s="37"/>
      <c r="QLJ678" s="37"/>
      <c r="QLK678" s="37"/>
      <c r="QLL678" s="37"/>
      <c r="QLM678" s="37"/>
      <c r="QLN678" s="37"/>
      <c r="QLO678" s="37"/>
      <c r="QLP678" s="37"/>
      <c r="QLQ678" s="37"/>
      <c r="QLR678" s="37"/>
      <c r="QLS678" s="37"/>
      <c r="QLT678" s="37"/>
      <c r="QLU678" s="37"/>
      <c r="QLV678" s="37"/>
      <c r="QLW678" s="37"/>
      <c r="QLX678" s="37"/>
      <c r="QLY678" s="37"/>
      <c r="QLZ678" s="37"/>
      <c r="QMA678" s="37"/>
      <c r="QMB678" s="37"/>
      <c r="QMC678" s="37"/>
      <c r="QMD678" s="37"/>
      <c r="QME678" s="37"/>
      <c r="QMF678" s="37"/>
      <c r="QMG678" s="37"/>
      <c r="QMH678" s="37"/>
      <c r="QMI678" s="37"/>
      <c r="QMJ678" s="37"/>
      <c r="QMK678" s="37"/>
      <c r="QML678" s="37"/>
      <c r="QMM678" s="37"/>
      <c r="QMN678" s="37"/>
      <c r="QMO678" s="37"/>
      <c r="QMP678" s="37"/>
      <c r="QMQ678" s="37"/>
      <c r="QMR678" s="37"/>
      <c r="QMS678" s="37"/>
      <c r="QMT678" s="37"/>
      <c r="QMU678" s="37"/>
      <c r="QMV678" s="37"/>
      <c r="QMW678" s="37"/>
      <c r="QMX678" s="37"/>
      <c r="QMY678" s="37"/>
      <c r="QMZ678" s="37"/>
      <c r="QNA678" s="37"/>
      <c r="QNB678" s="37"/>
      <c r="QNC678" s="37"/>
      <c r="QND678" s="37"/>
      <c r="QNE678" s="37"/>
      <c r="QNF678" s="37"/>
      <c r="QNG678" s="37"/>
      <c r="QNH678" s="37"/>
      <c r="QNI678" s="37"/>
      <c r="QNJ678" s="37"/>
      <c r="QNK678" s="37"/>
      <c r="QNL678" s="37"/>
      <c r="QNM678" s="37"/>
      <c r="QNN678" s="37"/>
      <c r="QNO678" s="37"/>
      <c r="QNP678" s="37"/>
      <c r="QNQ678" s="37"/>
      <c r="QNR678" s="37"/>
      <c r="QNS678" s="37"/>
      <c r="QNT678" s="37"/>
      <c r="QNU678" s="37"/>
      <c r="QNV678" s="37"/>
      <c r="QNW678" s="37"/>
      <c r="QNX678" s="37"/>
      <c r="QNY678" s="37"/>
      <c r="QNZ678" s="37"/>
      <c r="QOA678" s="37"/>
      <c r="QOB678" s="37"/>
      <c r="QOC678" s="37"/>
      <c r="QOD678" s="37"/>
      <c r="QOE678" s="37"/>
      <c r="QOF678" s="37"/>
      <c r="QOG678" s="37"/>
      <c r="QOH678" s="37"/>
      <c r="QOI678" s="37"/>
      <c r="QOJ678" s="37"/>
      <c r="QOK678" s="37"/>
      <c r="QOL678" s="37"/>
      <c r="QOM678" s="37"/>
      <c r="QON678" s="37"/>
      <c r="QOO678" s="37"/>
      <c r="QOP678" s="37"/>
      <c r="QOQ678" s="37"/>
      <c r="QOR678" s="37"/>
      <c r="QOS678" s="37"/>
      <c r="QOT678" s="37"/>
      <c r="QOU678" s="37"/>
      <c r="QOV678" s="37"/>
      <c r="QOW678" s="37"/>
      <c r="QOX678" s="37"/>
      <c r="QOY678" s="37"/>
      <c r="QOZ678" s="37"/>
      <c r="QPA678" s="37"/>
      <c r="QPB678" s="37"/>
      <c r="QPC678" s="37"/>
      <c r="QPD678" s="37"/>
      <c r="QPE678" s="37"/>
      <c r="QPF678" s="37"/>
      <c r="QPG678" s="37"/>
      <c r="QPH678" s="37"/>
      <c r="QPI678" s="37"/>
      <c r="QPJ678" s="37"/>
      <c r="QPK678" s="37"/>
      <c r="QPL678" s="37"/>
      <c r="QPM678" s="37"/>
      <c r="QPN678" s="37"/>
      <c r="QPO678" s="37"/>
      <c r="QPP678" s="37"/>
      <c r="QPQ678" s="37"/>
      <c r="QPR678" s="37"/>
      <c r="QPS678" s="37"/>
      <c r="QPT678" s="37"/>
      <c r="QPU678" s="37"/>
      <c r="QPV678" s="37"/>
      <c r="QPW678" s="37"/>
      <c r="QPX678" s="37"/>
      <c r="QPY678" s="37"/>
      <c r="QPZ678" s="37"/>
      <c r="QQA678" s="37"/>
      <c r="QQB678" s="37"/>
      <c r="QQC678" s="37"/>
      <c r="QQD678" s="37"/>
      <c r="QQE678" s="37"/>
      <c r="QQF678" s="37"/>
      <c r="QQG678" s="37"/>
      <c r="QQH678" s="37"/>
      <c r="QQI678" s="37"/>
      <c r="QQJ678" s="37"/>
      <c r="QQK678" s="37"/>
      <c r="QQL678" s="37"/>
      <c r="QQM678" s="37"/>
      <c r="QQN678" s="37"/>
      <c r="QQO678" s="37"/>
      <c r="QQP678" s="37"/>
      <c r="QQQ678" s="37"/>
      <c r="QQR678" s="37"/>
      <c r="QQS678" s="37"/>
      <c r="QQT678" s="37"/>
      <c r="QQU678" s="37"/>
      <c r="QQV678" s="37"/>
      <c r="QQW678" s="37"/>
      <c r="QQX678" s="37"/>
      <c r="QQY678" s="37"/>
      <c r="QQZ678" s="37"/>
      <c r="QRA678" s="37"/>
      <c r="QRB678" s="37"/>
      <c r="QRC678" s="37"/>
      <c r="QRD678" s="37"/>
      <c r="QRE678" s="37"/>
      <c r="QRF678" s="37"/>
      <c r="QRG678" s="37"/>
      <c r="QRH678" s="37"/>
      <c r="QRI678" s="37"/>
      <c r="QRJ678" s="37"/>
      <c r="QRK678" s="37"/>
      <c r="QRL678" s="37"/>
      <c r="QRM678" s="37"/>
      <c r="QRN678" s="37"/>
      <c r="QRO678" s="37"/>
      <c r="QRP678" s="37"/>
      <c r="QRQ678" s="37"/>
      <c r="QRR678" s="37"/>
      <c r="QRS678" s="37"/>
      <c r="QRT678" s="37"/>
      <c r="QRU678" s="37"/>
      <c r="QRV678" s="37"/>
      <c r="QRW678" s="37"/>
      <c r="QRX678" s="37"/>
      <c r="QRY678" s="37"/>
      <c r="QRZ678" s="37"/>
      <c r="QSA678" s="37"/>
      <c r="QSB678" s="37"/>
      <c r="QSC678" s="37"/>
      <c r="QSD678" s="37"/>
      <c r="QSE678" s="37"/>
      <c r="QSF678" s="37"/>
      <c r="QSG678" s="37"/>
      <c r="QSH678" s="37"/>
      <c r="QSI678" s="37"/>
      <c r="QSJ678" s="37"/>
      <c r="QSK678" s="37"/>
      <c r="QSL678" s="37"/>
      <c r="QSM678" s="37"/>
      <c r="QSN678" s="37"/>
      <c r="QSO678" s="37"/>
      <c r="QSP678" s="37"/>
      <c r="QSQ678" s="37"/>
      <c r="QSR678" s="37"/>
      <c r="QSS678" s="37"/>
      <c r="QST678" s="37"/>
      <c r="QSU678" s="37"/>
      <c r="QSV678" s="37"/>
      <c r="QSW678" s="37"/>
      <c r="QSX678" s="37"/>
      <c r="QSY678" s="37"/>
      <c r="QSZ678" s="37"/>
      <c r="QTA678" s="37"/>
      <c r="QTB678" s="37"/>
      <c r="QTC678" s="37"/>
      <c r="QTD678" s="37"/>
      <c r="QTE678" s="37"/>
      <c r="QTF678" s="37"/>
      <c r="QTG678" s="37"/>
      <c r="QTH678" s="37"/>
      <c r="QTI678" s="37"/>
      <c r="QTJ678" s="37"/>
      <c r="QTK678" s="37"/>
      <c r="QTL678" s="37"/>
      <c r="QTM678" s="37"/>
      <c r="QTN678" s="37"/>
      <c r="QTO678" s="37"/>
      <c r="QTP678" s="37"/>
      <c r="QTQ678" s="37"/>
      <c r="QTR678" s="37"/>
      <c r="QTS678" s="37"/>
      <c r="QTT678" s="37"/>
      <c r="QTU678" s="37"/>
      <c r="QTV678" s="37"/>
      <c r="QTW678" s="37"/>
      <c r="QTX678" s="37"/>
      <c r="QTY678" s="37"/>
      <c r="QTZ678" s="37"/>
      <c r="QUA678" s="37"/>
      <c r="QUB678" s="37"/>
      <c r="QUC678" s="37"/>
      <c r="QUD678" s="37"/>
      <c r="QUE678" s="37"/>
      <c r="QUF678" s="37"/>
      <c r="QUG678" s="37"/>
      <c r="QUH678" s="37"/>
      <c r="QUI678" s="37"/>
      <c r="QUJ678" s="37"/>
      <c r="QUK678" s="37"/>
      <c r="QUL678" s="37"/>
      <c r="QUM678" s="37"/>
      <c r="QUN678" s="37"/>
      <c r="QUO678" s="37"/>
      <c r="QUP678" s="37"/>
      <c r="QUQ678" s="37"/>
      <c r="QUR678" s="37"/>
      <c r="QUS678" s="37"/>
      <c r="QUT678" s="37"/>
      <c r="QUU678" s="37"/>
      <c r="QUV678" s="37"/>
      <c r="QUW678" s="37"/>
      <c r="QUX678" s="37"/>
      <c r="QUY678" s="37"/>
      <c r="QUZ678" s="37"/>
      <c r="QVA678" s="37"/>
      <c r="QVB678" s="37"/>
      <c r="QVC678" s="37"/>
      <c r="QVD678" s="37"/>
      <c r="QVE678" s="37"/>
      <c r="QVF678" s="37"/>
      <c r="QVG678" s="37"/>
      <c r="QVH678" s="37"/>
      <c r="QVI678" s="37"/>
      <c r="QVJ678" s="37"/>
      <c r="QVK678" s="37"/>
      <c r="QVL678" s="37"/>
      <c r="QVM678" s="37"/>
      <c r="QVN678" s="37"/>
      <c r="QVO678" s="37"/>
      <c r="QVP678" s="37"/>
      <c r="QVQ678" s="37"/>
      <c r="QVR678" s="37"/>
      <c r="QVS678" s="37"/>
      <c r="QVT678" s="37"/>
      <c r="QVU678" s="37"/>
      <c r="QVV678" s="37"/>
      <c r="QVW678" s="37"/>
      <c r="QVX678" s="37"/>
      <c r="QVY678" s="37"/>
      <c r="QVZ678" s="37"/>
      <c r="QWA678" s="37"/>
      <c r="QWB678" s="37"/>
      <c r="QWC678" s="37"/>
      <c r="QWD678" s="37"/>
      <c r="QWE678" s="37"/>
      <c r="QWF678" s="37"/>
      <c r="QWG678" s="37"/>
      <c r="QWH678" s="37"/>
      <c r="QWI678" s="37"/>
      <c r="QWJ678" s="37"/>
      <c r="QWK678" s="37"/>
      <c r="QWL678" s="37"/>
      <c r="QWM678" s="37"/>
      <c r="QWN678" s="37"/>
      <c r="QWO678" s="37"/>
      <c r="QWP678" s="37"/>
      <c r="QWQ678" s="37"/>
      <c r="QWR678" s="37"/>
      <c r="QWS678" s="37"/>
      <c r="QWT678" s="37"/>
      <c r="QWU678" s="37"/>
      <c r="QWV678" s="37"/>
      <c r="QWW678" s="37"/>
      <c r="QWX678" s="37"/>
      <c r="QWY678" s="37"/>
      <c r="QWZ678" s="37"/>
      <c r="QXA678" s="37"/>
      <c r="QXB678" s="37"/>
      <c r="QXC678" s="37"/>
      <c r="QXD678" s="37"/>
      <c r="QXE678" s="37"/>
      <c r="QXF678" s="37"/>
      <c r="QXG678" s="37"/>
      <c r="QXH678" s="37"/>
      <c r="QXI678" s="37"/>
      <c r="QXJ678" s="37"/>
      <c r="QXK678" s="37"/>
      <c r="QXL678" s="37"/>
      <c r="QXM678" s="37"/>
      <c r="QXN678" s="37"/>
      <c r="QXO678" s="37"/>
      <c r="QXP678" s="37"/>
      <c r="QXQ678" s="37"/>
      <c r="QXR678" s="37"/>
      <c r="QXS678" s="37"/>
      <c r="QXT678" s="37"/>
      <c r="QXU678" s="37"/>
      <c r="QXV678" s="37"/>
      <c r="QXW678" s="37"/>
      <c r="QXX678" s="37"/>
      <c r="QXY678" s="37"/>
      <c r="QXZ678" s="37"/>
      <c r="QYA678" s="37"/>
      <c r="QYB678" s="37"/>
      <c r="QYC678" s="37"/>
      <c r="QYD678" s="37"/>
      <c r="QYE678" s="37"/>
      <c r="QYF678" s="37"/>
      <c r="QYG678" s="37"/>
      <c r="QYH678" s="37"/>
      <c r="QYI678" s="37"/>
      <c r="QYJ678" s="37"/>
      <c r="QYK678" s="37"/>
      <c r="QYL678" s="37"/>
      <c r="QYM678" s="37"/>
      <c r="QYN678" s="37"/>
      <c r="QYO678" s="37"/>
      <c r="QYP678" s="37"/>
      <c r="QYQ678" s="37"/>
      <c r="QYR678" s="37"/>
      <c r="QYS678" s="37"/>
      <c r="QYT678" s="37"/>
      <c r="QYU678" s="37"/>
      <c r="QYV678" s="37"/>
      <c r="QYW678" s="37"/>
      <c r="QYX678" s="37"/>
      <c r="QYY678" s="37"/>
      <c r="QYZ678" s="37"/>
      <c r="QZA678" s="37"/>
      <c r="QZB678" s="37"/>
      <c r="QZC678" s="37"/>
      <c r="QZD678" s="37"/>
      <c r="QZE678" s="37"/>
      <c r="QZF678" s="37"/>
      <c r="QZG678" s="37"/>
      <c r="QZH678" s="37"/>
      <c r="QZI678" s="37"/>
      <c r="QZJ678" s="37"/>
      <c r="QZK678" s="37"/>
      <c r="QZL678" s="37"/>
      <c r="QZM678" s="37"/>
      <c r="QZN678" s="37"/>
      <c r="QZO678" s="37"/>
      <c r="QZP678" s="37"/>
      <c r="QZQ678" s="37"/>
      <c r="QZR678" s="37"/>
      <c r="QZS678" s="37"/>
      <c r="QZT678" s="37"/>
      <c r="QZU678" s="37"/>
      <c r="QZV678" s="37"/>
      <c r="QZW678" s="37"/>
      <c r="QZX678" s="37"/>
      <c r="QZY678" s="37"/>
      <c r="QZZ678" s="37"/>
      <c r="RAA678" s="37"/>
      <c r="RAB678" s="37"/>
      <c r="RAC678" s="37"/>
      <c r="RAD678" s="37"/>
      <c r="RAE678" s="37"/>
      <c r="RAF678" s="37"/>
      <c r="RAG678" s="37"/>
      <c r="RAH678" s="37"/>
      <c r="RAI678" s="37"/>
      <c r="RAJ678" s="37"/>
      <c r="RAK678" s="37"/>
      <c r="RAL678" s="37"/>
      <c r="RAM678" s="37"/>
      <c r="RAN678" s="37"/>
      <c r="RAO678" s="37"/>
      <c r="RAP678" s="37"/>
      <c r="RAQ678" s="37"/>
      <c r="RAR678" s="37"/>
      <c r="RAS678" s="37"/>
      <c r="RAT678" s="37"/>
      <c r="RAU678" s="37"/>
      <c r="RAV678" s="37"/>
      <c r="RAW678" s="37"/>
      <c r="RAX678" s="37"/>
      <c r="RAY678" s="37"/>
      <c r="RAZ678" s="37"/>
      <c r="RBA678" s="37"/>
      <c r="RBB678" s="37"/>
      <c r="RBC678" s="37"/>
      <c r="RBD678" s="37"/>
      <c r="RBE678" s="37"/>
      <c r="RBF678" s="37"/>
      <c r="RBG678" s="37"/>
      <c r="RBH678" s="37"/>
      <c r="RBI678" s="37"/>
      <c r="RBJ678" s="37"/>
      <c r="RBK678" s="37"/>
      <c r="RBL678" s="37"/>
      <c r="RBM678" s="37"/>
      <c r="RBN678" s="37"/>
      <c r="RBO678" s="37"/>
      <c r="RBP678" s="37"/>
      <c r="RBQ678" s="37"/>
      <c r="RBR678" s="37"/>
      <c r="RBS678" s="37"/>
      <c r="RBT678" s="37"/>
      <c r="RBU678" s="37"/>
      <c r="RBV678" s="37"/>
      <c r="RBW678" s="37"/>
      <c r="RBX678" s="37"/>
      <c r="RBY678" s="37"/>
      <c r="RBZ678" s="37"/>
      <c r="RCA678" s="37"/>
      <c r="RCB678" s="37"/>
      <c r="RCC678" s="37"/>
      <c r="RCD678" s="37"/>
      <c r="RCE678" s="37"/>
      <c r="RCF678" s="37"/>
      <c r="RCG678" s="37"/>
      <c r="RCH678" s="37"/>
      <c r="RCI678" s="37"/>
      <c r="RCJ678" s="37"/>
      <c r="RCK678" s="37"/>
      <c r="RCL678" s="37"/>
      <c r="RCM678" s="37"/>
      <c r="RCN678" s="37"/>
      <c r="RCO678" s="37"/>
      <c r="RCP678" s="37"/>
      <c r="RCQ678" s="37"/>
      <c r="RCR678" s="37"/>
      <c r="RCS678" s="37"/>
      <c r="RCT678" s="37"/>
      <c r="RCU678" s="37"/>
      <c r="RCV678" s="37"/>
      <c r="RCW678" s="37"/>
      <c r="RCX678" s="37"/>
      <c r="RCY678" s="37"/>
      <c r="RCZ678" s="37"/>
      <c r="RDA678" s="37"/>
      <c r="RDB678" s="37"/>
      <c r="RDC678" s="37"/>
      <c r="RDD678" s="37"/>
      <c r="RDE678" s="37"/>
      <c r="RDF678" s="37"/>
      <c r="RDG678" s="37"/>
      <c r="RDH678" s="37"/>
      <c r="RDI678" s="37"/>
      <c r="RDJ678" s="37"/>
      <c r="RDK678" s="37"/>
      <c r="RDL678" s="37"/>
      <c r="RDM678" s="37"/>
      <c r="RDN678" s="37"/>
      <c r="RDO678" s="37"/>
      <c r="RDP678" s="37"/>
      <c r="RDQ678" s="37"/>
      <c r="RDR678" s="37"/>
      <c r="RDS678" s="37"/>
      <c r="RDT678" s="37"/>
      <c r="RDU678" s="37"/>
      <c r="RDV678" s="37"/>
      <c r="RDW678" s="37"/>
      <c r="RDX678" s="37"/>
      <c r="RDY678" s="37"/>
      <c r="RDZ678" s="37"/>
      <c r="REA678" s="37"/>
      <c r="REB678" s="37"/>
      <c r="REC678" s="37"/>
      <c r="RED678" s="37"/>
      <c r="REE678" s="37"/>
      <c r="REF678" s="37"/>
      <c r="REG678" s="37"/>
      <c r="REH678" s="37"/>
      <c r="REI678" s="37"/>
      <c r="REJ678" s="37"/>
      <c r="REK678" s="37"/>
      <c r="REL678" s="37"/>
      <c r="REM678" s="37"/>
      <c r="REN678" s="37"/>
      <c r="REO678" s="37"/>
      <c r="REP678" s="37"/>
      <c r="REQ678" s="37"/>
      <c r="RER678" s="37"/>
      <c r="RES678" s="37"/>
      <c r="RET678" s="37"/>
      <c r="REU678" s="37"/>
      <c r="REV678" s="37"/>
      <c r="REW678" s="37"/>
      <c r="REX678" s="37"/>
      <c r="REY678" s="37"/>
      <c r="REZ678" s="37"/>
      <c r="RFA678" s="37"/>
      <c r="RFB678" s="37"/>
      <c r="RFC678" s="37"/>
      <c r="RFD678" s="37"/>
      <c r="RFE678" s="37"/>
      <c r="RFF678" s="37"/>
      <c r="RFG678" s="37"/>
      <c r="RFH678" s="37"/>
      <c r="RFI678" s="37"/>
      <c r="RFJ678" s="37"/>
      <c r="RFK678" s="37"/>
      <c r="RFL678" s="37"/>
      <c r="RFM678" s="37"/>
      <c r="RFN678" s="37"/>
      <c r="RFO678" s="37"/>
      <c r="RFP678" s="37"/>
      <c r="RFQ678" s="37"/>
      <c r="RFR678" s="37"/>
      <c r="RFS678" s="37"/>
      <c r="RFT678" s="37"/>
      <c r="RFU678" s="37"/>
      <c r="RFV678" s="37"/>
      <c r="RFW678" s="37"/>
      <c r="RFX678" s="37"/>
      <c r="RFY678" s="37"/>
      <c r="RFZ678" s="37"/>
      <c r="RGA678" s="37"/>
      <c r="RGB678" s="37"/>
      <c r="RGC678" s="37"/>
      <c r="RGD678" s="37"/>
      <c r="RGE678" s="37"/>
      <c r="RGF678" s="37"/>
      <c r="RGG678" s="37"/>
      <c r="RGH678" s="37"/>
      <c r="RGI678" s="37"/>
      <c r="RGJ678" s="37"/>
      <c r="RGK678" s="37"/>
      <c r="RGL678" s="37"/>
      <c r="RGM678" s="37"/>
      <c r="RGN678" s="37"/>
      <c r="RGO678" s="37"/>
      <c r="RGP678" s="37"/>
      <c r="RGQ678" s="37"/>
      <c r="RGR678" s="37"/>
      <c r="RGS678" s="37"/>
      <c r="RGT678" s="37"/>
      <c r="RGU678" s="37"/>
      <c r="RGV678" s="37"/>
      <c r="RGW678" s="37"/>
      <c r="RGX678" s="37"/>
      <c r="RGY678" s="37"/>
      <c r="RGZ678" s="37"/>
      <c r="RHA678" s="37"/>
      <c r="RHB678" s="37"/>
      <c r="RHC678" s="37"/>
      <c r="RHD678" s="37"/>
      <c r="RHE678" s="37"/>
      <c r="RHF678" s="37"/>
      <c r="RHG678" s="37"/>
      <c r="RHH678" s="37"/>
      <c r="RHI678" s="37"/>
      <c r="RHJ678" s="37"/>
      <c r="RHK678" s="37"/>
      <c r="RHL678" s="37"/>
      <c r="RHM678" s="37"/>
      <c r="RHN678" s="37"/>
      <c r="RHO678" s="37"/>
      <c r="RHP678" s="37"/>
      <c r="RHQ678" s="37"/>
      <c r="RHR678" s="37"/>
      <c r="RHS678" s="37"/>
      <c r="RHT678" s="37"/>
      <c r="RHU678" s="37"/>
      <c r="RHV678" s="37"/>
      <c r="RHW678" s="37"/>
      <c r="RHX678" s="37"/>
      <c r="RHY678" s="37"/>
      <c r="RHZ678" s="37"/>
      <c r="RIA678" s="37"/>
      <c r="RIB678" s="37"/>
      <c r="RIC678" s="37"/>
      <c r="RID678" s="37"/>
      <c r="RIE678" s="37"/>
      <c r="RIF678" s="37"/>
      <c r="RIG678" s="37"/>
      <c r="RIH678" s="37"/>
      <c r="RII678" s="37"/>
      <c r="RIJ678" s="37"/>
      <c r="RIK678" s="37"/>
      <c r="RIL678" s="37"/>
      <c r="RIM678" s="37"/>
      <c r="RIN678" s="37"/>
      <c r="RIO678" s="37"/>
      <c r="RIP678" s="37"/>
      <c r="RIQ678" s="37"/>
      <c r="RIR678" s="37"/>
      <c r="RIS678" s="37"/>
      <c r="RIT678" s="37"/>
      <c r="RIU678" s="37"/>
      <c r="RIV678" s="37"/>
      <c r="RIW678" s="37"/>
      <c r="RIX678" s="37"/>
      <c r="RIY678" s="37"/>
      <c r="RIZ678" s="37"/>
      <c r="RJA678" s="37"/>
      <c r="RJB678" s="37"/>
      <c r="RJC678" s="37"/>
      <c r="RJD678" s="37"/>
      <c r="RJE678" s="37"/>
      <c r="RJF678" s="37"/>
      <c r="RJG678" s="37"/>
      <c r="RJH678" s="37"/>
      <c r="RJI678" s="37"/>
      <c r="RJJ678" s="37"/>
      <c r="RJK678" s="37"/>
      <c r="RJL678" s="37"/>
      <c r="RJM678" s="37"/>
      <c r="RJN678" s="37"/>
      <c r="RJO678" s="37"/>
      <c r="RJP678" s="37"/>
      <c r="RJQ678" s="37"/>
      <c r="RJR678" s="37"/>
      <c r="RJS678" s="37"/>
      <c r="RJT678" s="37"/>
      <c r="RJU678" s="37"/>
      <c r="RJV678" s="37"/>
      <c r="RJW678" s="37"/>
      <c r="RJX678" s="37"/>
      <c r="RJY678" s="37"/>
      <c r="RJZ678" s="37"/>
      <c r="RKA678" s="37"/>
      <c r="RKB678" s="37"/>
      <c r="RKC678" s="37"/>
      <c r="RKD678" s="37"/>
      <c r="RKE678" s="37"/>
      <c r="RKF678" s="37"/>
      <c r="RKG678" s="37"/>
      <c r="RKH678" s="37"/>
      <c r="RKI678" s="37"/>
      <c r="RKJ678" s="37"/>
      <c r="RKK678" s="37"/>
      <c r="RKL678" s="37"/>
      <c r="RKM678" s="37"/>
      <c r="RKN678" s="37"/>
      <c r="RKO678" s="37"/>
      <c r="RKP678" s="37"/>
      <c r="RKQ678" s="37"/>
      <c r="RKR678" s="37"/>
      <c r="RKS678" s="37"/>
      <c r="RKT678" s="37"/>
      <c r="RKU678" s="37"/>
      <c r="RKV678" s="37"/>
      <c r="RKW678" s="37"/>
      <c r="RKX678" s="37"/>
      <c r="RKY678" s="37"/>
      <c r="RKZ678" s="37"/>
      <c r="RLA678" s="37"/>
      <c r="RLB678" s="37"/>
      <c r="RLC678" s="37"/>
      <c r="RLD678" s="37"/>
      <c r="RLE678" s="37"/>
      <c r="RLF678" s="37"/>
      <c r="RLG678" s="37"/>
      <c r="RLH678" s="37"/>
      <c r="RLI678" s="37"/>
      <c r="RLJ678" s="37"/>
      <c r="RLK678" s="37"/>
      <c r="RLL678" s="37"/>
      <c r="RLM678" s="37"/>
      <c r="RLN678" s="37"/>
      <c r="RLO678" s="37"/>
      <c r="RLP678" s="37"/>
      <c r="RLQ678" s="37"/>
      <c r="RLR678" s="37"/>
      <c r="RLS678" s="37"/>
      <c r="RLT678" s="37"/>
      <c r="RLU678" s="37"/>
      <c r="RLV678" s="37"/>
      <c r="RLW678" s="37"/>
      <c r="RLX678" s="37"/>
      <c r="RLY678" s="37"/>
      <c r="RLZ678" s="37"/>
      <c r="RMA678" s="37"/>
      <c r="RMB678" s="37"/>
      <c r="RMC678" s="37"/>
      <c r="RMD678" s="37"/>
      <c r="RME678" s="37"/>
      <c r="RMF678" s="37"/>
      <c r="RMG678" s="37"/>
      <c r="RMH678" s="37"/>
      <c r="RMI678" s="37"/>
      <c r="RMJ678" s="37"/>
      <c r="RMK678" s="37"/>
      <c r="RML678" s="37"/>
      <c r="RMM678" s="37"/>
      <c r="RMN678" s="37"/>
      <c r="RMO678" s="37"/>
      <c r="RMP678" s="37"/>
      <c r="RMQ678" s="37"/>
      <c r="RMR678" s="37"/>
      <c r="RMS678" s="37"/>
      <c r="RMT678" s="37"/>
      <c r="RMU678" s="37"/>
      <c r="RMV678" s="37"/>
      <c r="RMW678" s="37"/>
      <c r="RMX678" s="37"/>
      <c r="RMY678" s="37"/>
      <c r="RMZ678" s="37"/>
      <c r="RNA678" s="37"/>
      <c r="RNB678" s="37"/>
      <c r="RNC678" s="37"/>
      <c r="RND678" s="37"/>
      <c r="RNE678" s="37"/>
      <c r="RNF678" s="37"/>
      <c r="RNG678" s="37"/>
      <c r="RNH678" s="37"/>
      <c r="RNI678" s="37"/>
      <c r="RNJ678" s="37"/>
      <c r="RNK678" s="37"/>
      <c r="RNL678" s="37"/>
      <c r="RNM678" s="37"/>
      <c r="RNN678" s="37"/>
      <c r="RNO678" s="37"/>
      <c r="RNP678" s="37"/>
      <c r="RNQ678" s="37"/>
      <c r="RNR678" s="37"/>
      <c r="RNS678" s="37"/>
      <c r="RNT678" s="37"/>
      <c r="RNU678" s="37"/>
      <c r="RNV678" s="37"/>
      <c r="RNW678" s="37"/>
      <c r="RNX678" s="37"/>
      <c r="RNY678" s="37"/>
      <c r="RNZ678" s="37"/>
      <c r="ROA678" s="37"/>
      <c r="ROB678" s="37"/>
      <c r="ROC678" s="37"/>
      <c r="ROD678" s="37"/>
      <c r="ROE678" s="37"/>
      <c r="ROF678" s="37"/>
      <c r="ROG678" s="37"/>
      <c r="ROH678" s="37"/>
      <c r="ROI678" s="37"/>
      <c r="ROJ678" s="37"/>
      <c r="ROK678" s="37"/>
      <c r="ROL678" s="37"/>
      <c r="ROM678" s="37"/>
      <c r="RON678" s="37"/>
      <c r="ROO678" s="37"/>
      <c r="ROP678" s="37"/>
      <c r="ROQ678" s="37"/>
      <c r="ROR678" s="37"/>
      <c r="ROS678" s="37"/>
      <c r="ROT678" s="37"/>
      <c r="ROU678" s="37"/>
      <c r="ROV678" s="37"/>
      <c r="ROW678" s="37"/>
      <c r="ROX678" s="37"/>
      <c r="ROY678" s="37"/>
      <c r="ROZ678" s="37"/>
      <c r="RPA678" s="37"/>
      <c r="RPB678" s="37"/>
      <c r="RPC678" s="37"/>
      <c r="RPD678" s="37"/>
      <c r="RPE678" s="37"/>
      <c r="RPF678" s="37"/>
      <c r="RPG678" s="37"/>
      <c r="RPH678" s="37"/>
      <c r="RPI678" s="37"/>
      <c r="RPJ678" s="37"/>
      <c r="RPK678" s="37"/>
      <c r="RPL678" s="37"/>
      <c r="RPM678" s="37"/>
      <c r="RPN678" s="37"/>
      <c r="RPO678" s="37"/>
      <c r="RPP678" s="37"/>
      <c r="RPQ678" s="37"/>
      <c r="RPR678" s="37"/>
      <c r="RPS678" s="37"/>
      <c r="RPT678" s="37"/>
      <c r="RPU678" s="37"/>
      <c r="RPV678" s="37"/>
      <c r="RPW678" s="37"/>
      <c r="RPX678" s="37"/>
      <c r="RPY678" s="37"/>
      <c r="RPZ678" s="37"/>
      <c r="RQA678" s="37"/>
      <c r="RQB678" s="37"/>
      <c r="RQC678" s="37"/>
      <c r="RQD678" s="37"/>
      <c r="RQE678" s="37"/>
      <c r="RQF678" s="37"/>
      <c r="RQG678" s="37"/>
      <c r="RQH678" s="37"/>
      <c r="RQI678" s="37"/>
      <c r="RQJ678" s="37"/>
      <c r="RQK678" s="37"/>
      <c r="RQL678" s="37"/>
      <c r="RQM678" s="37"/>
      <c r="RQN678" s="37"/>
      <c r="RQO678" s="37"/>
      <c r="RQP678" s="37"/>
      <c r="RQQ678" s="37"/>
      <c r="RQR678" s="37"/>
      <c r="RQS678" s="37"/>
      <c r="RQT678" s="37"/>
      <c r="RQU678" s="37"/>
      <c r="RQV678" s="37"/>
      <c r="RQW678" s="37"/>
      <c r="RQX678" s="37"/>
      <c r="RQY678" s="37"/>
      <c r="RQZ678" s="37"/>
      <c r="RRA678" s="37"/>
      <c r="RRB678" s="37"/>
      <c r="RRC678" s="37"/>
      <c r="RRD678" s="37"/>
      <c r="RRE678" s="37"/>
      <c r="RRF678" s="37"/>
      <c r="RRG678" s="37"/>
      <c r="RRH678" s="37"/>
      <c r="RRI678" s="37"/>
      <c r="RRJ678" s="37"/>
      <c r="RRK678" s="37"/>
      <c r="RRL678" s="37"/>
      <c r="RRM678" s="37"/>
      <c r="RRN678" s="37"/>
      <c r="RRO678" s="37"/>
      <c r="RRP678" s="37"/>
      <c r="RRQ678" s="37"/>
      <c r="RRR678" s="37"/>
      <c r="RRS678" s="37"/>
      <c r="RRT678" s="37"/>
      <c r="RRU678" s="37"/>
      <c r="RRV678" s="37"/>
      <c r="RRW678" s="37"/>
      <c r="RRX678" s="37"/>
      <c r="RRY678" s="37"/>
      <c r="RRZ678" s="37"/>
      <c r="RSA678" s="37"/>
      <c r="RSB678" s="37"/>
      <c r="RSC678" s="37"/>
      <c r="RSD678" s="37"/>
      <c r="RSE678" s="37"/>
      <c r="RSF678" s="37"/>
      <c r="RSG678" s="37"/>
      <c r="RSH678" s="37"/>
      <c r="RSI678" s="37"/>
      <c r="RSJ678" s="37"/>
      <c r="RSK678" s="37"/>
      <c r="RSL678" s="37"/>
      <c r="RSM678" s="37"/>
      <c r="RSN678" s="37"/>
      <c r="RSO678" s="37"/>
      <c r="RSP678" s="37"/>
      <c r="RSQ678" s="37"/>
      <c r="RSR678" s="37"/>
      <c r="RSS678" s="37"/>
      <c r="RST678" s="37"/>
      <c r="RSU678" s="37"/>
      <c r="RSV678" s="37"/>
      <c r="RSW678" s="37"/>
      <c r="RSX678" s="37"/>
      <c r="RSY678" s="37"/>
      <c r="RSZ678" s="37"/>
      <c r="RTA678" s="37"/>
      <c r="RTB678" s="37"/>
      <c r="RTC678" s="37"/>
      <c r="RTD678" s="37"/>
      <c r="RTE678" s="37"/>
      <c r="RTF678" s="37"/>
      <c r="RTG678" s="37"/>
      <c r="RTH678" s="37"/>
      <c r="RTI678" s="37"/>
      <c r="RTJ678" s="37"/>
      <c r="RTK678" s="37"/>
      <c r="RTL678" s="37"/>
      <c r="RTM678" s="37"/>
      <c r="RTN678" s="37"/>
      <c r="RTO678" s="37"/>
      <c r="RTP678" s="37"/>
      <c r="RTQ678" s="37"/>
      <c r="RTR678" s="37"/>
      <c r="RTS678" s="37"/>
      <c r="RTT678" s="37"/>
      <c r="RTU678" s="37"/>
      <c r="RTV678" s="37"/>
      <c r="RTW678" s="37"/>
      <c r="RTX678" s="37"/>
      <c r="RTY678" s="37"/>
      <c r="RTZ678" s="37"/>
      <c r="RUA678" s="37"/>
      <c r="RUB678" s="37"/>
      <c r="RUC678" s="37"/>
      <c r="RUD678" s="37"/>
      <c r="RUE678" s="37"/>
      <c r="RUF678" s="37"/>
      <c r="RUG678" s="37"/>
      <c r="RUH678" s="37"/>
      <c r="RUI678" s="37"/>
      <c r="RUJ678" s="37"/>
      <c r="RUK678" s="37"/>
      <c r="RUL678" s="37"/>
      <c r="RUM678" s="37"/>
      <c r="RUN678" s="37"/>
      <c r="RUO678" s="37"/>
      <c r="RUP678" s="37"/>
      <c r="RUQ678" s="37"/>
      <c r="RUR678" s="37"/>
      <c r="RUS678" s="37"/>
      <c r="RUT678" s="37"/>
      <c r="RUU678" s="37"/>
      <c r="RUV678" s="37"/>
      <c r="RUW678" s="37"/>
      <c r="RUX678" s="37"/>
      <c r="RUY678" s="37"/>
      <c r="RUZ678" s="37"/>
      <c r="RVA678" s="37"/>
      <c r="RVB678" s="37"/>
      <c r="RVC678" s="37"/>
      <c r="RVD678" s="37"/>
      <c r="RVE678" s="37"/>
      <c r="RVF678" s="37"/>
      <c r="RVG678" s="37"/>
      <c r="RVH678" s="37"/>
      <c r="RVI678" s="37"/>
      <c r="RVJ678" s="37"/>
      <c r="RVK678" s="37"/>
      <c r="RVL678" s="37"/>
      <c r="RVM678" s="37"/>
      <c r="RVN678" s="37"/>
      <c r="RVO678" s="37"/>
      <c r="RVP678" s="37"/>
      <c r="RVQ678" s="37"/>
      <c r="RVR678" s="37"/>
      <c r="RVS678" s="37"/>
      <c r="RVT678" s="37"/>
      <c r="RVU678" s="37"/>
      <c r="RVV678" s="37"/>
      <c r="RVW678" s="37"/>
      <c r="RVX678" s="37"/>
      <c r="RVY678" s="37"/>
      <c r="RVZ678" s="37"/>
      <c r="RWA678" s="37"/>
      <c r="RWB678" s="37"/>
      <c r="RWC678" s="37"/>
      <c r="RWD678" s="37"/>
      <c r="RWE678" s="37"/>
      <c r="RWF678" s="37"/>
      <c r="RWG678" s="37"/>
      <c r="RWH678" s="37"/>
      <c r="RWI678" s="37"/>
      <c r="RWJ678" s="37"/>
      <c r="RWK678" s="37"/>
      <c r="RWL678" s="37"/>
      <c r="RWM678" s="37"/>
      <c r="RWN678" s="37"/>
      <c r="RWO678" s="37"/>
      <c r="RWP678" s="37"/>
      <c r="RWQ678" s="37"/>
      <c r="RWR678" s="37"/>
      <c r="RWS678" s="37"/>
      <c r="RWT678" s="37"/>
      <c r="RWU678" s="37"/>
      <c r="RWV678" s="37"/>
      <c r="RWW678" s="37"/>
      <c r="RWX678" s="37"/>
      <c r="RWY678" s="37"/>
      <c r="RWZ678" s="37"/>
      <c r="RXA678" s="37"/>
      <c r="RXB678" s="37"/>
      <c r="RXC678" s="37"/>
      <c r="RXD678" s="37"/>
      <c r="RXE678" s="37"/>
      <c r="RXF678" s="37"/>
      <c r="RXG678" s="37"/>
      <c r="RXH678" s="37"/>
      <c r="RXI678" s="37"/>
      <c r="RXJ678" s="37"/>
      <c r="RXK678" s="37"/>
      <c r="RXL678" s="37"/>
      <c r="RXM678" s="37"/>
      <c r="RXN678" s="37"/>
      <c r="RXO678" s="37"/>
      <c r="RXP678" s="37"/>
      <c r="RXQ678" s="37"/>
      <c r="RXR678" s="37"/>
      <c r="RXS678" s="37"/>
      <c r="RXT678" s="37"/>
      <c r="RXU678" s="37"/>
      <c r="RXV678" s="37"/>
      <c r="RXW678" s="37"/>
      <c r="RXX678" s="37"/>
      <c r="RXY678" s="37"/>
      <c r="RXZ678" s="37"/>
      <c r="RYA678" s="37"/>
      <c r="RYB678" s="37"/>
      <c r="RYC678" s="37"/>
      <c r="RYD678" s="37"/>
      <c r="RYE678" s="37"/>
      <c r="RYF678" s="37"/>
      <c r="RYG678" s="37"/>
      <c r="RYH678" s="37"/>
      <c r="RYI678" s="37"/>
      <c r="RYJ678" s="37"/>
      <c r="RYK678" s="37"/>
      <c r="RYL678" s="37"/>
      <c r="RYM678" s="37"/>
      <c r="RYN678" s="37"/>
      <c r="RYO678" s="37"/>
      <c r="RYP678" s="37"/>
      <c r="RYQ678" s="37"/>
      <c r="RYR678" s="37"/>
      <c r="RYS678" s="37"/>
      <c r="RYT678" s="37"/>
      <c r="RYU678" s="37"/>
      <c r="RYV678" s="37"/>
      <c r="RYW678" s="37"/>
      <c r="RYX678" s="37"/>
      <c r="RYY678" s="37"/>
      <c r="RYZ678" s="37"/>
      <c r="RZA678" s="37"/>
      <c r="RZB678" s="37"/>
      <c r="RZC678" s="37"/>
      <c r="RZD678" s="37"/>
      <c r="RZE678" s="37"/>
      <c r="RZF678" s="37"/>
      <c r="RZG678" s="37"/>
      <c r="RZH678" s="37"/>
      <c r="RZI678" s="37"/>
      <c r="RZJ678" s="37"/>
      <c r="RZK678" s="37"/>
      <c r="RZL678" s="37"/>
      <c r="RZM678" s="37"/>
      <c r="RZN678" s="37"/>
      <c r="RZO678" s="37"/>
      <c r="RZP678" s="37"/>
      <c r="RZQ678" s="37"/>
      <c r="RZR678" s="37"/>
      <c r="RZS678" s="37"/>
      <c r="RZT678" s="37"/>
      <c r="RZU678" s="37"/>
      <c r="RZV678" s="37"/>
      <c r="RZW678" s="37"/>
      <c r="RZX678" s="37"/>
      <c r="RZY678" s="37"/>
      <c r="RZZ678" s="37"/>
      <c r="SAA678" s="37"/>
      <c r="SAB678" s="37"/>
      <c r="SAC678" s="37"/>
      <c r="SAD678" s="37"/>
      <c r="SAE678" s="37"/>
      <c r="SAF678" s="37"/>
      <c r="SAG678" s="37"/>
      <c r="SAH678" s="37"/>
      <c r="SAI678" s="37"/>
      <c r="SAJ678" s="37"/>
      <c r="SAK678" s="37"/>
      <c r="SAL678" s="37"/>
      <c r="SAM678" s="37"/>
      <c r="SAN678" s="37"/>
      <c r="SAO678" s="37"/>
      <c r="SAP678" s="37"/>
      <c r="SAQ678" s="37"/>
      <c r="SAR678" s="37"/>
      <c r="SAS678" s="37"/>
      <c r="SAT678" s="37"/>
      <c r="SAU678" s="37"/>
      <c r="SAV678" s="37"/>
      <c r="SAW678" s="37"/>
      <c r="SAX678" s="37"/>
      <c r="SAY678" s="37"/>
      <c r="SAZ678" s="37"/>
      <c r="SBA678" s="37"/>
      <c r="SBB678" s="37"/>
      <c r="SBC678" s="37"/>
      <c r="SBD678" s="37"/>
      <c r="SBE678" s="37"/>
      <c r="SBF678" s="37"/>
      <c r="SBG678" s="37"/>
      <c r="SBH678" s="37"/>
      <c r="SBI678" s="37"/>
      <c r="SBJ678" s="37"/>
      <c r="SBK678" s="37"/>
      <c r="SBL678" s="37"/>
      <c r="SBM678" s="37"/>
      <c r="SBN678" s="37"/>
      <c r="SBO678" s="37"/>
      <c r="SBP678" s="37"/>
      <c r="SBQ678" s="37"/>
      <c r="SBR678" s="37"/>
      <c r="SBS678" s="37"/>
      <c r="SBT678" s="37"/>
      <c r="SBU678" s="37"/>
      <c r="SBV678" s="37"/>
      <c r="SBW678" s="37"/>
      <c r="SBX678" s="37"/>
      <c r="SBY678" s="37"/>
      <c r="SBZ678" s="37"/>
      <c r="SCA678" s="37"/>
      <c r="SCB678" s="37"/>
      <c r="SCC678" s="37"/>
      <c r="SCD678" s="37"/>
      <c r="SCE678" s="37"/>
      <c r="SCF678" s="37"/>
      <c r="SCG678" s="37"/>
      <c r="SCH678" s="37"/>
      <c r="SCI678" s="37"/>
      <c r="SCJ678" s="37"/>
      <c r="SCK678" s="37"/>
      <c r="SCL678" s="37"/>
      <c r="SCM678" s="37"/>
      <c r="SCN678" s="37"/>
      <c r="SCO678" s="37"/>
      <c r="SCP678" s="37"/>
      <c r="SCQ678" s="37"/>
      <c r="SCR678" s="37"/>
      <c r="SCS678" s="37"/>
      <c r="SCT678" s="37"/>
      <c r="SCU678" s="37"/>
      <c r="SCV678" s="37"/>
      <c r="SCW678" s="37"/>
      <c r="SCX678" s="37"/>
      <c r="SCY678" s="37"/>
      <c r="SCZ678" s="37"/>
      <c r="SDA678" s="37"/>
      <c r="SDB678" s="37"/>
      <c r="SDC678" s="37"/>
      <c r="SDD678" s="37"/>
      <c r="SDE678" s="37"/>
      <c r="SDF678" s="37"/>
      <c r="SDG678" s="37"/>
      <c r="SDH678" s="37"/>
      <c r="SDI678" s="37"/>
      <c r="SDJ678" s="37"/>
      <c r="SDK678" s="37"/>
      <c r="SDL678" s="37"/>
      <c r="SDM678" s="37"/>
      <c r="SDN678" s="37"/>
      <c r="SDO678" s="37"/>
      <c r="SDP678" s="37"/>
      <c r="SDQ678" s="37"/>
      <c r="SDR678" s="37"/>
      <c r="SDS678" s="37"/>
      <c r="SDT678" s="37"/>
      <c r="SDU678" s="37"/>
      <c r="SDV678" s="37"/>
      <c r="SDW678" s="37"/>
      <c r="SDX678" s="37"/>
      <c r="SDY678" s="37"/>
      <c r="SDZ678" s="37"/>
      <c r="SEA678" s="37"/>
      <c r="SEB678" s="37"/>
      <c r="SEC678" s="37"/>
      <c r="SED678" s="37"/>
      <c r="SEE678" s="37"/>
      <c r="SEF678" s="37"/>
      <c r="SEG678" s="37"/>
      <c r="SEH678" s="37"/>
      <c r="SEI678" s="37"/>
      <c r="SEJ678" s="37"/>
      <c r="SEK678" s="37"/>
      <c r="SEL678" s="37"/>
      <c r="SEM678" s="37"/>
      <c r="SEN678" s="37"/>
      <c r="SEO678" s="37"/>
      <c r="SEP678" s="37"/>
      <c r="SEQ678" s="37"/>
      <c r="SER678" s="37"/>
      <c r="SES678" s="37"/>
      <c r="SET678" s="37"/>
      <c r="SEU678" s="37"/>
      <c r="SEV678" s="37"/>
      <c r="SEW678" s="37"/>
      <c r="SEX678" s="37"/>
      <c r="SEY678" s="37"/>
      <c r="SEZ678" s="37"/>
      <c r="SFA678" s="37"/>
      <c r="SFB678" s="37"/>
      <c r="SFC678" s="37"/>
      <c r="SFD678" s="37"/>
      <c r="SFE678" s="37"/>
      <c r="SFF678" s="37"/>
      <c r="SFG678" s="37"/>
      <c r="SFH678" s="37"/>
      <c r="SFI678" s="37"/>
      <c r="SFJ678" s="37"/>
      <c r="SFK678" s="37"/>
      <c r="SFL678" s="37"/>
      <c r="SFM678" s="37"/>
      <c r="SFN678" s="37"/>
      <c r="SFO678" s="37"/>
      <c r="SFP678" s="37"/>
      <c r="SFQ678" s="37"/>
      <c r="SFR678" s="37"/>
      <c r="SFS678" s="37"/>
      <c r="SFT678" s="37"/>
      <c r="SFU678" s="37"/>
      <c r="SFV678" s="37"/>
      <c r="SFW678" s="37"/>
      <c r="SFX678" s="37"/>
      <c r="SFY678" s="37"/>
      <c r="SFZ678" s="37"/>
      <c r="SGA678" s="37"/>
      <c r="SGB678" s="37"/>
      <c r="SGC678" s="37"/>
      <c r="SGD678" s="37"/>
      <c r="SGE678" s="37"/>
      <c r="SGF678" s="37"/>
      <c r="SGG678" s="37"/>
      <c r="SGH678" s="37"/>
      <c r="SGI678" s="37"/>
      <c r="SGJ678" s="37"/>
      <c r="SGK678" s="37"/>
      <c r="SGL678" s="37"/>
      <c r="SGM678" s="37"/>
      <c r="SGN678" s="37"/>
      <c r="SGO678" s="37"/>
      <c r="SGP678" s="37"/>
      <c r="SGQ678" s="37"/>
      <c r="SGR678" s="37"/>
      <c r="SGS678" s="37"/>
      <c r="SGT678" s="37"/>
      <c r="SGU678" s="37"/>
      <c r="SGV678" s="37"/>
      <c r="SGW678" s="37"/>
      <c r="SGX678" s="37"/>
      <c r="SGY678" s="37"/>
      <c r="SGZ678" s="37"/>
      <c r="SHA678" s="37"/>
      <c r="SHB678" s="37"/>
      <c r="SHC678" s="37"/>
      <c r="SHD678" s="37"/>
      <c r="SHE678" s="37"/>
      <c r="SHF678" s="37"/>
      <c r="SHG678" s="37"/>
      <c r="SHH678" s="37"/>
      <c r="SHI678" s="37"/>
      <c r="SHJ678" s="37"/>
      <c r="SHK678" s="37"/>
      <c r="SHL678" s="37"/>
      <c r="SHM678" s="37"/>
      <c r="SHN678" s="37"/>
      <c r="SHO678" s="37"/>
      <c r="SHP678" s="37"/>
      <c r="SHQ678" s="37"/>
      <c r="SHR678" s="37"/>
      <c r="SHS678" s="37"/>
      <c r="SHT678" s="37"/>
      <c r="SHU678" s="37"/>
      <c r="SHV678" s="37"/>
      <c r="SHW678" s="37"/>
      <c r="SHX678" s="37"/>
      <c r="SHY678" s="37"/>
      <c r="SHZ678" s="37"/>
      <c r="SIA678" s="37"/>
      <c r="SIB678" s="37"/>
      <c r="SIC678" s="37"/>
      <c r="SID678" s="37"/>
      <c r="SIE678" s="37"/>
      <c r="SIF678" s="37"/>
      <c r="SIG678" s="37"/>
      <c r="SIH678" s="37"/>
      <c r="SII678" s="37"/>
      <c r="SIJ678" s="37"/>
      <c r="SIK678" s="37"/>
      <c r="SIL678" s="37"/>
      <c r="SIM678" s="37"/>
      <c r="SIN678" s="37"/>
      <c r="SIO678" s="37"/>
      <c r="SIP678" s="37"/>
      <c r="SIQ678" s="37"/>
      <c r="SIR678" s="37"/>
      <c r="SIS678" s="37"/>
      <c r="SIT678" s="37"/>
      <c r="SIU678" s="37"/>
      <c r="SIV678" s="37"/>
      <c r="SIW678" s="37"/>
      <c r="SIX678" s="37"/>
      <c r="SIY678" s="37"/>
      <c r="SIZ678" s="37"/>
      <c r="SJA678" s="37"/>
      <c r="SJB678" s="37"/>
      <c r="SJC678" s="37"/>
      <c r="SJD678" s="37"/>
      <c r="SJE678" s="37"/>
      <c r="SJF678" s="37"/>
      <c r="SJG678" s="37"/>
      <c r="SJH678" s="37"/>
      <c r="SJI678" s="37"/>
      <c r="SJJ678" s="37"/>
      <c r="SJK678" s="37"/>
      <c r="SJL678" s="37"/>
      <c r="SJM678" s="37"/>
      <c r="SJN678" s="37"/>
      <c r="SJO678" s="37"/>
      <c r="SJP678" s="37"/>
      <c r="SJQ678" s="37"/>
      <c r="SJR678" s="37"/>
      <c r="SJS678" s="37"/>
      <c r="SJT678" s="37"/>
      <c r="SJU678" s="37"/>
      <c r="SJV678" s="37"/>
      <c r="SJW678" s="37"/>
      <c r="SJX678" s="37"/>
      <c r="SJY678" s="37"/>
      <c r="SJZ678" s="37"/>
      <c r="SKA678" s="37"/>
      <c r="SKB678" s="37"/>
      <c r="SKC678" s="37"/>
      <c r="SKD678" s="37"/>
      <c r="SKE678" s="37"/>
      <c r="SKF678" s="37"/>
      <c r="SKG678" s="37"/>
      <c r="SKH678" s="37"/>
      <c r="SKI678" s="37"/>
      <c r="SKJ678" s="37"/>
      <c r="SKK678" s="37"/>
      <c r="SKL678" s="37"/>
      <c r="SKM678" s="37"/>
      <c r="SKN678" s="37"/>
      <c r="SKO678" s="37"/>
      <c r="SKP678" s="37"/>
      <c r="SKQ678" s="37"/>
      <c r="SKR678" s="37"/>
      <c r="SKS678" s="37"/>
      <c r="SKT678" s="37"/>
      <c r="SKU678" s="37"/>
      <c r="SKV678" s="37"/>
      <c r="SKW678" s="37"/>
      <c r="SKX678" s="37"/>
      <c r="SKY678" s="37"/>
      <c r="SKZ678" s="37"/>
      <c r="SLA678" s="37"/>
      <c r="SLB678" s="37"/>
      <c r="SLC678" s="37"/>
      <c r="SLD678" s="37"/>
      <c r="SLE678" s="37"/>
      <c r="SLF678" s="37"/>
      <c r="SLG678" s="37"/>
      <c r="SLH678" s="37"/>
      <c r="SLI678" s="37"/>
      <c r="SLJ678" s="37"/>
      <c r="SLK678" s="37"/>
      <c r="SLL678" s="37"/>
      <c r="SLM678" s="37"/>
      <c r="SLN678" s="37"/>
      <c r="SLO678" s="37"/>
      <c r="SLP678" s="37"/>
      <c r="SLQ678" s="37"/>
      <c r="SLR678" s="37"/>
      <c r="SLS678" s="37"/>
      <c r="SLT678" s="37"/>
      <c r="SLU678" s="37"/>
      <c r="SLV678" s="37"/>
      <c r="SLW678" s="37"/>
      <c r="SLX678" s="37"/>
      <c r="SLY678" s="37"/>
      <c r="SLZ678" s="37"/>
      <c r="SMA678" s="37"/>
      <c r="SMB678" s="37"/>
      <c r="SMC678" s="37"/>
      <c r="SMD678" s="37"/>
      <c r="SME678" s="37"/>
      <c r="SMF678" s="37"/>
      <c r="SMG678" s="37"/>
      <c r="SMH678" s="37"/>
      <c r="SMI678" s="37"/>
      <c r="SMJ678" s="37"/>
      <c r="SMK678" s="37"/>
      <c r="SML678" s="37"/>
      <c r="SMM678" s="37"/>
      <c r="SMN678" s="37"/>
      <c r="SMO678" s="37"/>
      <c r="SMP678" s="37"/>
      <c r="SMQ678" s="37"/>
      <c r="SMR678" s="37"/>
      <c r="SMS678" s="37"/>
      <c r="SMT678" s="37"/>
      <c r="SMU678" s="37"/>
      <c r="SMV678" s="37"/>
      <c r="SMW678" s="37"/>
      <c r="SMX678" s="37"/>
      <c r="SMY678" s="37"/>
      <c r="SMZ678" s="37"/>
      <c r="SNA678" s="37"/>
      <c r="SNB678" s="37"/>
      <c r="SNC678" s="37"/>
      <c r="SND678" s="37"/>
      <c r="SNE678" s="37"/>
      <c r="SNF678" s="37"/>
      <c r="SNG678" s="37"/>
      <c r="SNH678" s="37"/>
      <c r="SNI678" s="37"/>
      <c r="SNJ678" s="37"/>
      <c r="SNK678" s="37"/>
      <c r="SNL678" s="37"/>
      <c r="SNM678" s="37"/>
      <c r="SNN678" s="37"/>
      <c r="SNO678" s="37"/>
      <c r="SNP678" s="37"/>
      <c r="SNQ678" s="37"/>
      <c r="SNR678" s="37"/>
      <c r="SNS678" s="37"/>
      <c r="SNT678" s="37"/>
      <c r="SNU678" s="37"/>
      <c r="SNV678" s="37"/>
      <c r="SNW678" s="37"/>
      <c r="SNX678" s="37"/>
      <c r="SNY678" s="37"/>
      <c r="SNZ678" s="37"/>
      <c r="SOA678" s="37"/>
      <c r="SOB678" s="37"/>
      <c r="SOC678" s="37"/>
      <c r="SOD678" s="37"/>
      <c r="SOE678" s="37"/>
      <c r="SOF678" s="37"/>
      <c r="SOG678" s="37"/>
      <c r="SOH678" s="37"/>
      <c r="SOI678" s="37"/>
      <c r="SOJ678" s="37"/>
      <c r="SOK678" s="37"/>
      <c r="SOL678" s="37"/>
      <c r="SOM678" s="37"/>
      <c r="SON678" s="37"/>
      <c r="SOO678" s="37"/>
      <c r="SOP678" s="37"/>
      <c r="SOQ678" s="37"/>
      <c r="SOR678" s="37"/>
      <c r="SOS678" s="37"/>
      <c r="SOT678" s="37"/>
      <c r="SOU678" s="37"/>
      <c r="SOV678" s="37"/>
      <c r="SOW678" s="37"/>
      <c r="SOX678" s="37"/>
      <c r="SOY678" s="37"/>
      <c r="SOZ678" s="37"/>
      <c r="SPA678" s="37"/>
      <c r="SPB678" s="37"/>
      <c r="SPC678" s="37"/>
      <c r="SPD678" s="37"/>
      <c r="SPE678" s="37"/>
      <c r="SPF678" s="37"/>
      <c r="SPG678" s="37"/>
      <c r="SPH678" s="37"/>
      <c r="SPI678" s="37"/>
      <c r="SPJ678" s="37"/>
      <c r="SPK678" s="37"/>
      <c r="SPL678" s="37"/>
      <c r="SPM678" s="37"/>
      <c r="SPN678" s="37"/>
      <c r="SPO678" s="37"/>
      <c r="SPP678" s="37"/>
      <c r="SPQ678" s="37"/>
      <c r="SPR678" s="37"/>
      <c r="SPS678" s="37"/>
      <c r="SPT678" s="37"/>
      <c r="SPU678" s="37"/>
      <c r="SPV678" s="37"/>
      <c r="SPW678" s="37"/>
      <c r="SPX678" s="37"/>
      <c r="SPY678" s="37"/>
      <c r="SPZ678" s="37"/>
      <c r="SQA678" s="37"/>
      <c r="SQB678" s="37"/>
      <c r="SQC678" s="37"/>
      <c r="SQD678" s="37"/>
      <c r="SQE678" s="37"/>
      <c r="SQF678" s="37"/>
      <c r="SQG678" s="37"/>
      <c r="SQH678" s="37"/>
      <c r="SQI678" s="37"/>
      <c r="SQJ678" s="37"/>
      <c r="SQK678" s="37"/>
      <c r="SQL678" s="37"/>
      <c r="SQM678" s="37"/>
      <c r="SQN678" s="37"/>
      <c r="SQO678" s="37"/>
      <c r="SQP678" s="37"/>
      <c r="SQQ678" s="37"/>
      <c r="SQR678" s="37"/>
      <c r="SQS678" s="37"/>
      <c r="SQT678" s="37"/>
      <c r="SQU678" s="37"/>
      <c r="SQV678" s="37"/>
      <c r="SQW678" s="37"/>
      <c r="SQX678" s="37"/>
      <c r="SQY678" s="37"/>
      <c r="SQZ678" s="37"/>
      <c r="SRA678" s="37"/>
      <c r="SRB678" s="37"/>
      <c r="SRC678" s="37"/>
      <c r="SRD678" s="37"/>
      <c r="SRE678" s="37"/>
      <c r="SRF678" s="37"/>
      <c r="SRG678" s="37"/>
      <c r="SRH678" s="37"/>
      <c r="SRI678" s="37"/>
      <c r="SRJ678" s="37"/>
      <c r="SRK678" s="37"/>
      <c r="SRL678" s="37"/>
      <c r="SRM678" s="37"/>
      <c r="SRN678" s="37"/>
      <c r="SRO678" s="37"/>
      <c r="SRP678" s="37"/>
      <c r="SRQ678" s="37"/>
      <c r="SRR678" s="37"/>
      <c r="SRS678" s="37"/>
      <c r="SRT678" s="37"/>
      <c r="SRU678" s="37"/>
      <c r="SRV678" s="37"/>
      <c r="SRW678" s="37"/>
      <c r="SRX678" s="37"/>
      <c r="SRY678" s="37"/>
      <c r="SRZ678" s="37"/>
      <c r="SSA678" s="37"/>
      <c r="SSB678" s="37"/>
      <c r="SSC678" s="37"/>
      <c r="SSD678" s="37"/>
      <c r="SSE678" s="37"/>
      <c r="SSF678" s="37"/>
      <c r="SSG678" s="37"/>
      <c r="SSH678" s="37"/>
      <c r="SSI678" s="37"/>
      <c r="SSJ678" s="37"/>
      <c r="SSK678" s="37"/>
      <c r="SSL678" s="37"/>
      <c r="SSM678" s="37"/>
      <c r="SSN678" s="37"/>
      <c r="SSO678" s="37"/>
      <c r="SSP678" s="37"/>
      <c r="SSQ678" s="37"/>
      <c r="SSR678" s="37"/>
      <c r="SSS678" s="37"/>
      <c r="SST678" s="37"/>
      <c r="SSU678" s="37"/>
      <c r="SSV678" s="37"/>
      <c r="SSW678" s="37"/>
      <c r="SSX678" s="37"/>
      <c r="SSY678" s="37"/>
      <c r="SSZ678" s="37"/>
      <c r="STA678" s="37"/>
      <c r="STB678" s="37"/>
      <c r="STC678" s="37"/>
      <c r="STD678" s="37"/>
      <c r="STE678" s="37"/>
      <c r="STF678" s="37"/>
      <c r="STG678" s="37"/>
      <c r="STH678" s="37"/>
      <c r="STI678" s="37"/>
      <c r="STJ678" s="37"/>
      <c r="STK678" s="37"/>
      <c r="STL678" s="37"/>
      <c r="STM678" s="37"/>
      <c r="STN678" s="37"/>
      <c r="STO678" s="37"/>
      <c r="STP678" s="37"/>
      <c r="STQ678" s="37"/>
      <c r="STR678" s="37"/>
      <c r="STS678" s="37"/>
      <c r="STT678" s="37"/>
      <c r="STU678" s="37"/>
      <c r="STV678" s="37"/>
      <c r="STW678" s="37"/>
      <c r="STX678" s="37"/>
      <c r="STY678" s="37"/>
      <c r="STZ678" s="37"/>
      <c r="SUA678" s="37"/>
      <c r="SUB678" s="37"/>
      <c r="SUC678" s="37"/>
      <c r="SUD678" s="37"/>
      <c r="SUE678" s="37"/>
      <c r="SUF678" s="37"/>
      <c r="SUG678" s="37"/>
      <c r="SUH678" s="37"/>
      <c r="SUI678" s="37"/>
      <c r="SUJ678" s="37"/>
      <c r="SUK678" s="37"/>
      <c r="SUL678" s="37"/>
      <c r="SUM678" s="37"/>
      <c r="SUN678" s="37"/>
      <c r="SUO678" s="37"/>
      <c r="SUP678" s="37"/>
      <c r="SUQ678" s="37"/>
      <c r="SUR678" s="37"/>
      <c r="SUS678" s="37"/>
      <c r="SUT678" s="37"/>
      <c r="SUU678" s="37"/>
      <c r="SUV678" s="37"/>
      <c r="SUW678" s="37"/>
      <c r="SUX678" s="37"/>
      <c r="SUY678" s="37"/>
      <c r="SUZ678" s="37"/>
      <c r="SVA678" s="37"/>
      <c r="SVB678" s="37"/>
      <c r="SVC678" s="37"/>
      <c r="SVD678" s="37"/>
      <c r="SVE678" s="37"/>
      <c r="SVF678" s="37"/>
      <c r="SVG678" s="37"/>
      <c r="SVH678" s="37"/>
      <c r="SVI678" s="37"/>
      <c r="SVJ678" s="37"/>
      <c r="SVK678" s="37"/>
      <c r="SVL678" s="37"/>
      <c r="SVM678" s="37"/>
      <c r="SVN678" s="37"/>
      <c r="SVO678" s="37"/>
      <c r="SVP678" s="37"/>
      <c r="SVQ678" s="37"/>
      <c r="SVR678" s="37"/>
      <c r="SVS678" s="37"/>
      <c r="SVT678" s="37"/>
      <c r="SVU678" s="37"/>
      <c r="SVV678" s="37"/>
      <c r="SVW678" s="37"/>
      <c r="SVX678" s="37"/>
      <c r="SVY678" s="37"/>
      <c r="SVZ678" s="37"/>
      <c r="SWA678" s="37"/>
      <c r="SWB678" s="37"/>
      <c r="SWC678" s="37"/>
      <c r="SWD678" s="37"/>
      <c r="SWE678" s="37"/>
      <c r="SWF678" s="37"/>
      <c r="SWG678" s="37"/>
      <c r="SWH678" s="37"/>
      <c r="SWI678" s="37"/>
      <c r="SWJ678" s="37"/>
      <c r="SWK678" s="37"/>
      <c r="SWL678" s="37"/>
      <c r="SWM678" s="37"/>
      <c r="SWN678" s="37"/>
      <c r="SWO678" s="37"/>
      <c r="SWP678" s="37"/>
      <c r="SWQ678" s="37"/>
      <c r="SWR678" s="37"/>
      <c r="SWS678" s="37"/>
      <c r="SWT678" s="37"/>
      <c r="SWU678" s="37"/>
      <c r="SWV678" s="37"/>
      <c r="SWW678" s="37"/>
      <c r="SWX678" s="37"/>
      <c r="SWY678" s="37"/>
      <c r="SWZ678" s="37"/>
      <c r="SXA678" s="37"/>
      <c r="SXB678" s="37"/>
      <c r="SXC678" s="37"/>
      <c r="SXD678" s="37"/>
      <c r="SXE678" s="37"/>
      <c r="SXF678" s="37"/>
      <c r="SXG678" s="37"/>
      <c r="SXH678" s="37"/>
      <c r="SXI678" s="37"/>
      <c r="SXJ678" s="37"/>
      <c r="SXK678" s="37"/>
      <c r="SXL678" s="37"/>
      <c r="SXM678" s="37"/>
      <c r="SXN678" s="37"/>
      <c r="SXO678" s="37"/>
      <c r="SXP678" s="37"/>
      <c r="SXQ678" s="37"/>
      <c r="SXR678" s="37"/>
      <c r="SXS678" s="37"/>
      <c r="SXT678" s="37"/>
      <c r="SXU678" s="37"/>
      <c r="SXV678" s="37"/>
      <c r="SXW678" s="37"/>
      <c r="SXX678" s="37"/>
      <c r="SXY678" s="37"/>
      <c r="SXZ678" s="37"/>
      <c r="SYA678" s="37"/>
      <c r="SYB678" s="37"/>
      <c r="SYC678" s="37"/>
      <c r="SYD678" s="37"/>
      <c r="SYE678" s="37"/>
      <c r="SYF678" s="37"/>
      <c r="SYG678" s="37"/>
      <c r="SYH678" s="37"/>
      <c r="SYI678" s="37"/>
      <c r="SYJ678" s="37"/>
      <c r="SYK678" s="37"/>
      <c r="SYL678" s="37"/>
      <c r="SYM678" s="37"/>
      <c r="SYN678" s="37"/>
      <c r="SYO678" s="37"/>
      <c r="SYP678" s="37"/>
      <c r="SYQ678" s="37"/>
      <c r="SYR678" s="37"/>
      <c r="SYS678" s="37"/>
      <c r="SYT678" s="37"/>
      <c r="SYU678" s="37"/>
      <c r="SYV678" s="37"/>
      <c r="SYW678" s="37"/>
      <c r="SYX678" s="37"/>
      <c r="SYY678" s="37"/>
      <c r="SYZ678" s="37"/>
      <c r="SZA678" s="37"/>
      <c r="SZB678" s="37"/>
      <c r="SZC678" s="37"/>
      <c r="SZD678" s="37"/>
      <c r="SZE678" s="37"/>
      <c r="SZF678" s="37"/>
      <c r="SZG678" s="37"/>
      <c r="SZH678" s="37"/>
      <c r="SZI678" s="37"/>
      <c r="SZJ678" s="37"/>
      <c r="SZK678" s="37"/>
      <c r="SZL678" s="37"/>
      <c r="SZM678" s="37"/>
      <c r="SZN678" s="37"/>
      <c r="SZO678" s="37"/>
      <c r="SZP678" s="37"/>
      <c r="SZQ678" s="37"/>
      <c r="SZR678" s="37"/>
      <c r="SZS678" s="37"/>
      <c r="SZT678" s="37"/>
      <c r="SZU678" s="37"/>
      <c r="SZV678" s="37"/>
      <c r="SZW678" s="37"/>
      <c r="SZX678" s="37"/>
      <c r="SZY678" s="37"/>
      <c r="SZZ678" s="37"/>
      <c r="TAA678" s="37"/>
      <c r="TAB678" s="37"/>
      <c r="TAC678" s="37"/>
      <c r="TAD678" s="37"/>
      <c r="TAE678" s="37"/>
      <c r="TAF678" s="37"/>
      <c r="TAG678" s="37"/>
      <c r="TAH678" s="37"/>
      <c r="TAI678" s="37"/>
      <c r="TAJ678" s="37"/>
      <c r="TAK678" s="37"/>
      <c r="TAL678" s="37"/>
      <c r="TAM678" s="37"/>
      <c r="TAN678" s="37"/>
      <c r="TAO678" s="37"/>
      <c r="TAP678" s="37"/>
      <c r="TAQ678" s="37"/>
      <c r="TAR678" s="37"/>
      <c r="TAS678" s="37"/>
      <c r="TAT678" s="37"/>
      <c r="TAU678" s="37"/>
      <c r="TAV678" s="37"/>
      <c r="TAW678" s="37"/>
      <c r="TAX678" s="37"/>
      <c r="TAY678" s="37"/>
      <c r="TAZ678" s="37"/>
      <c r="TBA678" s="37"/>
      <c r="TBB678" s="37"/>
      <c r="TBC678" s="37"/>
      <c r="TBD678" s="37"/>
      <c r="TBE678" s="37"/>
      <c r="TBF678" s="37"/>
      <c r="TBG678" s="37"/>
      <c r="TBH678" s="37"/>
      <c r="TBI678" s="37"/>
      <c r="TBJ678" s="37"/>
      <c r="TBK678" s="37"/>
      <c r="TBL678" s="37"/>
      <c r="TBM678" s="37"/>
      <c r="TBN678" s="37"/>
      <c r="TBO678" s="37"/>
      <c r="TBP678" s="37"/>
      <c r="TBQ678" s="37"/>
      <c r="TBR678" s="37"/>
      <c r="TBS678" s="37"/>
      <c r="TBT678" s="37"/>
      <c r="TBU678" s="37"/>
      <c r="TBV678" s="37"/>
      <c r="TBW678" s="37"/>
      <c r="TBX678" s="37"/>
      <c r="TBY678" s="37"/>
      <c r="TBZ678" s="37"/>
      <c r="TCA678" s="37"/>
      <c r="TCB678" s="37"/>
      <c r="TCC678" s="37"/>
      <c r="TCD678" s="37"/>
      <c r="TCE678" s="37"/>
      <c r="TCF678" s="37"/>
      <c r="TCG678" s="37"/>
      <c r="TCH678" s="37"/>
      <c r="TCI678" s="37"/>
      <c r="TCJ678" s="37"/>
      <c r="TCK678" s="37"/>
      <c r="TCL678" s="37"/>
      <c r="TCM678" s="37"/>
      <c r="TCN678" s="37"/>
      <c r="TCO678" s="37"/>
      <c r="TCP678" s="37"/>
      <c r="TCQ678" s="37"/>
      <c r="TCR678" s="37"/>
      <c r="TCS678" s="37"/>
      <c r="TCT678" s="37"/>
      <c r="TCU678" s="37"/>
      <c r="TCV678" s="37"/>
      <c r="TCW678" s="37"/>
      <c r="TCX678" s="37"/>
      <c r="TCY678" s="37"/>
      <c r="TCZ678" s="37"/>
      <c r="TDA678" s="37"/>
      <c r="TDB678" s="37"/>
      <c r="TDC678" s="37"/>
      <c r="TDD678" s="37"/>
      <c r="TDE678" s="37"/>
      <c r="TDF678" s="37"/>
      <c r="TDG678" s="37"/>
      <c r="TDH678" s="37"/>
      <c r="TDI678" s="37"/>
      <c r="TDJ678" s="37"/>
      <c r="TDK678" s="37"/>
      <c r="TDL678" s="37"/>
      <c r="TDM678" s="37"/>
      <c r="TDN678" s="37"/>
      <c r="TDO678" s="37"/>
      <c r="TDP678" s="37"/>
      <c r="TDQ678" s="37"/>
      <c r="TDR678" s="37"/>
      <c r="TDS678" s="37"/>
      <c r="TDT678" s="37"/>
      <c r="TDU678" s="37"/>
      <c r="TDV678" s="37"/>
      <c r="TDW678" s="37"/>
      <c r="TDX678" s="37"/>
      <c r="TDY678" s="37"/>
      <c r="TDZ678" s="37"/>
      <c r="TEA678" s="37"/>
      <c r="TEB678" s="37"/>
      <c r="TEC678" s="37"/>
      <c r="TED678" s="37"/>
      <c r="TEE678" s="37"/>
      <c r="TEF678" s="37"/>
      <c r="TEG678" s="37"/>
      <c r="TEH678" s="37"/>
      <c r="TEI678" s="37"/>
      <c r="TEJ678" s="37"/>
      <c r="TEK678" s="37"/>
      <c r="TEL678" s="37"/>
      <c r="TEM678" s="37"/>
      <c r="TEN678" s="37"/>
      <c r="TEO678" s="37"/>
      <c r="TEP678" s="37"/>
      <c r="TEQ678" s="37"/>
      <c r="TER678" s="37"/>
      <c r="TES678" s="37"/>
      <c r="TET678" s="37"/>
      <c r="TEU678" s="37"/>
      <c r="TEV678" s="37"/>
      <c r="TEW678" s="37"/>
      <c r="TEX678" s="37"/>
      <c r="TEY678" s="37"/>
      <c r="TEZ678" s="37"/>
      <c r="TFA678" s="37"/>
      <c r="TFB678" s="37"/>
      <c r="TFC678" s="37"/>
      <c r="TFD678" s="37"/>
      <c r="TFE678" s="37"/>
      <c r="TFF678" s="37"/>
      <c r="TFG678" s="37"/>
      <c r="TFH678" s="37"/>
      <c r="TFI678" s="37"/>
      <c r="TFJ678" s="37"/>
      <c r="TFK678" s="37"/>
      <c r="TFL678" s="37"/>
      <c r="TFM678" s="37"/>
      <c r="TFN678" s="37"/>
      <c r="TFO678" s="37"/>
      <c r="TFP678" s="37"/>
      <c r="TFQ678" s="37"/>
      <c r="TFR678" s="37"/>
      <c r="TFS678" s="37"/>
      <c r="TFT678" s="37"/>
      <c r="TFU678" s="37"/>
      <c r="TFV678" s="37"/>
      <c r="TFW678" s="37"/>
      <c r="TFX678" s="37"/>
      <c r="TFY678" s="37"/>
      <c r="TFZ678" s="37"/>
      <c r="TGA678" s="37"/>
      <c r="TGB678" s="37"/>
      <c r="TGC678" s="37"/>
      <c r="TGD678" s="37"/>
      <c r="TGE678" s="37"/>
      <c r="TGF678" s="37"/>
      <c r="TGG678" s="37"/>
      <c r="TGH678" s="37"/>
      <c r="TGI678" s="37"/>
      <c r="TGJ678" s="37"/>
      <c r="TGK678" s="37"/>
      <c r="TGL678" s="37"/>
      <c r="TGM678" s="37"/>
      <c r="TGN678" s="37"/>
      <c r="TGO678" s="37"/>
      <c r="TGP678" s="37"/>
      <c r="TGQ678" s="37"/>
      <c r="TGR678" s="37"/>
      <c r="TGS678" s="37"/>
      <c r="TGT678" s="37"/>
      <c r="TGU678" s="37"/>
      <c r="TGV678" s="37"/>
      <c r="TGW678" s="37"/>
      <c r="TGX678" s="37"/>
      <c r="TGY678" s="37"/>
      <c r="TGZ678" s="37"/>
      <c r="THA678" s="37"/>
      <c r="THB678" s="37"/>
      <c r="THC678" s="37"/>
      <c r="THD678" s="37"/>
      <c r="THE678" s="37"/>
      <c r="THF678" s="37"/>
      <c r="THG678" s="37"/>
      <c r="THH678" s="37"/>
      <c r="THI678" s="37"/>
      <c r="THJ678" s="37"/>
      <c r="THK678" s="37"/>
      <c r="THL678" s="37"/>
      <c r="THM678" s="37"/>
      <c r="THN678" s="37"/>
      <c r="THO678" s="37"/>
      <c r="THP678" s="37"/>
      <c r="THQ678" s="37"/>
      <c r="THR678" s="37"/>
      <c r="THS678" s="37"/>
      <c r="THT678" s="37"/>
      <c r="THU678" s="37"/>
      <c r="THV678" s="37"/>
      <c r="THW678" s="37"/>
      <c r="THX678" s="37"/>
      <c r="THY678" s="37"/>
      <c r="THZ678" s="37"/>
      <c r="TIA678" s="37"/>
      <c r="TIB678" s="37"/>
      <c r="TIC678" s="37"/>
      <c r="TID678" s="37"/>
      <c r="TIE678" s="37"/>
      <c r="TIF678" s="37"/>
      <c r="TIG678" s="37"/>
      <c r="TIH678" s="37"/>
      <c r="TII678" s="37"/>
      <c r="TIJ678" s="37"/>
      <c r="TIK678" s="37"/>
      <c r="TIL678" s="37"/>
      <c r="TIM678" s="37"/>
      <c r="TIN678" s="37"/>
      <c r="TIO678" s="37"/>
      <c r="TIP678" s="37"/>
      <c r="TIQ678" s="37"/>
      <c r="TIR678" s="37"/>
      <c r="TIS678" s="37"/>
      <c r="TIT678" s="37"/>
      <c r="TIU678" s="37"/>
      <c r="TIV678" s="37"/>
      <c r="TIW678" s="37"/>
      <c r="TIX678" s="37"/>
      <c r="TIY678" s="37"/>
      <c r="TIZ678" s="37"/>
      <c r="TJA678" s="37"/>
      <c r="TJB678" s="37"/>
      <c r="TJC678" s="37"/>
      <c r="TJD678" s="37"/>
      <c r="TJE678" s="37"/>
      <c r="TJF678" s="37"/>
      <c r="TJG678" s="37"/>
      <c r="TJH678" s="37"/>
      <c r="TJI678" s="37"/>
      <c r="TJJ678" s="37"/>
      <c r="TJK678" s="37"/>
      <c r="TJL678" s="37"/>
      <c r="TJM678" s="37"/>
      <c r="TJN678" s="37"/>
      <c r="TJO678" s="37"/>
      <c r="TJP678" s="37"/>
      <c r="TJQ678" s="37"/>
      <c r="TJR678" s="37"/>
      <c r="TJS678" s="37"/>
      <c r="TJT678" s="37"/>
      <c r="TJU678" s="37"/>
      <c r="TJV678" s="37"/>
      <c r="TJW678" s="37"/>
      <c r="TJX678" s="37"/>
      <c r="TJY678" s="37"/>
      <c r="TJZ678" s="37"/>
      <c r="TKA678" s="37"/>
      <c r="TKB678" s="37"/>
      <c r="TKC678" s="37"/>
      <c r="TKD678" s="37"/>
      <c r="TKE678" s="37"/>
      <c r="TKF678" s="37"/>
      <c r="TKG678" s="37"/>
      <c r="TKH678" s="37"/>
      <c r="TKI678" s="37"/>
      <c r="TKJ678" s="37"/>
      <c r="TKK678" s="37"/>
      <c r="TKL678" s="37"/>
      <c r="TKM678" s="37"/>
      <c r="TKN678" s="37"/>
      <c r="TKO678" s="37"/>
      <c r="TKP678" s="37"/>
      <c r="TKQ678" s="37"/>
      <c r="TKR678" s="37"/>
      <c r="TKS678" s="37"/>
      <c r="TKT678" s="37"/>
      <c r="TKU678" s="37"/>
      <c r="TKV678" s="37"/>
      <c r="TKW678" s="37"/>
      <c r="TKX678" s="37"/>
      <c r="TKY678" s="37"/>
      <c r="TKZ678" s="37"/>
      <c r="TLA678" s="37"/>
      <c r="TLB678" s="37"/>
      <c r="TLC678" s="37"/>
      <c r="TLD678" s="37"/>
      <c r="TLE678" s="37"/>
      <c r="TLF678" s="37"/>
      <c r="TLG678" s="37"/>
      <c r="TLH678" s="37"/>
      <c r="TLI678" s="37"/>
      <c r="TLJ678" s="37"/>
      <c r="TLK678" s="37"/>
      <c r="TLL678" s="37"/>
      <c r="TLM678" s="37"/>
      <c r="TLN678" s="37"/>
      <c r="TLO678" s="37"/>
      <c r="TLP678" s="37"/>
      <c r="TLQ678" s="37"/>
      <c r="TLR678" s="37"/>
      <c r="TLS678" s="37"/>
      <c r="TLT678" s="37"/>
      <c r="TLU678" s="37"/>
      <c r="TLV678" s="37"/>
      <c r="TLW678" s="37"/>
      <c r="TLX678" s="37"/>
      <c r="TLY678" s="37"/>
      <c r="TLZ678" s="37"/>
      <c r="TMA678" s="37"/>
      <c r="TMB678" s="37"/>
      <c r="TMC678" s="37"/>
      <c r="TMD678" s="37"/>
      <c r="TME678" s="37"/>
      <c r="TMF678" s="37"/>
      <c r="TMG678" s="37"/>
      <c r="TMH678" s="37"/>
      <c r="TMI678" s="37"/>
      <c r="TMJ678" s="37"/>
      <c r="TMK678" s="37"/>
      <c r="TML678" s="37"/>
      <c r="TMM678" s="37"/>
      <c r="TMN678" s="37"/>
      <c r="TMO678" s="37"/>
      <c r="TMP678" s="37"/>
      <c r="TMQ678" s="37"/>
      <c r="TMR678" s="37"/>
      <c r="TMS678" s="37"/>
      <c r="TMT678" s="37"/>
      <c r="TMU678" s="37"/>
      <c r="TMV678" s="37"/>
      <c r="TMW678" s="37"/>
      <c r="TMX678" s="37"/>
      <c r="TMY678" s="37"/>
      <c r="TMZ678" s="37"/>
      <c r="TNA678" s="37"/>
      <c r="TNB678" s="37"/>
      <c r="TNC678" s="37"/>
      <c r="TND678" s="37"/>
      <c r="TNE678" s="37"/>
      <c r="TNF678" s="37"/>
      <c r="TNG678" s="37"/>
      <c r="TNH678" s="37"/>
      <c r="TNI678" s="37"/>
      <c r="TNJ678" s="37"/>
      <c r="TNK678" s="37"/>
      <c r="TNL678" s="37"/>
      <c r="TNM678" s="37"/>
      <c r="TNN678" s="37"/>
      <c r="TNO678" s="37"/>
      <c r="TNP678" s="37"/>
      <c r="TNQ678" s="37"/>
      <c r="TNR678" s="37"/>
      <c r="TNS678" s="37"/>
      <c r="TNT678" s="37"/>
      <c r="TNU678" s="37"/>
      <c r="TNV678" s="37"/>
      <c r="TNW678" s="37"/>
      <c r="TNX678" s="37"/>
      <c r="TNY678" s="37"/>
      <c r="TNZ678" s="37"/>
      <c r="TOA678" s="37"/>
      <c r="TOB678" s="37"/>
      <c r="TOC678" s="37"/>
      <c r="TOD678" s="37"/>
      <c r="TOE678" s="37"/>
      <c r="TOF678" s="37"/>
      <c r="TOG678" s="37"/>
      <c r="TOH678" s="37"/>
      <c r="TOI678" s="37"/>
      <c r="TOJ678" s="37"/>
      <c r="TOK678" s="37"/>
      <c r="TOL678" s="37"/>
      <c r="TOM678" s="37"/>
      <c r="TON678" s="37"/>
      <c r="TOO678" s="37"/>
      <c r="TOP678" s="37"/>
      <c r="TOQ678" s="37"/>
      <c r="TOR678" s="37"/>
      <c r="TOS678" s="37"/>
      <c r="TOT678" s="37"/>
      <c r="TOU678" s="37"/>
      <c r="TOV678" s="37"/>
      <c r="TOW678" s="37"/>
      <c r="TOX678" s="37"/>
      <c r="TOY678" s="37"/>
      <c r="TOZ678" s="37"/>
      <c r="TPA678" s="37"/>
      <c r="TPB678" s="37"/>
      <c r="TPC678" s="37"/>
      <c r="TPD678" s="37"/>
      <c r="TPE678" s="37"/>
      <c r="TPF678" s="37"/>
      <c r="TPG678" s="37"/>
      <c r="TPH678" s="37"/>
      <c r="TPI678" s="37"/>
      <c r="TPJ678" s="37"/>
      <c r="TPK678" s="37"/>
      <c r="TPL678" s="37"/>
      <c r="TPM678" s="37"/>
      <c r="TPN678" s="37"/>
      <c r="TPO678" s="37"/>
      <c r="TPP678" s="37"/>
      <c r="TPQ678" s="37"/>
      <c r="TPR678" s="37"/>
      <c r="TPS678" s="37"/>
      <c r="TPT678" s="37"/>
      <c r="TPU678" s="37"/>
      <c r="TPV678" s="37"/>
      <c r="TPW678" s="37"/>
      <c r="TPX678" s="37"/>
      <c r="TPY678" s="37"/>
      <c r="TPZ678" s="37"/>
      <c r="TQA678" s="37"/>
      <c r="TQB678" s="37"/>
      <c r="TQC678" s="37"/>
      <c r="TQD678" s="37"/>
      <c r="TQE678" s="37"/>
      <c r="TQF678" s="37"/>
      <c r="TQG678" s="37"/>
      <c r="TQH678" s="37"/>
      <c r="TQI678" s="37"/>
      <c r="TQJ678" s="37"/>
      <c r="TQK678" s="37"/>
      <c r="TQL678" s="37"/>
      <c r="TQM678" s="37"/>
      <c r="TQN678" s="37"/>
      <c r="TQO678" s="37"/>
      <c r="TQP678" s="37"/>
      <c r="TQQ678" s="37"/>
      <c r="TQR678" s="37"/>
      <c r="TQS678" s="37"/>
      <c r="TQT678" s="37"/>
      <c r="TQU678" s="37"/>
      <c r="TQV678" s="37"/>
      <c r="TQW678" s="37"/>
      <c r="TQX678" s="37"/>
      <c r="TQY678" s="37"/>
      <c r="TQZ678" s="37"/>
      <c r="TRA678" s="37"/>
      <c r="TRB678" s="37"/>
      <c r="TRC678" s="37"/>
      <c r="TRD678" s="37"/>
      <c r="TRE678" s="37"/>
      <c r="TRF678" s="37"/>
      <c r="TRG678" s="37"/>
      <c r="TRH678" s="37"/>
      <c r="TRI678" s="37"/>
      <c r="TRJ678" s="37"/>
      <c r="TRK678" s="37"/>
      <c r="TRL678" s="37"/>
      <c r="TRM678" s="37"/>
      <c r="TRN678" s="37"/>
      <c r="TRO678" s="37"/>
      <c r="TRP678" s="37"/>
      <c r="TRQ678" s="37"/>
      <c r="TRR678" s="37"/>
      <c r="TRS678" s="37"/>
      <c r="TRT678" s="37"/>
      <c r="TRU678" s="37"/>
      <c r="TRV678" s="37"/>
      <c r="TRW678" s="37"/>
      <c r="TRX678" s="37"/>
      <c r="TRY678" s="37"/>
      <c r="TRZ678" s="37"/>
      <c r="TSA678" s="37"/>
      <c r="TSB678" s="37"/>
      <c r="TSC678" s="37"/>
      <c r="TSD678" s="37"/>
      <c r="TSE678" s="37"/>
      <c r="TSF678" s="37"/>
      <c r="TSG678" s="37"/>
      <c r="TSH678" s="37"/>
      <c r="TSI678" s="37"/>
      <c r="TSJ678" s="37"/>
      <c r="TSK678" s="37"/>
      <c r="TSL678" s="37"/>
      <c r="TSM678" s="37"/>
      <c r="TSN678" s="37"/>
      <c r="TSO678" s="37"/>
      <c r="TSP678" s="37"/>
      <c r="TSQ678" s="37"/>
      <c r="TSR678" s="37"/>
      <c r="TSS678" s="37"/>
      <c r="TST678" s="37"/>
      <c r="TSU678" s="37"/>
      <c r="TSV678" s="37"/>
      <c r="TSW678" s="37"/>
      <c r="TSX678" s="37"/>
      <c r="TSY678" s="37"/>
      <c r="TSZ678" s="37"/>
      <c r="TTA678" s="37"/>
      <c r="TTB678" s="37"/>
      <c r="TTC678" s="37"/>
      <c r="TTD678" s="37"/>
      <c r="TTE678" s="37"/>
      <c r="TTF678" s="37"/>
      <c r="TTG678" s="37"/>
      <c r="TTH678" s="37"/>
      <c r="TTI678" s="37"/>
      <c r="TTJ678" s="37"/>
      <c r="TTK678" s="37"/>
      <c r="TTL678" s="37"/>
      <c r="TTM678" s="37"/>
      <c r="TTN678" s="37"/>
      <c r="TTO678" s="37"/>
      <c r="TTP678" s="37"/>
      <c r="TTQ678" s="37"/>
      <c r="TTR678" s="37"/>
      <c r="TTS678" s="37"/>
      <c r="TTT678" s="37"/>
      <c r="TTU678" s="37"/>
      <c r="TTV678" s="37"/>
      <c r="TTW678" s="37"/>
      <c r="TTX678" s="37"/>
      <c r="TTY678" s="37"/>
      <c r="TTZ678" s="37"/>
      <c r="TUA678" s="37"/>
      <c r="TUB678" s="37"/>
      <c r="TUC678" s="37"/>
      <c r="TUD678" s="37"/>
      <c r="TUE678" s="37"/>
      <c r="TUF678" s="37"/>
      <c r="TUG678" s="37"/>
      <c r="TUH678" s="37"/>
      <c r="TUI678" s="37"/>
      <c r="TUJ678" s="37"/>
      <c r="TUK678" s="37"/>
      <c r="TUL678" s="37"/>
      <c r="TUM678" s="37"/>
      <c r="TUN678" s="37"/>
      <c r="TUO678" s="37"/>
      <c r="TUP678" s="37"/>
      <c r="TUQ678" s="37"/>
      <c r="TUR678" s="37"/>
      <c r="TUS678" s="37"/>
      <c r="TUT678" s="37"/>
      <c r="TUU678" s="37"/>
      <c r="TUV678" s="37"/>
      <c r="TUW678" s="37"/>
      <c r="TUX678" s="37"/>
      <c r="TUY678" s="37"/>
      <c r="TUZ678" s="37"/>
      <c r="TVA678" s="37"/>
      <c r="TVB678" s="37"/>
      <c r="TVC678" s="37"/>
      <c r="TVD678" s="37"/>
      <c r="TVE678" s="37"/>
      <c r="TVF678" s="37"/>
      <c r="TVG678" s="37"/>
      <c r="TVH678" s="37"/>
      <c r="TVI678" s="37"/>
      <c r="TVJ678" s="37"/>
      <c r="TVK678" s="37"/>
      <c r="TVL678" s="37"/>
      <c r="TVM678" s="37"/>
      <c r="TVN678" s="37"/>
      <c r="TVO678" s="37"/>
      <c r="TVP678" s="37"/>
      <c r="TVQ678" s="37"/>
      <c r="TVR678" s="37"/>
      <c r="TVS678" s="37"/>
      <c r="TVT678" s="37"/>
      <c r="TVU678" s="37"/>
      <c r="TVV678" s="37"/>
      <c r="TVW678" s="37"/>
      <c r="TVX678" s="37"/>
      <c r="TVY678" s="37"/>
      <c r="TVZ678" s="37"/>
      <c r="TWA678" s="37"/>
      <c r="TWB678" s="37"/>
      <c r="TWC678" s="37"/>
      <c r="TWD678" s="37"/>
      <c r="TWE678" s="37"/>
      <c r="TWF678" s="37"/>
      <c r="TWG678" s="37"/>
      <c r="TWH678" s="37"/>
      <c r="TWI678" s="37"/>
      <c r="TWJ678" s="37"/>
      <c r="TWK678" s="37"/>
      <c r="TWL678" s="37"/>
      <c r="TWM678" s="37"/>
      <c r="TWN678" s="37"/>
      <c r="TWO678" s="37"/>
      <c r="TWP678" s="37"/>
      <c r="TWQ678" s="37"/>
      <c r="TWR678" s="37"/>
      <c r="TWS678" s="37"/>
      <c r="TWT678" s="37"/>
      <c r="TWU678" s="37"/>
      <c r="TWV678" s="37"/>
      <c r="TWW678" s="37"/>
      <c r="TWX678" s="37"/>
      <c r="TWY678" s="37"/>
      <c r="TWZ678" s="37"/>
      <c r="TXA678" s="37"/>
      <c r="TXB678" s="37"/>
      <c r="TXC678" s="37"/>
      <c r="TXD678" s="37"/>
      <c r="TXE678" s="37"/>
      <c r="TXF678" s="37"/>
      <c r="TXG678" s="37"/>
      <c r="TXH678" s="37"/>
      <c r="TXI678" s="37"/>
      <c r="TXJ678" s="37"/>
      <c r="TXK678" s="37"/>
      <c r="TXL678" s="37"/>
      <c r="TXM678" s="37"/>
      <c r="TXN678" s="37"/>
      <c r="TXO678" s="37"/>
      <c r="TXP678" s="37"/>
      <c r="TXQ678" s="37"/>
      <c r="TXR678" s="37"/>
      <c r="TXS678" s="37"/>
      <c r="TXT678" s="37"/>
      <c r="TXU678" s="37"/>
      <c r="TXV678" s="37"/>
      <c r="TXW678" s="37"/>
      <c r="TXX678" s="37"/>
      <c r="TXY678" s="37"/>
      <c r="TXZ678" s="37"/>
      <c r="TYA678" s="37"/>
      <c r="TYB678" s="37"/>
      <c r="TYC678" s="37"/>
      <c r="TYD678" s="37"/>
      <c r="TYE678" s="37"/>
      <c r="TYF678" s="37"/>
      <c r="TYG678" s="37"/>
      <c r="TYH678" s="37"/>
      <c r="TYI678" s="37"/>
      <c r="TYJ678" s="37"/>
      <c r="TYK678" s="37"/>
      <c r="TYL678" s="37"/>
      <c r="TYM678" s="37"/>
      <c r="TYN678" s="37"/>
      <c r="TYO678" s="37"/>
      <c r="TYP678" s="37"/>
      <c r="TYQ678" s="37"/>
      <c r="TYR678" s="37"/>
      <c r="TYS678" s="37"/>
      <c r="TYT678" s="37"/>
      <c r="TYU678" s="37"/>
      <c r="TYV678" s="37"/>
      <c r="TYW678" s="37"/>
      <c r="TYX678" s="37"/>
      <c r="TYY678" s="37"/>
      <c r="TYZ678" s="37"/>
      <c r="TZA678" s="37"/>
      <c r="TZB678" s="37"/>
      <c r="TZC678" s="37"/>
      <c r="TZD678" s="37"/>
      <c r="TZE678" s="37"/>
      <c r="TZF678" s="37"/>
      <c r="TZG678" s="37"/>
      <c r="TZH678" s="37"/>
      <c r="TZI678" s="37"/>
      <c r="TZJ678" s="37"/>
      <c r="TZK678" s="37"/>
      <c r="TZL678" s="37"/>
      <c r="TZM678" s="37"/>
      <c r="TZN678" s="37"/>
      <c r="TZO678" s="37"/>
      <c r="TZP678" s="37"/>
      <c r="TZQ678" s="37"/>
      <c r="TZR678" s="37"/>
      <c r="TZS678" s="37"/>
      <c r="TZT678" s="37"/>
      <c r="TZU678" s="37"/>
      <c r="TZV678" s="37"/>
      <c r="TZW678" s="37"/>
      <c r="TZX678" s="37"/>
      <c r="TZY678" s="37"/>
      <c r="TZZ678" s="37"/>
      <c r="UAA678" s="37"/>
      <c r="UAB678" s="37"/>
      <c r="UAC678" s="37"/>
      <c r="UAD678" s="37"/>
      <c r="UAE678" s="37"/>
      <c r="UAF678" s="37"/>
      <c r="UAG678" s="37"/>
      <c r="UAH678" s="37"/>
      <c r="UAI678" s="37"/>
      <c r="UAJ678" s="37"/>
      <c r="UAK678" s="37"/>
      <c r="UAL678" s="37"/>
      <c r="UAM678" s="37"/>
      <c r="UAN678" s="37"/>
      <c r="UAO678" s="37"/>
      <c r="UAP678" s="37"/>
      <c r="UAQ678" s="37"/>
      <c r="UAR678" s="37"/>
      <c r="UAS678" s="37"/>
      <c r="UAT678" s="37"/>
      <c r="UAU678" s="37"/>
      <c r="UAV678" s="37"/>
      <c r="UAW678" s="37"/>
      <c r="UAX678" s="37"/>
      <c r="UAY678" s="37"/>
      <c r="UAZ678" s="37"/>
      <c r="UBA678" s="37"/>
      <c r="UBB678" s="37"/>
      <c r="UBC678" s="37"/>
      <c r="UBD678" s="37"/>
      <c r="UBE678" s="37"/>
      <c r="UBF678" s="37"/>
      <c r="UBG678" s="37"/>
      <c r="UBH678" s="37"/>
      <c r="UBI678" s="37"/>
      <c r="UBJ678" s="37"/>
      <c r="UBK678" s="37"/>
      <c r="UBL678" s="37"/>
      <c r="UBM678" s="37"/>
      <c r="UBN678" s="37"/>
      <c r="UBO678" s="37"/>
      <c r="UBP678" s="37"/>
      <c r="UBQ678" s="37"/>
      <c r="UBR678" s="37"/>
      <c r="UBS678" s="37"/>
      <c r="UBT678" s="37"/>
      <c r="UBU678" s="37"/>
      <c r="UBV678" s="37"/>
      <c r="UBW678" s="37"/>
      <c r="UBX678" s="37"/>
      <c r="UBY678" s="37"/>
      <c r="UBZ678" s="37"/>
      <c r="UCA678" s="37"/>
      <c r="UCB678" s="37"/>
      <c r="UCC678" s="37"/>
      <c r="UCD678" s="37"/>
      <c r="UCE678" s="37"/>
      <c r="UCF678" s="37"/>
      <c r="UCG678" s="37"/>
      <c r="UCH678" s="37"/>
      <c r="UCI678" s="37"/>
      <c r="UCJ678" s="37"/>
      <c r="UCK678" s="37"/>
      <c r="UCL678" s="37"/>
      <c r="UCM678" s="37"/>
      <c r="UCN678" s="37"/>
      <c r="UCO678" s="37"/>
      <c r="UCP678" s="37"/>
      <c r="UCQ678" s="37"/>
      <c r="UCR678" s="37"/>
      <c r="UCS678" s="37"/>
      <c r="UCT678" s="37"/>
      <c r="UCU678" s="37"/>
      <c r="UCV678" s="37"/>
      <c r="UCW678" s="37"/>
      <c r="UCX678" s="37"/>
      <c r="UCY678" s="37"/>
      <c r="UCZ678" s="37"/>
      <c r="UDA678" s="37"/>
      <c r="UDB678" s="37"/>
      <c r="UDC678" s="37"/>
      <c r="UDD678" s="37"/>
      <c r="UDE678" s="37"/>
      <c r="UDF678" s="37"/>
      <c r="UDG678" s="37"/>
      <c r="UDH678" s="37"/>
      <c r="UDI678" s="37"/>
      <c r="UDJ678" s="37"/>
      <c r="UDK678" s="37"/>
      <c r="UDL678" s="37"/>
      <c r="UDM678" s="37"/>
      <c r="UDN678" s="37"/>
      <c r="UDO678" s="37"/>
      <c r="UDP678" s="37"/>
      <c r="UDQ678" s="37"/>
      <c r="UDR678" s="37"/>
      <c r="UDS678" s="37"/>
      <c r="UDT678" s="37"/>
      <c r="UDU678" s="37"/>
      <c r="UDV678" s="37"/>
      <c r="UDW678" s="37"/>
      <c r="UDX678" s="37"/>
      <c r="UDY678" s="37"/>
      <c r="UDZ678" s="37"/>
      <c r="UEA678" s="37"/>
      <c r="UEB678" s="37"/>
      <c r="UEC678" s="37"/>
      <c r="UED678" s="37"/>
      <c r="UEE678" s="37"/>
      <c r="UEF678" s="37"/>
      <c r="UEG678" s="37"/>
      <c r="UEH678" s="37"/>
      <c r="UEI678" s="37"/>
      <c r="UEJ678" s="37"/>
      <c r="UEK678" s="37"/>
      <c r="UEL678" s="37"/>
      <c r="UEM678" s="37"/>
      <c r="UEN678" s="37"/>
      <c r="UEO678" s="37"/>
      <c r="UEP678" s="37"/>
      <c r="UEQ678" s="37"/>
      <c r="UER678" s="37"/>
      <c r="UES678" s="37"/>
      <c r="UET678" s="37"/>
      <c r="UEU678" s="37"/>
      <c r="UEV678" s="37"/>
      <c r="UEW678" s="37"/>
      <c r="UEX678" s="37"/>
      <c r="UEY678" s="37"/>
      <c r="UEZ678" s="37"/>
      <c r="UFA678" s="37"/>
      <c r="UFB678" s="37"/>
      <c r="UFC678" s="37"/>
      <c r="UFD678" s="37"/>
      <c r="UFE678" s="37"/>
      <c r="UFF678" s="37"/>
      <c r="UFG678" s="37"/>
      <c r="UFH678" s="37"/>
      <c r="UFI678" s="37"/>
      <c r="UFJ678" s="37"/>
      <c r="UFK678" s="37"/>
      <c r="UFL678" s="37"/>
      <c r="UFM678" s="37"/>
      <c r="UFN678" s="37"/>
      <c r="UFO678" s="37"/>
      <c r="UFP678" s="37"/>
      <c r="UFQ678" s="37"/>
      <c r="UFR678" s="37"/>
      <c r="UFS678" s="37"/>
      <c r="UFT678" s="37"/>
      <c r="UFU678" s="37"/>
      <c r="UFV678" s="37"/>
      <c r="UFW678" s="37"/>
      <c r="UFX678" s="37"/>
      <c r="UFY678" s="37"/>
      <c r="UFZ678" s="37"/>
      <c r="UGA678" s="37"/>
      <c r="UGB678" s="37"/>
      <c r="UGC678" s="37"/>
      <c r="UGD678" s="37"/>
      <c r="UGE678" s="37"/>
      <c r="UGF678" s="37"/>
      <c r="UGG678" s="37"/>
      <c r="UGH678" s="37"/>
      <c r="UGI678" s="37"/>
      <c r="UGJ678" s="37"/>
      <c r="UGK678" s="37"/>
      <c r="UGL678" s="37"/>
      <c r="UGM678" s="37"/>
      <c r="UGN678" s="37"/>
      <c r="UGO678" s="37"/>
      <c r="UGP678" s="37"/>
      <c r="UGQ678" s="37"/>
      <c r="UGR678" s="37"/>
      <c r="UGS678" s="37"/>
      <c r="UGT678" s="37"/>
      <c r="UGU678" s="37"/>
      <c r="UGV678" s="37"/>
      <c r="UGW678" s="37"/>
      <c r="UGX678" s="37"/>
      <c r="UGY678" s="37"/>
      <c r="UGZ678" s="37"/>
      <c r="UHA678" s="37"/>
      <c r="UHB678" s="37"/>
      <c r="UHC678" s="37"/>
      <c r="UHD678" s="37"/>
      <c r="UHE678" s="37"/>
      <c r="UHF678" s="37"/>
      <c r="UHG678" s="37"/>
      <c r="UHH678" s="37"/>
      <c r="UHI678" s="37"/>
      <c r="UHJ678" s="37"/>
      <c r="UHK678" s="37"/>
      <c r="UHL678" s="37"/>
      <c r="UHM678" s="37"/>
      <c r="UHN678" s="37"/>
      <c r="UHO678" s="37"/>
      <c r="UHP678" s="37"/>
      <c r="UHQ678" s="37"/>
      <c r="UHR678" s="37"/>
      <c r="UHS678" s="37"/>
      <c r="UHT678" s="37"/>
      <c r="UHU678" s="37"/>
      <c r="UHV678" s="37"/>
      <c r="UHW678" s="37"/>
      <c r="UHX678" s="37"/>
      <c r="UHY678" s="37"/>
      <c r="UHZ678" s="37"/>
      <c r="UIA678" s="37"/>
      <c r="UIB678" s="37"/>
      <c r="UIC678" s="37"/>
      <c r="UID678" s="37"/>
      <c r="UIE678" s="37"/>
      <c r="UIF678" s="37"/>
      <c r="UIG678" s="37"/>
      <c r="UIH678" s="37"/>
      <c r="UII678" s="37"/>
      <c r="UIJ678" s="37"/>
      <c r="UIK678" s="37"/>
      <c r="UIL678" s="37"/>
      <c r="UIM678" s="37"/>
      <c r="UIN678" s="37"/>
      <c r="UIO678" s="37"/>
      <c r="UIP678" s="37"/>
      <c r="UIQ678" s="37"/>
      <c r="UIR678" s="37"/>
      <c r="UIS678" s="37"/>
      <c r="UIT678" s="37"/>
      <c r="UIU678" s="37"/>
      <c r="UIV678" s="37"/>
      <c r="UIW678" s="37"/>
      <c r="UIX678" s="37"/>
      <c r="UIY678" s="37"/>
      <c r="UIZ678" s="37"/>
      <c r="UJA678" s="37"/>
      <c r="UJB678" s="37"/>
      <c r="UJC678" s="37"/>
      <c r="UJD678" s="37"/>
      <c r="UJE678" s="37"/>
      <c r="UJF678" s="37"/>
      <c r="UJG678" s="37"/>
      <c r="UJH678" s="37"/>
      <c r="UJI678" s="37"/>
      <c r="UJJ678" s="37"/>
      <c r="UJK678" s="37"/>
      <c r="UJL678" s="37"/>
      <c r="UJM678" s="37"/>
      <c r="UJN678" s="37"/>
      <c r="UJO678" s="37"/>
      <c r="UJP678" s="37"/>
      <c r="UJQ678" s="37"/>
      <c r="UJR678" s="37"/>
      <c r="UJS678" s="37"/>
      <c r="UJT678" s="37"/>
      <c r="UJU678" s="37"/>
      <c r="UJV678" s="37"/>
      <c r="UJW678" s="37"/>
      <c r="UJX678" s="37"/>
      <c r="UJY678" s="37"/>
      <c r="UJZ678" s="37"/>
      <c r="UKA678" s="37"/>
      <c r="UKB678" s="37"/>
      <c r="UKC678" s="37"/>
      <c r="UKD678" s="37"/>
      <c r="UKE678" s="37"/>
      <c r="UKF678" s="37"/>
      <c r="UKG678" s="37"/>
      <c r="UKH678" s="37"/>
      <c r="UKI678" s="37"/>
      <c r="UKJ678" s="37"/>
      <c r="UKK678" s="37"/>
      <c r="UKL678" s="37"/>
      <c r="UKM678" s="37"/>
      <c r="UKN678" s="37"/>
      <c r="UKO678" s="37"/>
      <c r="UKP678" s="37"/>
      <c r="UKQ678" s="37"/>
      <c r="UKR678" s="37"/>
      <c r="UKS678" s="37"/>
      <c r="UKT678" s="37"/>
      <c r="UKU678" s="37"/>
      <c r="UKV678" s="37"/>
      <c r="UKW678" s="37"/>
      <c r="UKX678" s="37"/>
      <c r="UKY678" s="37"/>
      <c r="UKZ678" s="37"/>
      <c r="ULA678" s="37"/>
      <c r="ULB678" s="37"/>
      <c r="ULC678" s="37"/>
      <c r="ULD678" s="37"/>
      <c r="ULE678" s="37"/>
      <c r="ULF678" s="37"/>
      <c r="ULG678" s="37"/>
      <c r="ULH678" s="37"/>
      <c r="ULI678" s="37"/>
      <c r="ULJ678" s="37"/>
      <c r="ULK678" s="37"/>
      <c r="ULL678" s="37"/>
      <c r="ULM678" s="37"/>
      <c r="ULN678" s="37"/>
      <c r="ULO678" s="37"/>
      <c r="ULP678" s="37"/>
      <c r="ULQ678" s="37"/>
      <c r="ULR678" s="37"/>
      <c r="ULS678" s="37"/>
      <c r="ULT678" s="37"/>
      <c r="ULU678" s="37"/>
      <c r="ULV678" s="37"/>
      <c r="ULW678" s="37"/>
      <c r="ULX678" s="37"/>
      <c r="ULY678" s="37"/>
      <c r="ULZ678" s="37"/>
      <c r="UMA678" s="37"/>
      <c r="UMB678" s="37"/>
      <c r="UMC678" s="37"/>
      <c r="UMD678" s="37"/>
      <c r="UME678" s="37"/>
      <c r="UMF678" s="37"/>
      <c r="UMG678" s="37"/>
      <c r="UMH678" s="37"/>
      <c r="UMI678" s="37"/>
      <c r="UMJ678" s="37"/>
      <c r="UMK678" s="37"/>
      <c r="UML678" s="37"/>
      <c r="UMM678" s="37"/>
      <c r="UMN678" s="37"/>
      <c r="UMO678" s="37"/>
      <c r="UMP678" s="37"/>
      <c r="UMQ678" s="37"/>
      <c r="UMR678" s="37"/>
      <c r="UMS678" s="37"/>
      <c r="UMT678" s="37"/>
      <c r="UMU678" s="37"/>
      <c r="UMV678" s="37"/>
      <c r="UMW678" s="37"/>
      <c r="UMX678" s="37"/>
      <c r="UMY678" s="37"/>
      <c r="UMZ678" s="37"/>
      <c r="UNA678" s="37"/>
      <c r="UNB678" s="37"/>
      <c r="UNC678" s="37"/>
      <c r="UND678" s="37"/>
      <c r="UNE678" s="37"/>
      <c r="UNF678" s="37"/>
      <c r="UNG678" s="37"/>
      <c r="UNH678" s="37"/>
      <c r="UNI678" s="37"/>
      <c r="UNJ678" s="37"/>
      <c r="UNK678" s="37"/>
      <c r="UNL678" s="37"/>
      <c r="UNM678" s="37"/>
      <c r="UNN678" s="37"/>
      <c r="UNO678" s="37"/>
      <c r="UNP678" s="37"/>
      <c r="UNQ678" s="37"/>
      <c r="UNR678" s="37"/>
      <c r="UNS678" s="37"/>
      <c r="UNT678" s="37"/>
      <c r="UNU678" s="37"/>
      <c r="UNV678" s="37"/>
      <c r="UNW678" s="37"/>
      <c r="UNX678" s="37"/>
      <c r="UNY678" s="37"/>
      <c r="UNZ678" s="37"/>
      <c r="UOA678" s="37"/>
      <c r="UOB678" s="37"/>
      <c r="UOC678" s="37"/>
      <c r="UOD678" s="37"/>
      <c r="UOE678" s="37"/>
      <c r="UOF678" s="37"/>
      <c r="UOG678" s="37"/>
      <c r="UOH678" s="37"/>
      <c r="UOI678" s="37"/>
      <c r="UOJ678" s="37"/>
      <c r="UOK678" s="37"/>
      <c r="UOL678" s="37"/>
      <c r="UOM678" s="37"/>
      <c r="UON678" s="37"/>
      <c r="UOO678" s="37"/>
      <c r="UOP678" s="37"/>
      <c r="UOQ678" s="37"/>
      <c r="UOR678" s="37"/>
      <c r="UOS678" s="37"/>
      <c r="UOT678" s="37"/>
      <c r="UOU678" s="37"/>
      <c r="UOV678" s="37"/>
      <c r="UOW678" s="37"/>
      <c r="UOX678" s="37"/>
      <c r="UOY678" s="37"/>
      <c r="UOZ678" s="37"/>
      <c r="UPA678" s="37"/>
      <c r="UPB678" s="37"/>
      <c r="UPC678" s="37"/>
      <c r="UPD678" s="37"/>
      <c r="UPE678" s="37"/>
      <c r="UPF678" s="37"/>
      <c r="UPG678" s="37"/>
      <c r="UPH678" s="37"/>
      <c r="UPI678" s="37"/>
      <c r="UPJ678" s="37"/>
      <c r="UPK678" s="37"/>
      <c r="UPL678" s="37"/>
      <c r="UPM678" s="37"/>
      <c r="UPN678" s="37"/>
      <c r="UPO678" s="37"/>
      <c r="UPP678" s="37"/>
      <c r="UPQ678" s="37"/>
      <c r="UPR678" s="37"/>
      <c r="UPS678" s="37"/>
      <c r="UPT678" s="37"/>
      <c r="UPU678" s="37"/>
      <c r="UPV678" s="37"/>
      <c r="UPW678" s="37"/>
      <c r="UPX678" s="37"/>
      <c r="UPY678" s="37"/>
      <c r="UPZ678" s="37"/>
      <c r="UQA678" s="37"/>
      <c r="UQB678" s="37"/>
      <c r="UQC678" s="37"/>
      <c r="UQD678" s="37"/>
      <c r="UQE678" s="37"/>
      <c r="UQF678" s="37"/>
      <c r="UQG678" s="37"/>
      <c r="UQH678" s="37"/>
      <c r="UQI678" s="37"/>
      <c r="UQJ678" s="37"/>
      <c r="UQK678" s="37"/>
      <c r="UQL678" s="37"/>
      <c r="UQM678" s="37"/>
      <c r="UQN678" s="37"/>
      <c r="UQO678" s="37"/>
      <c r="UQP678" s="37"/>
      <c r="UQQ678" s="37"/>
      <c r="UQR678" s="37"/>
      <c r="UQS678" s="37"/>
      <c r="UQT678" s="37"/>
      <c r="UQU678" s="37"/>
      <c r="UQV678" s="37"/>
      <c r="UQW678" s="37"/>
      <c r="UQX678" s="37"/>
      <c r="UQY678" s="37"/>
      <c r="UQZ678" s="37"/>
      <c r="URA678" s="37"/>
      <c r="URB678" s="37"/>
      <c r="URC678" s="37"/>
      <c r="URD678" s="37"/>
      <c r="URE678" s="37"/>
      <c r="URF678" s="37"/>
      <c r="URG678" s="37"/>
      <c r="URH678" s="37"/>
      <c r="URI678" s="37"/>
      <c r="URJ678" s="37"/>
      <c r="URK678" s="37"/>
      <c r="URL678" s="37"/>
      <c r="URM678" s="37"/>
      <c r="URN678" s="37"/>
      <c r="URO678" s="37"/>
      <c r="URP678" s="37"/>
      <c r="URQ678" s="37"/>
      <c r="URR678" s="37"/>
      <c r="URS678" s="37"/>
      <c r="URT678" s="37"/>
      <c r="URU678" s="37"/>
      <c r="URV678" s="37"/>
      <c r="URW678" s="37"/>
      <c r="URX678" s="37"/>
      <c r="URY678" s="37"/>
      <c r="URZ678" s="37"/>
      <c r="USA678" s="37"/>
      <c r="USB678" s="37"/>
      <c r="USC678" s="37"/>
      <c r="USD678" s="37"/>
      <c r="USE678" s="37"/>
      <c r="USF678" s="37"/>
      <c r="USG678" s="37"/>
      <c r="USH678" s="37"/>
      <c r="USI678" s="37"/>
      <c r="USJ678" s="37"/>
      <c r="USK678" s="37"/>
      <c r="USL678" s="37"/>
      <c r="USM678" s="37"/>
      <c r="USN678" s="37"/>
      <c r="USO678" s="37"/>
      <c r="USP678" s="37"/>
      <c r="USQ678" s="37"/>
      <c r="USR678" s="37"/>
      <c r="USS678" s="37"/>
      <c r="UST678" s="37"/>
      <c r="USU678" s="37"/>
      <c r="USV678" s="37"/>
      <c r="USW678" s="37"/>
      <c r="USX678" s="37"/>
      <c r="USY678" s="37"/>
      <c r="USZ678" s="37"/>
      <c r="UTA678" s="37"/>
      <c r="UTB678" s="37"/>
      <c r="UTC678" s="37"/>
      <c r="UTD678" s="37"/>
      <c r="UTE678" s="37"/>
      <c r="UTF678" s="37"/>
      <c r="UTG678" s="37"/>
      <c r="UTH678" s="37"/>
      <c r="UTI678" s="37"/>
      <c r="UTJ678" s="37"/>
      <c r="UTK678" s="37"/>
      <c r="UTL678" s="37"/>
      <c r="UTM678" s="37"/>
      <c r="UTN678" s="37"/>
      <c r="UTO678" s="37"/>
      <c r="UTP678" s="37"/>
      <c r="UTQ678" s="37"/>
      <c r="UTR678" s="37"/>
      <c r="UTS678" s="37"/>
      <c r="UTT678" s="37"/>
      <c r="UTU678" s="37"/>
      <c r="UTV678" s="37"/>
      <c r="UTW678" s="37"/>
      <c r="UTX678" s="37"/>
      <c r="UTY678" s="37"/>
      <c r="UTZ678" s="37"/>
      <c r="UUA678" s="37"/>
      <c r="UUB678" s="37"/>
      <c r="UUC678" s="37"/>
      <c r="UUD678" s="37"/>
      <c r="UUE678" s="37"/>
      <c r="UUF678" s="37"/>
      <c r="UUG678" s="37"/>
      <c r="UUH678" s="37"/>
      <c r="UUI678" s="37"/>
      <c r="UUJ678" s="37"/>
      <c r="UUK678" s="37"/>
      <c r="UUL678" s="37"/>
      <c r="UUM678" s="37"/>
      <c r="UUN678" s="37"/>
      <c r="UUO678" s="37"/>
      <c r="UUP678" s="37"/>
      <c r="UUQ678" s="37"/>
      <c r="UUR678" s="37"/>
      <c r="UUS678" s="37"/>
      <c r="UUT678" s="37"/>
      <c r="UUU678" s="37"/>
      <c r="UUV678" s="37"/>
      <c r="UUW678" s="37"/>
      <c r="UUX678" s="37"/>
      <c r="UUY678" s="37"/>
      <c r="UUZ678" s="37"/>
      <c r="UVA678" s="37"/>
      <c r="UVB678" s="37"/>
      <c r="UVC678" s="37"/>
      <c r="UVD678" s="37"/>
      <c r="UVE678" s="37"/>
      <c r="UVF678" s="37"/>
      <c r="UVG678" s="37"/>
      <c r="UVH678" s="37"/>
      <c r="UVI678" s="37"/>
      <c r="UVJ678" s="37"/>
      <c r="UVK678" s="37"/>
      <c r="UVL678" s="37"/>
      <c r="UVM678" s="37"/>
      <c r="UVN678" s="37"/>
      <c r="UVO678" s="37"/>
      <c r="UVP678" s="37"/>
      <c r="UVQ678" s="37"/>
      <c r="UVR678" s="37"/>
      <c r="UVS678" s="37"/>
      <c r="UVT678" s="37"/>
      <c r="UVU678" s="37"/>
      <c r="UVV678" s="37"/>
      <c r="UVW678" s="37"/>
      <c r="UVX678" s="37"/>
      <c r="UVY678" s="37"/>
      <c r="UVZ678" s="37"/>
      <c r="UWA678" s="37"/>
      <c r="UWB678" s="37"/>
      <c r="UWC678" s="37"/>
      <c r="UWD678" s="37"/>
      <c r="UWE678" s="37"/>
      <c r="UWF678" s="37"/>
      <c r="UWG678" s="37"/>
      <c r="UWH678" s="37"/>
      <c r="UWI678" s="37"/>
      <c r="UWJ678" s="37"/>
      <c r="UWK678" s="37"/>
      <c r="UWL678" s="37"/>
      <c r="UWM678" s="37"/>
      <c r="UWN678" s="37"/>
      <c r="UWO678" s="37"/>
      <c r="UWP678" s="37"/>
      <c r="UWQ678" s="37"/>
      <c r="UWR678" s="37"/>
      <c r="UWS678" s="37"/>
      <c r="UWT678" s="37"/>
      <c r="UWU678" s="37"/>
      <c r="UWV678" s="37"/>
      <c r="UWW678" s="37"/>
      <c r="UWX678" s="37"/>
      <c r="UWY678" s="37"/>
      <c r="UWZ678" s="37"/>
      <c r="UXA678" s="37"/>
      <c r="UXB678" s="37"/>
      <c r="UXC678" s="37"/>
      <c r="UXD678" s="37"/>
      <c r="UXE678" s="37"/>
      <c r="UXF678" s="37"/>
      <c r="UXG678" s="37"/>
      <c r="UXH678" s="37"/>
      <c r="UXI678" s="37"/>
      <c r="UXJ678" s="37"/>
      <c r="UXK678" s="37"/>
      <c r="UXL678" s="37"/>
      <c r="UXM678" s="37"/>
      <c r="UXN678" s="37"/>
      <c r="UXO678" s="37"/>
      <c r="UXP678" s="37"/>
      <c r="UXQ678" s="37"/>
      <c r="UXR678" s="37"/>
      <c r="UXS678" s="37"/>
      <c r="UXT678" s="37"/>
      <c r="UXU678" s="37"/>
      <c r="UXV678" s="37"/>
      <c r="UXW678" s="37"/>
      <c r="UXX678" s="37"/>
      <c r="UXY678" s="37"/>
      <c r="UXZ678" s="37"/>
      <c r="UYA678" s="37"/>
      <c r="UYB678" s="37"/>
      <c r="UYC678" s="37"/>
      <c r="UYD678" s="37"/>
      <c r="UYE678" s="37"/>
      <c r="UYF678" s="37"/>
      <c r="UYG678" s="37"/>
      <c r="UYH678" s="37"/>
      <c r="UYI678" s="37"/>
      <c r="UYJ678" s="37"/>
      <c r="UYK678" s="37"/>
      <c r="UYL678" s="37"/>
      <c r="UYM678" s="37"/>
      <c r="UYN678" s="37"/>
      <c r="UYO678" s="37"/>
      <c r="UYP678" s="37"/>
      <c r="UYQ678" s="37"/>
      <c r="UYR678" s="37"/>
      <c r="UYS678" s="37"/>
      <c r="UYT678" s="37"/>
      <c r="UYU678" s="37"/>
      <c r="UYV678" s="37"/>
      <c r="UYW678" s="37"/>
      <c r="UYX678" s="37"/>
      <c r="UYY678" s="37"/>
      <c r="UYZ678" s="37"/>
      <c r="UZA678" s="37"/>
      <c r="UZB678" s="37"/>
      <c r="UZC678" s="37"/>
      <c r="UZD678" s="37"/>
      <c r="UZE678" s="37"/>
      <c r="UZF678" s="37"/>
      <c r="UZG678" s="37"/>
      <c r="UZH678" s="37"/>
      <c r="UZI678" s="37"/>
      <c r="UZJ678" s="37"/>
      <c r="UZK678" s="37"/>
      <c r="UZL678" s="37"/>
      <c r="UZM678" s="37"/>
      <c r="UZN678" s="37"/>
      <c r="UZO678" s="37"/>
      <c r="UZP678" s="37"/>
      <c r="UZQ678" s="37"/>
      <c r="UZR678" s="37"/>
      <c r="UZS678" s="37"/>
      <c r="UZT678" s="37"/>
      <c r="UZU678" s="37"/>
      <c r="UZV678" s="37"/>
      <c r="UZW678" s="37"/>
      <c r="UZX678" s="37"/>
      <c r="UZY678" s="37"/>
      <c r="UZZ678" s="37"/>
      <c r="VAA678" s="37"/>
      <c r="VAB678" s="37"/>
      <c r="VAC678" s="37"/>
      <c r="VAD678" s="37"/>
      <c r="VAE678" s="37"/>
      <c r="VAF678" s="37"/>
      <c r="VAG678" s="37"/>
      <c r="VAH678" s="37"/>
      <c r="VAI678" s="37"/>
      <c r="VAJ678" s="37"/>
      <c r="VAK678" s="37"/>
      <c r="VAL678" s="37"/>
      <c r="VAM678" s="37"/>
      <c r="VAN678" s="37"/>
      <c r="VAO678" s="37"/>
      <c r="VAP678" s="37"/>
      <c r="VAQ678" s="37"/>
      <c r="VAR678" s="37"/>
      <c r="VAS678" s="37"/>
      <c r="VAT678" s="37"/>
      <c r="VAU678" s="37"/>
      <c r="VAV678" s="37"/>
      <c r="VAW678" s="37"/>
      <c r="VAX678" s="37"/>
      <c r="VAY678" s="37"/>
      <c r="VAZ678" s="37"/>
      <c r="VBA678" s="37"/>
      <c r="VBB678" s="37"/>
      <c r="VBC678" s="37"/>
      <c r="VBD678" s="37"/>
      <c r="VBE678" s="37"/>
      <c r="VBF678" s="37"/>
      <c r="VBG678" s="37"/>
      <c r="VBH678" s="37"/>
      <c r="VBI678" s="37"/>
      <c r="VBJ678" s="37"/>
      <c r="VBK678" s="37"/>
      <c r="VBL678" s="37"/>
      <c r="VBM678" s="37"/>
      <c r="VBN678" s="37"/>
      <c r="VBO678" s="37"/>
      <c r="VBP678" s="37"/>
      <c r="VBQ678" s="37"/>
      <c r="VBR678" s="37"/>
      <c r="VBS678" s="37"/>
      <c r="VBT678" s="37"/>
      <c r="VBU678" s="37"/>
      <c r="VBV678" s="37"/>
      <c r="VBW678" s="37"/>
      <c r="VBX678" s="37"/>
      <c r="VBY678" s="37"/>
      <c r="VBZ678" s="37"/>
      <c r="VCA678" s="37"/>
      <c r="VCB678" s="37"/>
      <c r="VCC678" s="37"/>
      <c r="VCD678" s="37"/>
      <c r="VCE678" s="37"/>
      <c r="VCF678" s="37"/>
      <c r="VCG678" s="37"/>
      <c r="VCH678" s="37"/>
      <c r="VCI678" s="37"/>
      <c r="VCJ678" s="37"/>
      <c r="VCK678" s="37"/>
      <c r="VCL678" s="37"/>
      <c r="VCM678" s="37"/>
      <c r="VCN678" s="37"/>
      <c r="VCO678" s="37"/>
      <c r="VCP678" s="37"/>
      <c r="VCQ678" s="37"/>
      <c r="VCR678" s="37"/>
      <c r="VCS678" s="37"/>
      <c r="VCT678" s="37"/>
      <c r="VCU678" s="37"/>
      <c r="VCV678" s="37"/>
      <c r="VCW678" s="37"/>
      <c r="VCX678" s="37"/>
      <c r="VCY678" s="37"/>
      <c r="VCZ678" s="37"/>
      <c r="VDA678" s="37"/>
      <c r="VDB678" s="37"/>
      <c r="VDC678" s="37"/>
      <c r="VDD678" s="37"/>
      <c r="VDE678" s="37"/>
      <c r="VDF678" s="37"/>
      <c r="VDG678" s="37"/>
      <c r="VDH678" s="37"/>
      <c r="VDI678" s="37"/>
      <c r="VDJ678" s="37"/>
      <c r="VDK678" s="37"/>
      <c r="VDL678" s="37"/>
      <c r="VDM678" s="37"/>
      <c r="VDN678" s="37"/>
      <c r="VDO678" s="37"/>
      <c r="VDP678" s="37"/>
      <c r="VDQ678" s="37"/>
      <c r="VDR678" s="37"/>
      <c r="VDS678" s="37"/>
      <c r="VDT678" s="37"/>
      <c r="VDU678" s="37"/>
      <c r="VDV678" s="37"/>
      <c r="VDW678" s="37"/>
      <c r="VDX678" s="37"/>
      <c r="VDY678" s="37"/>
      <c r="VDZ678" s="37"/>
      <c r="VEA678" s="37"/>
      <c r="VEB678" s="37"/>
      <c r="VEC678" s="37"/>
      <c r="VED678" s="37"/>
      <c r="VEE678" s="37"/>
      <c r="VEF678" s="37"/>
      <c r="VEG678" s="37"/>
      <c r="VEH678" s="37"/>
      <c r="VEI678" s="37"/>
      <c r="VEJ678" s="37"/>
      <c r="VEK678" s="37"/>
      <c r="VEL678" s="37"/>
      <c r="VEM678" s="37"/>
      <c r="VEN678" s="37"/>
      <c r="VEO678" s="37"/>
      <c r="VEP678" s="37"/>
      <c r="VEQ678" s="37"/>
      <c r="VER678" s="37"/>
      <c r="VES678" s="37"/>
      <c r="VET678" s="37"/>
      <c r="VEU678" s="37"/>
      <c r="VEV678" s="37"/>
      <c r="VEW678" s="37"/>
      <c r="VEX678" s="37"/>
      <c r="VEY678" s="37"/>
      <c r="VEZ678" s="37"/>
      <c r="VFA678" s="37"/>
      <c r="VFB678" s="37"/>
      <c r="VFC678" s="37"/>
      <c r="VFD678" s="37"/>
      <c r="VFE678" s="37"/>
      <c r="VFF678" s="37"/>
      <c r="VFG678" s="37"/>
      <c r="VFH678" s="37"/>
      <c r="VFI678" s="37"/>
      <c r="VFJ678" s="37"/>
      <c r="VFK678" s="37"/>
      <c r="VFL678" s="37"/>
      <c r="VFM678" s="37"/>
      <c r="VFN678" s="37"/>
      <c r="VFO678" s="37"/>
      <c r="VFP678" s="37"/>
      <c r="VFQ678" s="37"/>
      <c r="VFR678" s="37"/>
      <c r="VFS678" s="37"/>
      <c r="VFT678" s="37"/>
      <c r="VFU678" s="37"/>
      <c r="VFV678" s="37"/>
      <c r="VFW678" s="37"/>
      <c r="VFX678" s="37"/>
      <c r="VFY678" s="37"/>
      <c r="VFZ678" s="37"/>
      <c r="VGA678" s="37"/>
      <c r="VGB678" s="37"/>
      <c r="VGC678" s="37"/>
      <c r="VGD678" s="37"/>
      <c r="VGE678" s="37"/>
      <c r="VGF678" s="37"/>
      <c r="VGG678" s="37"/>
      <c r="VGH678" s="37"/>
      <c r="VGI678" s="37"/>
      <c r="VGJ678" s="37"/>
      <c r="VGK678" s="37"/>
      <c r="VGL678" s="37"/>
      <c r="VGM678" s="37"/>
      <c r="VGN678" s="37"/>
      <c r="VGO678" s="37"/>
      <c r="VGP678" s="37"/>
      <c r="VGQ678" s="37"/>
      <c r="VGR678" s="37"/>
      <c r="VGS678" s="37"/>
      <c r="VGT678" s="37"/>
      <c r="VGU678" s="37"/>
      <c r="VGV678" s="37"/>
      <c r="VGW678" s="37"/>
      <c r="VGX678" s="37"/>
      <c r="VGY678" s="37"/>
      <c r="VGZ678" s="37"/>
      <c r="VHA678" s="37"/>
      <c r="VHB678" s="37"/>
      <c r="VHC678" s="37"/>
      <c r="VHD678" s="37"/>
      <c r="VHE678" s="37"/>
      <c r="VHF678" s="37"/>
      <c r="VHG678" s="37"/>
      <c r="VHH678" s="37"/>
      <c r="VHI678" s="37"/>
      <c r="VHJ678" s="37"/>
      <c r="VHK678" s="37"/>
      <c r="VHL678" s="37"/>
      <c r="VHM678" s="37"/>
      <c r="VHN678" s="37"/>
      <c r="VHO678" s="37"/>
      <c r="VHP678" s="37"/>
      <c r="VHQ678" s="37"/>
      <c r="VHR678" s="37"/>
      <c r="VHS678" s="37"/>
      <c r="VHT678" s="37"/>
      <c r="VHU678" s="37"/>
      <c r="VHV678" s="37"/>
      <c r="VHW678" s="37"/>
      <c r="VHX678" s="37"/>
      <c r="VHY678" s="37"/>
      <c r="VHZ678" s="37"/>
      <c r="VIA678" s="37"/>
      <c r="VIB678" s="37"/>
      <c r="VIC678" s="37"/>
      <c r="VID678" s="37"/>
      <c r="VIE678" s="37"/>
      <c r="VIF678" s="37"/>
      <c r="VIG678" s="37"/>
      <c r="VIH678" s="37"/>
      <c r="VII678" s="37"/>
      <c r="VIJ678" s="37"/>
      <c r="VIK678" s="37"/>
      <c r="VIL678" s="37"/>
      <c r="VIM678" s="37"/>
      <c r="VIN678" s="37"/>
      <c r="VIO678" s="37"/>
      <c r="VIP678" s="37"/>
      <c r="VIQ678" s="37"/>
      <c r="VIR678" s="37"/>
      <c r="VIS678" s="37"/>
      <c r="VIT678" s="37"/>
      <c r="VIU678" s="37"/>
      <c r="VIV678" s="37"/>
      <c r="VIW678" s="37"/>
      <c r="VIX678" s="37"/>
      <c r="VIY678" s="37"/>
      <c r="VIZ678" s="37"/>
      <c r="VJA678" s="37"/>
      <c r="VJB678" s="37"/>
      <c r="VJC678" s="37"/>
      <c r="VJD678" s="37"/>
      <c r="VJE678" s="37"/>
      <c r="VJF678" s="37"/>
      <c r="VJG678" s="37"/>
      <c r="VJH678" s="37"/>
      <c r="VJI678" s="37"/>
      <c r="VJJ678" s="37"/>
      <c r="VJK678" s="37"/>
      <c r="VJL678" s="37"/>
      <c r="VJM678" s="37"/>
      <c r="VJN678" s="37"/>
      <c r="VJO678" s="37"/>
      <c r="VJP678" s="37"/>
      <c r="VJQ678" s="37"/>
      <c r="VJR678" s="37"/>
      <c r="VJS678" s="37"/>
      <c r="VJT678" s="37"/>
      <c r="VJU678" s="37"/>
      <c r="VJV678" s="37"/>
      <c r="VJW678" s="37"/>
      <c r="VJX678" s="37"/>
      <c r="VJY678" s="37"/>
      <c r="VJZ678" s="37"/>
      <c r="VKA678" s="37"/>
      <c r="VKB678" s="37"/>
      <c r="VKC678" s="37"/>
      <c r="VKD678" s="37"/>
      <c r="VKE678" s="37"/>
      <c r="VKF678" s="37"/>
      <c r="VKG678" s="37"/>
      <c r="VKH678" s="37"/>
      <c r="VKI678" s="37"/>
      <c r="VKJ678" s="37"/>
      <c r="VKK678" s="37"/>
      <c r="VKL678" s="37"/>
      <c r="VKM678" s="37"/>
      <c r="VKN678" s="37"/>
      <c r="VKO678" s="37"/>
      <c r="VKP678" s="37"/>
      <c r="VKQ678" s="37"/>
      <c r="VKR678" s="37"/>
      <c r="VKS678" s="37"/>
      <c r="VKT678" s="37"/>
      <c r="VKU678" s="37"/>
      <c r="VKV678" s="37"/>
      <c r="VKW678" s="37"/>
      <c r="VKX678" s="37"/>
      <c r="VKY678" s="37"/>
      <c r="VKZ678" s="37"/>
      <c r="VLA678" s="37"/>
      <c r="VLB678" s="37"/>
      <c r="VLC678" s="37"/>
      <c r="VLD678" s="37"/>
      <c r="VLE678" s="37"/>
      <c r="VLF678" s="37"/>
      <c r="VLG678" s="37"/>
      <c r="VLH678" s="37"/>
      <c r="VLI678" s="37"/>
      <c r="VLJ678" s="37"/>
      <c r="VLK678" s="37"/>
      <c r="VLL678" s="37"/>
      <c r="VLM678" s="37"/>
      <c r="VLN678" s="37"/>
      <c r="VLO678" s="37"/>
      <c r="VLP678" s="37"/>
      <c r="VLQ678" s="37"/>
      <c r="VLR678" s="37"/>
      <c r="VLS678" s="37"/>
      <c r="VLT678" s="37"/>
      <c r="VLU678" s="37"/>
      <c r="VLV678" s="37"/>
      <c r="VLW678" s="37"/>
      <c r="VLX678" s="37"/>
      <c r="VLY678" s="37"/>
      <c r="VLZ678" s="37"/>
      <c r="VMA678" s="37"/>
      <c r="VMB678" s="37"/>
      <c r="VMC678" s="37"/>
      <c r="VMD678" s="37"/>
      <c r="VME678" s="37"/>
      <c r="VMF678" s="37"/>
      <c r="VMG678" s="37"/>
      <c r="VMH678" s="37"/>
      <c r="VMI678" s="37"/>
      <c r="VMJ678" s="37"/>
      <c r="VMK678" s="37"/>
      <c r="VML678" s="37"/>
      <c r="VMM678" s="37"/>
      <c r="VMN678" s="37"/>
      <c r="VMO678" s="37"/>
      <c r="VMP678" s="37"/>
      <c r="VMQ678" s="37"/>
      <c r="VMR678" s="37"/>
      <c r="VMS678" s="37"/>
      <c r="VMT678" s="37"/>
      <c r="VMU678" s="37"/>
      <c r="VMV678" s="37"/>
      <c r="VMW678" s="37"/>
      <c r="VMX678" s="37"/>
      <c r="VMY678" s="37"/>
      <c r="VMZ678" s="37"/>
      <c r="VNA678" s="37"/>
      <c r="VNB678" s="37"/>
      <c r="VNC678" s="37"/>
      <c r="VND678" s="37"/>
      <c r="VNE678" s="37"/>
      <c r="VNF678" s="37"/>
      <c r="VNG678" s="37"/>
      <c r="VNH678" s="37"/>
      <c r="VNI678" s="37"/>
      <c r="VNJ678" s="37"/>
      <c r="VNK678" s="37"/>
      <c r="VNL678" s="37"/>
      <c r="VNM678" s="37"/>
      <c r="VNN678" s="37"/>
      <c r="VNO678" s="37"/>
      <c r="VNP678" s="37"/>
      <c r="VNQ678" s="37"/>
      <c r="VNR678" s="37"/>
      <c r="VNS678" s="37"/>
      <c r="VNT678" s="37"/>
      <c r="VNU678" s="37"/>
      <c r="VNV678" s="37"/>
      <c r="VNW678" s="37"/>
      <c r="VNX678" s="37"/>
      <c r="VNY678" s="37"/>
      <c r="VNZ678" s="37"/>
      <c r="VOA678" s="37"/>
      <c r="VOB678" s="37"/>
      <c r="VOC678" s="37"/>
      <c r="VOD678" s="37"/>
      <c r="VOE678" s="37"/>
      <c r="VOF678" s="37"/>
      <c r="VOG678" s="37"/>
      <c r="VOH678" s="37"/>
      <c r="VOI678" s="37"/>
      <c r="VOJ678" s="37"/>
      <c r="VOK678" s="37"/>
      <c r="VOL678" s="37"/>
      <c r="VOM678" s="37"/>
      <c r="VON678" s="37"/>
      <c r="VOO678" s="37"/>
      <c r="VOP678" s="37"/>
      <c r="VOQ678" s="37"/>
      <c r="VOR678" s="37"/>
      <c r="VOS678" s="37"/>
      <c r="VOT678" s="37"/>
      <c r="VOU678" s="37"/>
      <c r="VOV678" s="37"/>
      <c r="VOW678" s="37"/>
      <c r="VOX678" s="37"/>
      <c r="VOY678" s="37"/>
      <c r="VOZ678" s="37"/>
      <c r="VPA678" s="37"/>
      <c r="VPB678" s="37"/>
      <c r="VPC678" s="37"/>
      <c r="VPD678" s="37"/>
      <c r="VPE678" s="37"/>
      <c r="VPF678" s="37"/>
      <c r="VPG678" s="37"/>
      <c r="VPH678" s="37"/>
      <c r="VPI678" s="37"/>
      <c r="VPJ678" s="37"/>
      <c r="VPK678" s="37"/>
      <c r="VPL678" s="37"/>
      <c r="VPM678" s="37"/>
      <c r="VPN678" s="37"/>
      <c r="VPO678" s="37"/>
      <c r="VPP678" s="37"/>
      <c r="VPQ678" s="37"/>
      <c r="VPR678" s="37"/>
      <c r="VPS678" s="37"/>
      <c r="VPT678" s="37"/>
      <c r="VPU678" s="37"/>
      <c r="VPV678" s="37"/>
      <c r="VPW678" s="37"/>
      <c r="VPX678" s="37"/>
      <c r="VPY678" s="37"/>
      <c r="VPZ678" s="37"/>
      <c r="VQA678" s="37"/>
      <c r="VQB678" s="37"/>
      <c r="VQC678" s="37"/>
      <c r="VQD678" s="37"/>
      <c r="VQE678" s="37"/>
      <c r="VQF678" s="37"/>
      <c r="VQG678" s="37"/>
      <c r="VQH678" s="37"/>
      <c r="VQI678" s="37"/>
      <c r="VQJ678" s="37"/>
      <c r="VQK678" s="37"/>
      <c r="VQL678" s="37"/>
      <c r="VQM678" s="37"/>
      <c r="VQN678" s="37"/>
      <c r="VQO678" s="37"/>
      <c r="VQP678" s="37"/>
      <c r="VQQ678" s="37"/>
      <c r="VQR678" s="37"/>
      <c r="VQS678" s="37"/>
      <c r="VQT678" s="37"/>
      <c r="VQU678" s="37"/>
      <c r="VQV678" s="37"/>
      <c r="VQW678" s="37"/>
      <c r="VQX678" s="37"/>
      <c r="VQY678" s="37"/>
      <c r="VQZ678" s="37"/>
      <c r="VRA678" s="37"/>
      <c r="VRB678" s="37"/>
      <c r="VRC678" s="37"/>
      <c r="VRD678" s="37"/>
      <c r="VRE678" s="37"/>
      <c r="VRF678" s="37"/>
      <c r="VRG678" s="37"/>
      <c r="VRH678" s="37"/>
      <c r="VRI678" s="37"/>
      <c r="VRJ678" s="37"/>
      <c r="VRK678" s="37"/>
      <c r="VRL678" s="37"/>
      <c r="VRM678" s="37"/>
      <c r="VRN678" s="37"/>
      <c r="VRO678" s="37"/>
      <c r="VRP678" s="37"/>
      <c r="VRQ678" s="37"/>
      <c r="VRR678" s="37"/>
      <c r="VRS678" s="37"/>
      <c r="VRT678" s="37"/>
      <c r="VRU678" s="37"/>
      <c r="VRV678" s="37"/>
      <c r="VRW678" s="37"/>
      <c r="VRX678" s="37"/>
      <c r="VRY678" s="37"/>
      <c r="VRZ678" s="37"/>
      <c r="VSA678" s="37"/>
      <c r="VSB678" s="37"/>
      <c r="VSC678" s="37"/>
      <c r="VSD678" s="37"/>
      <c r="VSE678" s="37"/>
      <c r="VSF678" s="37"/>
      <c r="VSG678" s="37"/>
      <c r="VSH678" s="37"/>
      <c r="VSI678" s="37"/>
      <c r="VSJ678" s="37"/>
      <c r="VSK678" s="37"/>
      <c r="VSL678" s="37"/>
      <c r="VSM678" s="37"/>
      <c r="VSN678" s="37"/>
      <c r="VSO678" s="37"/>
      <c r="VSP678" s="37"/>
      <c r="VSQ678" s="37"/>
      <c r="VSR678" s="37"/>
      <c r="VSS678" s="37"/>
      <c r="VST678" s="37"/>
      <c r="VSU678" s="37"/>
      <c r="VSV678" s="37"/>
      <c r="VSW678" s="37"/>
      <c r="VSX678" s="37"/>
      <c r="VSY678" s="37"/>
      <c r="VSZ678" s="37"/>
      <c r="VTA678" s="37"/>
      <c r="VTB678" s="37"/>
      <c r="VTC678" s="37"/>
      <c r="VTD678" s="37"/>
      <c r="VTE678" s="37"/>
      <c r="VTF678" s="37"/>
      <c r="VTG678" s="37"/>
      <c r="VTH678" s="37"/>
      <c r="VTI678" s="37"/>
      <c r="VTJ678" s="37"/>
      <c r="VTK678" s="37"/>
      <c r="VTL678" s="37"/>
      <c r="VTM678" s="37"/>
      <c r="VTN678" s="37"/>
      <c r="VTO678" s="37"/>
      <c r="VTP678" s="37"/>
      <c r="VTQ678" s="37"/>
      <c r="VTR678" s="37"/>
      <c r="VTS678" s="37"/>
      <c r="VTT678" s="37"/>
      <c r="VTU678" s="37"/>
      <c r="VTV678" s="37"/>
      <c r="VTW678" s="37"/>
      <c r="VTX678" s="37"/>
      <c r="VTY678" s="37"/>
      <c r="VTZ678" s="37"/>
      <c r="VUA678" s="37"/>
      <c r="VUB678" s="37"/>
      <c r="VUC678" s="37"/>
      <c r="VUD678" s="37"/>
      <c r="VUE678" s="37"/>
      <c r="VUF678" s="37"/>
      <c r="VUG678" s="37"/>
      <c r="VUH678" s="37"/>
      <c r="VUI678" s="37"/>
      <c r="VUJ678" s="37"/>
      <c r="VUK678" s="37"/>
      <c r="VUL678" s="37"/>
      <c r="VUM678" s="37"/>
      <c r="VUN678" s="37"/>
      <c r="VUO678" s="37"/>
      <c r="VUP678" s="37"/>
      <c r="VUQ678" s="37"/>
      <c r="VUR678" s="37"/>
      <c r="VUS678" s="37"/>
      <c r="VUT678" s="37"/>
      <c r="VUU678" s="37"/>
      <c r="VUV678" s="37"/>
      <c r="VUW678" s="37"/>
      <c r="VUX678" s="37"/>
      <c r="VUY678" s="37"/>
      <c r="VUZ678" s="37"/>
      <c r="VVA678" s="37"/>
      <c r="VVB678" s="37"/>
      <c r="VVC678" s="37"/>
      <c r="VVD678" s="37"/>
      <c r="VVE678" s="37"/>
      <c r="VVF678" s="37"/>
      <c r="VVG678" s="37"/>
      <c r="VVH678" s="37"/>
      <c r="VVI678" s="37"/>
      <c r="VVJ678" s="37"/>
      <c r="VVK678" s="37"/>
      <c r="VVL678" s="37"/>
      <c r="VVM678" s="37"/>
      <c r="VVN678" s="37"/>
      <c r="VVO678" s="37"/>
      <c r="VVP678" s="37"/>
      <c r="VVQ678" s="37"/>
      <c r="VVR678" s="37"/>
      <c r="VVS678" s="37"/>
      <c r="VVT678" s="37"/>
      <c r="VVU678" s="37"/>
      <c r="VVV678" s="37"/>
      <c r="VVW678" s="37"/>
      <c r="VVX678" s="37"/>
      <c r="VVY678" s="37"/>
      <c r="VVZ678" s="37"/>
      <c r="VWA678" s="37"/>
      <c r="VWB678" s="37"/>
      <c r="VWC678" s="37"/>
      <c r="VWD678" s="37"/>
      <c r="VWE678" s="37"/>
      <c r="VWF678" s="37"/>
      <c r="VWG678" s="37"/>
      <c r="VWH678" s="37"/>
      <c r="VWI678" s="37"/>
      <c r="VWJ678" s="37"/>
      <c r="VWK678" s="37"/>
      <c r="VWL678" s="37"/>
      <c r="VWM678" s="37"/>
      <c r="VWN678" s="37"/>
      <c r="VWO678" s="37"/>
      <c r="VWP678" s="37"/>
      <c r="VWQ678" s="37"/>
      <c r="VWR678" s="37"/>
      <c r="VWS678" s="37"/>
      <c r="VWT678" s="37"/>
      <c r="VWU678" s="37"/>
      <c r="VWV678" s="37"/>
      <c r="VWW678" s="37"/>
      <c r="VWX678" s="37"/>
      <c r="VWY678" s="37"/>
      <c r="VWZ678" s="37"/>
      <c r="VXA678" s="37"/>
      <c r="VXB678" s="37"/>
      <c r="VXC678" s="37"/>
      <c r="VXD678" s="37"/>
      <c r="VXE678" s="37"/>
      <c r="VXF678" s="37"/>
      <c r="VXG678" s="37"/>
      <c r="VXH678" s="37"/>
      <c r="VXI678" s="37"/>
      <c r="VXJ678" s="37"/>
      <c r="VXK678" s="37"/>
      <c r="VXL678" s="37"/>
      <c r="VXM678" s="37"/>
      <c r="VXN678" s="37"/>
      <c r="VXO678" s="37"/>
      <c r="VXP678" s="37"/>
      <c r="VXQ678" s="37"/>
      <c r="VXR678" s="37"/>
      <c r="VXS678" s="37"/>
      <c r="VXT678" s="37"/>
      <c r="VXU678" s="37"/>
      <c r="VXV678" s="37"/>
      <c r="VXW678" s="37"/>
      <c r="VXX678" s="37"/>
      <c r="VXY678" s="37"/>
      <c r="VXZ678" s="37"/>
      <c r="VYA678" s="37"/>
      <c r="VYB678" s="37"/>
      <c r="VYC678" s="37"/>
      <c r="VYD678" s="37"/>
      <c r="VYE678" s="37"/>
      <c r="VYF678" s="37"/>
      <c r="VYG678" s="37"/>
      <c r="VYH678" s="37"/>
      <c r="VYI678" s="37"/>
      <c r="VYJ678" s="37"/>
      <c r="VYK678" s="37"/>
      <c r="VYL678" s="37"/>
      <c r="VYM678" s="37"/>
      <c r="VYN678" s="37"/>
      <c r="VYO678" s="37"/>
      <c r="VYP678" s="37"/>
      <c r="VYQ678" s="37"/>
      <c r="VYR678" s="37"/>
      <c r="VYS678" s="37"/>
      <c r="VYT678" s="37"/>
      <c r="VYU678" s="37"/>
      <c r="VYV678" s="37"/>
      <c r="VYW678" s="37"/>
      <c r="VYX678" s="37"/>
      <c r="VYY678" s="37"/>
      <c r="VYZ678" s="37"/>
      <c r="VZA678" s="37"/>
      <c r="VZB678" s="37"/>
      <c r="VZC678" s="37"/>
      <c r="VZD678" s="37"/>
      <c r="VZE678" s="37"/>
      <c r="VZF678" s="37"/>
      <c r="VZG678" s="37"/>
      <c r="VZH678" s="37"/>
      <c r="VZI678" s="37"/>
      <c r="VZJ678" s="37"/>
      <c r="VZK678" s="37"/>
      <c r="VZL678" s="37"/>
      <c r="VZM678" s="37"/>
      <c r="VZN678" s="37"/>
      <c r="VZO678" s="37"/>
      <c r="VZP678" s="37"/>
      <c r="VZQ678" s="37"/>
      <c r="VZR678" s="37"/>
      <c r="VZS678" s="37"/>
      <c r="VZT678" s="37"/>
      <c r="VZU678" s="37"/>
      <c r="VZV678" s="37"/>
      <c r="VZW678" s="37"/>
      <c r="VZX678" s="37"/>
      <c r="VZY678" s="37"/>
      <c r="VZZ678" s="37"/>
      <c r="WAA678" s="37"/>
      <c r="WAB678" s="37"/>
      <c r="WAC678" s="37"/>
      <c r="WAD678" s="37"/>
      <c r="WAE678" s="37"/>
      <c r="WAF678" s="37"/>
      <c r="WAG678" s="37"/>
      <c r="WAH678" s="37"/>
      <c r="WAI678" s="37"/>
      <c r="WAJ678" s="37"/>
      <c r="WAK678" s="37"/>
      <c r="WAL678" s="37"/>
      <c r="WAM678" s="37"/>
      <c r="WAN678" s="37"/>
      <c r="WAO678" s="37"/>
      <c r="WAP678" s="37"/>
      <c r="WAQ678" s="37"/>
      <c r="WAR678" s="37"/>
      <c r="WAS678" s="37"/>
      <c r="WAT678" s="37"/>
      <c r="WAU678" s="37"/>
      <c r="WAV678" s="37"/>
      <c r="WAW678" s="37"/>
      <c r="WAX678" s="37"/>
      <c r="WAY678" s="37"/>
      <c r="WAZ678" s="37"/>
      <c r="WBA678" s="37"/>
      <c r="WBB678" s="37"/>
      <c r="WBC678" s="37"/>
      <c r="WBD678" s="37"/>
      <c r="WBE678" s="37"/>
      <c r="WBF678" s="37"/>
      <c r="WBG678" s="37"/>
      <c r="WBH678" s="37"/>
      <c r="WBI678" s="37"/>
      <c r="WBJ678" s="37"/>
      <c r="WBK678" s="37"/>
      <c r="WBL678" s="37"/>
      <c r="WBM678" s="37"/>
      <c r="WBN678" s="37"/>
      <c r="WBO678" s="37"/>
      <c r="WBP678" s="37"/>
      <c r="WBQ678" s="37"/>
      <c r="WBR678" s="37"/>
      <c r="WBS678" s="37"/>
      <c r="WBT678" s="37"/>
      <c r="WBU678" s="37"/>
      <c r="WBV678" s="37"/>
      <c r="WBW678" s="37"/>
      <c r="WBX678" s="37"/>
      <c r="WBY678" s="37"/>
      <c r="WBZ678" s="37"/>
      <c r="WCA678" s="37"/>
      <c r="WCB678" s="37"/>
      <c r="WCC678" s="37"/>
      <c r="WCD678" s="37"/>
      <c r="WCE678" s="37"/>
      <c r="WCF678" s="37"/>
      <c r="WCG678" s="37"/>
      <c r="WCH678" s="37"/>
      <c r="WCI678" s="37"/>
      <c r="WCJ678" s="37"/>
      <c r="WCK678" s="37"/>
      <c r="WCL678" s="37"/>
      <c r="WCM678" s="37"/>
      <c r="WCN678" s="37"/>
      <c r="WCO678" s="37"/>
      <c r="WCP678" s="37"/>
      <c r="WCQ678" s="37"/>
      <c r="WCR678" s="37"/>
      <c r="WCS678" s="37"/>
      <c r="WCT678" s="37"/>
      <c r="WCU678" s="37"/>
      <c r="WCV678" s="37"/>
      <c r="WCW678" s="37"/>
      <c r="WCX678" s="37"/>
      <c r="WCY678" s="37"/>
      <c r="WCZ678" s="37"/>
      <c r="WDA678" s="37"/>
      <c r="WDB678" s="37"/>
      <c r="WDC678" s="37"/>
      <c r="WDD678" s="37"/>
      <c r="WDE678" s="37"/>
      <c r="WDF678" s="37"/>
      <c r="WDG678" s="37"/>
      <c r="WDH678" s="37"/>
      <c r="WDI678" s="37"/>
      <c r="WDJ678" s="37"/>
      <c r="WDK678" s="37"/>
      <c r="WDL678" s="37"/>
      <c r="WDM678" s="37"/>
      <c r="WDN678" s="37"/>
      <c r="WDO678" s="37"/>
      <c r="WDP678" s="37"/>
      <c r="WDQ678" s="37"/>
      <c r="WDR678" s="37"/>
      <c r="WDS678" s="37"/>
      <c r="WDT678" s="37"/>
      <c r="WDU678" s="37"/>
      <c r="WDV678" s="37"/>
      <c r="WDW678" s="37"/>
      <c r="WDX678" s="37"/>
      <c r="WDY678" s="37"/>
      <c r="WDZ678" s="37"/>
      <c r="WEA678" s="37"/>
      <c r="WEB678" s="37"/>
      <c r="WEC678" s="37"/>
      <c r="WED678" s="37"/>
      <c r="WEE678" s="37"/>
      <c r="WEF678" s="37"/>
      <c r="WEG678" s="37"/>
      <c r="WEH678" s="37"/>
      <c r="WEI678" s="37"/>
      <c r="WEJ678" s="37"/>
      <c r="WEK678" s="37"/>
      <c r="WEL678" s="37"/>
      <c r="WEM678" s="37"/>
      <c r="WEN678" s="37"/>
      <c r="WEO678" s="37"/>
      <c r="WEP678" s="37"/>
      <c r="WEQ678" s="37"/>
      <c r="WER678" s="37"/>
      <c r="WES678" s="37"/>
      <c r="WET678" s="37"/>
      <c r="WEU678" s="37"/>
      <c r="WEV678" s="37"/>
      <c r="WEW678" s="37"/>
      <c r="WEX678" s="37"/>
      <c r="WEY678" s="37"/>
      <c r="WEZ678" s="37"/>
      <c r="WFA678" s="37"/>
      <c r="WFB678" s="37"/>
      <c r="WFC678" s="37"/>
      <c r="WFD678" s="37"/>
      <c r="WFE678" s="37"/>
      <c r="WFF678" s="37"/>
      <c r="WFG678" s="37"/>
      <c r="WFH678" s="37"/>
      <c r="WFI678" s="37"/>
      <c r="WFJ678" s="37"/>
      <c r="WFK678" s="37"/>
      <c r="WFL678" s="37"/>
      <c r="WFM678" s="37"/>
      <c r="WFN678" s="37"/>
      <c r="WFO678" s="37"/>
      <c r="WFP678" s="37"/>
      <c r="WFQ678" s="37"/>
      <c r="WFR678" s="37"/>
      <c r="WFS678" s="37"/>
      <c r="WFT678" s="37"/>
      <c r="WFU678" s="37"/>
      <c r="WFV678" s="37"/>
      <c r="WFW678" s="37"/>
      <c r="WFX678" s="37"/>
      <c r="WFY678" s="37"/>
      <c r="WFZ678" s="37"/>
      <c r="WGA678" s="37"/>
      <c r="WGB678" s="37"/>
      <c r="WGC678" s="37"/>
      <c r="WGD678" s="37"/>
      <c r="WGE678" s="37"/>
      <c r="WGF678" s="37"/>
      <c r="WGG678" s="37"/>
      <c r="WGH678" s="37"/>
      <c r="WGI678" s="37"/>
      <c r="WGJ678" s="37"/>
      <c r="WGK678" s="37"/>
      <c r="WGL678" s="37"/>
      <c r="WGM678" s="37"/>
      <c r="WGN678" s="37"/>
      <c r="WGO678" s="37"/>
      <c r="WGP678" s="37"/>
      <c r="WGQ678" s="37"/>
      <c r="WGR678" s="37"/>
      <c r="WGS678" s="37"/>
      <c r="WGT678" s="37"/>
      <c r="WGU678" s="37"/>
      <c r="WGV678" s="37"/>
      <c r="WGW678" s="37"/>
      <c r="WGX678" s="37"/>
      <c r="WGY678" s="37"/>
      <c r="WGZ678" s="37"/>
      <c r="WHA678" s="37"/>
      <c r="WHB678" s="37"/>
      <c r="WHC678" s="37"/>
      <c r="WHD678" s="37"/>
      <c r="WHE678" s="37"/>
      <c r="WHF678" s="37"/>
      <c r="WHG678" s="37"/>
      <c r="WHH678" s="37"/>
      <c r="WHI678" s="37"/>
      <c r="WHJ678" s="37"/>
      <c r="WHK678" s="37"/>
      <c r="WHL678" s="37"/>
      <c r="WHM678" s="37"/>
      <c r="WHN678" s="37"/>
      <c r="WHO678" s="37"/>
      <c r="WHP678" s="37"/>
      <c r="WHQ678" s="37"/>
      <c r="WHR678" s="37"/>
      <c r="WHS678" s="37"/>
      <c r="WHT678" s="37"/>
      <c r="WHU678" s="37"/>
      <c r="WHV678" s="37"/>
      <c r="WHW678" s="37"/>
      <c r="WHX678" s="37"/>
      <c r="WHY678" s="37"/>
      <c r="WHZ678" s="37"/>
      <c r="WIA678" s="37"/>
      <c r="WIB678" s="37"/>
      <c r="WIC678" s="37"/>
      <c r="WID678" s="37"/>
      <c r="WIE678" s="37"/>
      <c r="WIF678" s="37"/>
      <c r="WIG678" s="37"/>
      <c r="WIH678" s="37"/>
      <c r="WII678" s="37"/>
      <c r="WIJ678" s="37"/>
      <c r="WIK678" s="37"/>
      <c r="WIL678" s="37"/>
      <c r="WIM678" s="37"/>
      <c r="WIN678" s="37"/>
      <c r="WIO678" s="37"/>
      <c r="WIP678" s="37"/>
      <c r="WIQ678" s="37"/>
      <c r="WIR678" s="37"/>
      <c r="WIS678" s="37"/>
      <c r="WIT678" s="37"/>
      <c r="WIU678" s="37"/>
      <c r="WIV678" s="37"/>
      <c r="WIW678" s="37"/>
      <c r="WIX678" s="37"/>
      <c r="WIY678" s="37"/>
      <c r="WIZ678" s="37"/>
      <c r="WJA678" s="37"/>
      <c r="WJB678" s="37"/>
      <c r="WJC678" s="37"/>
      <c r="WJD678" s="37"/>
      <c r="WJE678" s="37"/>
      <c r="WJF678" s="37"/>
      <c r="WJG678" s="37"/>
      <c r="WJH678" s="37"/>
      <c r="WJI678" s="37"/>
    </row>
    <row r="679" spans="1:15817" x14ac:dyDescent="0.2">
      <c r="A679" s="20" t="str">
        <f>+A388</f>
        <v>Delvin Warner</v>
      </c>
      <c r="C679" s="37">
        <v>6.5990000000000002</v>
      </c>
      <c r="D679" s="37">
        <v>5.57</v>
      </c>
      <c r="E679" s="37">
        <v>6.6020000000000003</v>
      </c>
      <c r="F679" s="37">
        <v>8.8140000000000001</v>
      </c>
      <c r="G679" s="37">
        <v>3.2</v>
      </c>
      <c r="H679" s="37">
        <v>5.1639999999999997</v>
      </c>
      <c r="I679" s="37">
        <v>2.8740000000000001</v>
      </c>
      <c r="J679" s="37">
        <v>1.964</v>
      </c>
      <c r="K679" s="37">
        <v>2.7360000000000002</v>
      </c>
      <c r="L679" s="37">
        <v>3.85</v>
      </c>
      <c r="M679" s="37">
        <v>5.6639999999999997</v>
      </c>
      <c r="N679" s="37">
        <v>6.992</v>
      </c>
      <c r="O679" s="37">
        <f t="shared" ref="O679:Z679" si="368">+O389</f>
        <v>6.1630000000000003</v>
      </c>
      <c r="P679" s="37">
        <f t="shared" si="368"/>
        <v>5.3150000000000004</v>
      </c>
      <c r="Q679" s="37">
        <f t="shared" si="368"/>
        <v>8.8699999999999992</v>
      </c>
      <c r="R679" s="37">
        <f t="shared" si="368"/>
        <v>8.4670000000000005</v>
      </c>
      <c r="S679" s="37">
        <f t="shared" si="368"/>
        <v>3.548</v>
      </c>
      <c r="T679" s="37">
        <f t="shared" si="368"/>
        <v>4.8390000000000004</v>
      </c>
      <c r="U679" s="37">
        <f t="shared" si="368"/>
        <v>6.5609999999999999</v>
      </c>
      <c r="V679" s="37">
        <f t="shared" si="368"/>
        <v>2.73</v>
      </c>
      <c r="W679" s="37">
        <f t="shared" si="368"/>
        <v>3.2450000000000001</v>
      </c>
      <c r="X679" s="37">
        <f t="shared" si="368"/>
        <v>4.4050000000000002</v>
      </c>
      <c r="Y679" s="37">
        <f t="shared" si="368"/>
        <v>6.125</v>
      </c>
      <c r="Z679" s="37">
        <f t="shared" si="368"/>
        <v>3.7570000000000001</v>
      </c>
    </row>
    <row r="680" spans="1:15817" x14ac:dyDescent="0.2">
      <c r="A680" s="20" t="str">
        <f>+A393</f>
        <v>Arlon Warner</v>
      </c>
      <c r="B680" s="20"/>
      <c r="C680" s="37">
        <v>6.6360000000000001</v>
      </c>
      <c r="D680" s="37">
        <v>7.0110000000000001</v>
      </c>
      <c r="E680" s="37">
        <v>8.7200000000000006</v>
      </c>
      <c r="F680" s="37">
        <v>13.276999999999999</v>
      </c>
      <c r="G680" s="37">
        <v>7.4429999999999996</v>
      </c>
      <c r="H680" s="37">
        <v>3.9420000000000002</v>
      </c>
      <c r="I680" s="37">
        <v>7.266</v>
      </c>
      <c r="J680" s="37">
        <v>0.21099999999999999</v>
      </c>
      <c r="K680" s="37">
        <v>6.1429999999999998</v>
      </c>
      <c r="L680" s="37">
        <v>9.8230000000000004</v>
      </c>
      <c r="M680" s="37">
        <v>11.869</v>
      </c>
      <c r="N680" s="37">
        <v>10.47</v>
      </c>
      <c r="O680" s="37">
        <f t="shared" ref="O680:Z680" si="369">+O394</f>
        <v>2.7709999999999999</v>
      </c>
      <c r="P680" s="37">
        <f t="shared" si="369"/>
        <v>1.226</v>
      </c>
      <c r="Q680" s="37">
        <f t="shared" si="369"/>
        <v>6.6079999999999997</v>
      </c>
      <c r="R680" s="37">
        <f t="shared" si="369"/>
        <v>8.7200000000000006</v>
      </c>
      <c r="S680" s="37">
        <f t="shared" si="369"/>
        <v>5.718</v>
      </c>
      <c r="T680" s="37">
        <f t="shared" si="369"/>
        <v>8.6720000000000006</v>
      </c>
      <c r="U680" s="37">
        <f t="shared" si="369"/>
        <v>9.2799999999999994</v>
      </c>
      <c r="V680" s="37">
        <f t="shared" si="369"/>
        <v>10.022</v>
      </c>
      <c r="W680" s="37">
        <f t="shared" si="369"/>
        <v>9.0120000000000005</v>
      </c>
      <c r="X680" s="37">
        <f t="shared" si="369"/>
        <v>9.0500000000000007</v>
      </c>
      <c r="Y680" s="37">
        <f t="shared" si="369"/>
        <v>12.472</v>
      </c>
      <c r="Z680" s="37">
        <f t="shared" si="369"/>
        <v>10.718</v>
      </c>
    </row>
    <row r="681" spans="1:15817" x14ac:dyDescent="0.2">
      <c r="A681" s="20" t="s">
        <v>238</v>
      </c>
      <c r="B681" s="20"/>
      <c r="C681" s="37">
        <v>778.49</v>
      </c>
      <c r="D681" s="37">
        <v>1634.17</v>
      </c>
      <c r="E681" s="37">
        <v>2934.03</v>
      </c>
      <c r="F681" s="37">
        <v>3083.91</v>
      </c>
      <c r="G681" s="37">
        <v>2571.83</v>
      </c>
      <c r="H681" s="37">
        <v>1007.513</v>
      </c>
      <c r="I681" s="37">
        <v>1530.3824999999999</v>
      </c>
      <c r="J681" s="37">
        <v>1003.9950000000001</v>
      </c>
      <c r="K681" s="37">
        <v>1615.92</v>
      </c>
      <c r="L681" s="37">
        <v>1699.4474999999998</v>
      </c>
      <c r="M681" s="37">
        <v>2080.38</v>
      </c>
      <c r="N681" s="37">
        <v>2582.4180000000001</v>
      </c>
      <c r="O681" s="37">
        <f t="shared" ref="O681:Z681" si="370">+O229</f>
        <v>1387.96</v>
      </c>
      <c r="P681" s="37">
        <f t="shared" si="370"/>
        <v>2403.15</v>
      </c>
      <c r="Q681" s="37">
        <f t="shared" si="370"/>
        <v>3586.5</v>
      </c>
      <c r="R681" s="37">
        <f t="shared" si="370"/>
        <v>2713.53</v>
      </c>
      <c r="S681" s="37">
        <f t="shared" si="370"/>
        <v>1632.95</v>
      </c>
      <c r="T681" s="37">
        <f t="shared" si="370"/>
        <v>1658.1150000000002</v>
      </c>
      <c r="U681" s="37">
        <f t="shared" si="370"/>
        <v>1082.6212499999999</v>
      </c>
      <c r="V681" s="37">
        <f t="shared" si="370"/>
        <v>1770.91</v>
      </c>
      <c r="W681" s="37">
        <f t="shared" si="370"/>
        <v>860.43</v>
      </c>
      <c r="X681" s="37">
        <f t="shared" si="370"/>
        <v>2286.9699999999998</v>
      </c>
      <c r="Y681" s="37">
        <f t="shared" si="370"/>
        <v>2427.3000000000002</v>
      </c>
      <c r="Z681" s="37">
        <f t="shared" si="370"/>
        <v>2227.9430000000002</v>
      </c>
    </row>
    <row r="682" spans="1:15817" x14ac:dyDescent="0.2">
      <c r="A682" s="20" t="s">
        <v>237</v>
      </c>
      <c r="B682" s="20"/>
      <c r="C682" s="37">
        <v>259.5</v>
      </c>
      <c r="D682" s="37">
        <v>544.72</v>
      </c>
      <c r="E682" s="37">
        <v>978.01</v>
      </c>
      <c r="F682" s="37">
        <v>1027.97</v>
      </c>
      <c r="G682" s="37">
        <v>857.28</v>
      </c>
      <c r="H682" s="37">
        <v>335.83800000000002</v>
      </c>
      <c r="I682" s="37">
        <v>510.1275</v>
      </c>
      <c r="J682" s="37">
        <v>334.66500000000002</v>
      </c>
      <c r="K682" s="37">
        <v>538.64</v>
      </c>
      <c r="L682" s="37">
        <v>566.48249999999996</v>
      </c>
      <c r="M682" s="37">
        <v>693.46</v>
      </c>
      <c r="N682" s="37">
        <v>860.80600000000004</v>
      </c>
      <c r="O682" s="37">
        <f t="shared" ref="O682:Z682" si="371">+O237</f>
        <v>462.65</v>
      </c>
      <c r="P682" s="37">
        <f t="shared" si="371"/>
        <v>801.05</v>
      </c>
      <c r="Q682" s="37">
        <f t="shared" si="371"/>
        <v>1195.5</v>
      </c>
      <c r="R682" s="37">
        <f t="shared" si="371"/>
        <v>904.51</v>
      </c>
      <c r="S682" s="37">
        <f t="shared" si="371"/>
        <v>544.32000000000005</v>
      </c>
      <c r="T682" s="37">
        <f t="shared" si="371"/>
        <v>552.70500000000004</v>
      </c>
      <c r="U682" s="37">
        <f t="shared" si="371"/>
        <v>360.87374999999997</v>
      </c>
      <c r="V682" s="37">
        <f t="shared" si="371"/>
        <v>590.29999999999995</v>
      </c>
      <c r="W682" s="37">
        <f t="shared" si="371"/>
        <v>286.81</v>
      </c>
      <c r="X682" s="37">
        <f t="shared" si="371"/>
        <v>762.32</v>
      </c>
      <c r="Y682" s="37">
        <f t="shared" si="371"/>
        <v>809.1</v>
      </c>
      <c r="Z682" s="37">
        <f t="shared" si="371"/>
        <v>742.64800000000002</v>
      </c>
    </row>
    <row r="683" spans="1:15817" x14ac:dyDescent="0.2">
      <c r="A683" s="20" t="str">
        <f>+A376</f>
        <v>Kingdom Community Wind</v>
      </c>
      <c r="B683" s="20"/>
      <c r="C683" s="37">
        <v>691.91200000000003</v>
      </c>
      <c r="D683" s="37">
        <v>1694.2929999999999</v>
      </c>
      <c r="E683" s="37">
        <v>2173.2750000000001</v>
      </c>
      <c r="F683" s="37">
        <v>2531.7330000000002</v>
      </c>
      <c r="G683" s="37">
        <v>2238.4569999999999</v>
      </c>
      <c r="H683" s="37">
        <v>1195.8109999999999</v>
      </c>
      <c r="I683" s="37">
        <v>1633.923</v>
      </c>
      <c r="J683" s="37">
        <v>1031.057</v>
      </c>
      <c r="K683" s="37">
        <v>1563.174</v>
      </c>
      <c r="L683" s="37">
        <v>1624.5709999999999</v>
      </c>
      <c r="M683" s="37">
        <v>2283.69</v>
      </c>
      <c r="N683" s="37">
        <v>2543.511</v>
      </c>
      <c r="O683" s="37">
        <f t="shared" ref="O683:Z683" si="372">+O380</f>
        <v>1114.4690000000001</v>
      </c>
      <c r="P683" s="37">
        <f t="shared" si="372"/>
        <v>1827.316</v>
      </c>
      <c r="Q683" s="37">
        <f t="shared" si="372"/>
        <v>2336.4870000000001</v>
      </c>
      <c r="R683" s="37">
        <f t="shared" si="372"/>
        <v>2130.4079999999999</v>
      </c>
      <c r="S683" s="37">
        <f t="shared" si="372"/>
        <v>1525.874</v>
      </c>
      <c r="T683" s="37">
        <f t="shared" si="372"/>
        <v>1616.2159999999999</v>
      </c>
      <c r="U683" s="37">
        <f t="shared" si="372"/>
        <v>1045.5250000000001</v>
      </c>
      <c r="V683" s="37">
        <f t="shared" si="372"/>
        <v>1912.31</v>
      </c>
      <c r="W683" s="37">
        <f t="shared" si="372"/>
        <v>980.66300000000001</v>
      </c>
      <c r="X683" s="37">
        <f t="shared" si="372"/>
        <v>2078.0259999999998</v>
      </c>
      <c r="Y683" s="37">
        <f t="shared" si="372"/>
        <v>1762.905</v>
      </c>
      <c r="Z683" s="37">
        <f t="shared" si="372"/>
        <v>1510.501</v>
      </c>
    </row>
    <row r="684" spans="1:15817" x14ac:dyDescent="0.2">
      <c r="A684" s="109" t="s">
        <v>376</v>
      </c>
      <c r="B684" s="20"/>
      <c r="C684" s="158"/>
      <c r="D684" s="158"/>
      <c r="E684" s="158"/>
      <c r="F684" s="158"/>
      <c r="G684" s="158"/>
      <c r="H684" s="158"/>
      <c r="I684" s="158"/>
      <c r="J684" s="158"/>
      <c r="K684" s="158"/>
      <c r="L684" s="158"/>
      <c r="M684" s="158"/>
      <c r="N684" s="158"/>
      <c r="O684" s="158"/>
      <c r="P684" s="158"/>
      <c r="Q684" s="158"/>
      <c r="R684" s="158"/>
      <c r="S684" s="158"/>
      <c r="T684" s="158"/>
      <c r="U684" s="158"/>
      <c r="V684" s="158"/>
      <c r="W684" s="158"/>
      <c r="X684" s="158"/>
      <c r="Y684" s="158"/>
      <c r="Z684" s="158"/>
    </row>
    <row r="685" spans="1:15817" x14ac:dyDescent="0.2">
      <c r="A685" t="s">
        <v>274</v>
      </c>
      <c r="C685" s="12">
        <v>10912</v>
      </c>
      <c r="D685" s="12">
        <v>10208</v>
      </c>
      <c r="E685" s="12">
        <v>10912</v>
      </c>
      <c r="F685" s="12">
        <v>10560</v>
      </c>
      <c r="G685" s="12">
        <v>10912</v>
      </c>
      <c r="H685" s="12">
        <v>10560</v>
      </c>
      <c r="I685" s="12">
        <v>10912</v>
      </c>
      <c r="J685" s="12">
        <v>10912</v>
      </c>
      <c r="K685" s="12">
        <v>10560</v>
      </c>
      <c r="L685" s="12">
        <v>10912</v>
      </c>
      <c r="M685" s="12">
        <v>10560</v>
      </c>
      <c r="N685" s="12">
        <v>10912</v>
      </c>
      <c r="O685" s="12">
        <f t="shared" ref="O685:Z685" si="373">+O178+O179</f>
        <v>10912</v>
      </c>
      <c r="P685" s="12">
        <f t="shared" si="373"/>
        <v>9856</v>
      </c>
      <c r="Q685" s="12">
        <f t="shared" si="373"/>
        <v>10912</v>
      </c>
      <c r="R685" s="12">
        <f t="shared" si="373"/>
        <v>10560</v>
      </c>
      <c r="S685" s="12">
        <f t="shared" si="373"/>
        <v>10912</v>
      </c>
      <c r="T685" s="12">
        <f t="shared" si="373"/>
        <v>10560</v>
      </c>
      <c r="U685" s="12">
        <f t="shared" si="373"/>
        <v>10912</v>
      </c>
      <c r="V685" s="12">
        <f t="shared" si="373"/>
        <v>10912</v>
      </c>
      <c r="W685" s="12">
        <f t="shared" si="373"/>
        <v>10560</v>
      </c>
      <c r="X685" s="12">
        <f t="shared" si="373"/>
        <v>10912</v>
      </c>
      <c r="Y685" s="12">
        <f t="shared" si="373"/>
        <v>10560</v>
      </c>
      <c r="Z685" s="12">
        <f t="shared" si="373"/>
        <v>10912</v>
      </c>
    </row>
    <row r="686" spans="1:15817" x14ac:dyDescent="0.2">
      <c r="A686" t="s">
        <v>600</v>
      </c>
      <c r="C686" s="12">
        <v>0</v>
      </c>
      <c r="D686" s="12">
        <v>0</v>
      </c>
      <c r="E686" s="12">
        <v>0</v>
      </c>
      <c r="F686" s="12">
        <v>0</v>
      </c>
      <c r="G686" s="12">
        <v>0</v>
      </c>
      <c r="H686" s="12">
        <v>0</v>
      </c>
      <c r="I686" s="12">
        <v>0</v>
      </c>
      <c r="J686" s="12">
        <v>0</v>
      </c>
      <c r="K686" s="12">
        <v>0</v>
      </c>
      <c r="L686" s="12">
        <v>0</v>
      </c>
      <c r="M686" s="12">
        <v>0</v>
      </c>
      <c r="N686" s="12">
        <v>0</v>
      </c>
      <c r="O686" s="12">
        <f t="shared" ref="O686:Z686" si="374">O491</f>
        <v>0</v>
      </c>
      <c r="P686" s="12">
        <f t="shared" si="374"/>
        <v>0</v>
      </c>
      <c r="Q686" s="12">
        <f t="shared" si="374"/>
        <v>0</v>
      </c>
      <c r="R686" s="12">
        <f t="shared" si="374"/>
        <v>0</v>
      </c>
      <c r="S686" s="12">
        <f t="shared" si="374"/>
        <v>0</v>
      </c>
      <c r="T686" s="12">
        <f t="shared" si="374"/>
        <v>0</v>
      </c>
      <c r="U686" s="12">
        <f t="shared" si="374"/>
        <v>0</v>
      </c>
      <c r="V686" s="12">
        <f t="shared" si="374"/>
        <v>0</v>
      </c>
      <c r="W686" s="12">
        <f t="shared" si="374"/>
        <v>0</v>
      </c>
      <c r="X686" s="12">
        <f t="shared" si="374"/>
        <v>0</v>
      </c>
      <c r="Y686" s="12">
        <f t="shared" si="374"/>
        <v>0</v>
      </c>
      <c r="Z686" s="12">
        <f t="shared" si="374"/>
        <v>0</v>
      </c>
    </row>
    <row r="687" spans="1:15817" x14ac:dyDescent="0.2">
      <c r="A687" t="s">
        <v>32</v>
      </c>
      <c r="C687" s="12">
        <v>2703</v>
      </c>
      <c r="D687" s="12">
        <v>2764</v>
      </c>
      <c r="E687" s="12">
        <v>1498</v>
      </c>
      <c r="F687" s="12">
        <v>5820</v>
      </c>
      <c r="G687" s="12">
        <v>4239</v>
      </c>
      <c r="H687" s="12">
        <v>2282</v>
      </c>
      <c r="I687" s="12">
        <v>10464</v>
      </c>
      <c r="J687" s="12">
        <v>8542</v>
      </c>
      <c r="K687" s="12">
        <v>9543</v>
      </c>
      <c r="L687" s="12">
        <v>9430</v>
      </c>
      <c r="M687" s="12">
        <v>8371</v>
      </c>
      <c r="N687" s="12">
        <v>9325</v>
      </c>
      <c r="O687" s="12">
        <f t="shared" ref="O687:Z687" si="375">+O192+O193</f>
        <v>5029</v>
      </c>
      <c r="P687" s="12">
        <f t="shared" si="375"/>
        <v>5180.5</v>
      </c>
      <c r="Q687" s="12">
        <f t="shared" si="375"/>
        <v>5300</v>
      </c>
      <c r="R687" s="12">
        <f t="shared" si="375"/>
        <v>3643</v>
      </c>
      <c r="S687" s="12">
        <f t="shared" si="375"/>
        <v>5270</v>
      </c>
      <c r="T687" s="12">
        <f t="shared" si="375"/>
        <v>8961</v>
      </c>
      <c r="U687" s="12">
        <f t="shared" si="375"/>
        <v>11756</v>
      </c>
      <c r="V687" s="12">
        <f t="shared" si="375"/>
        <v>10918</v>
      </c>
      <c r="W687" s="12">
        <f t="shared" si="375"/>
        <v>5136</v>
      </c>
      <c r="X687" s="12">
        <f t="shared" si="375"/>
        <v>8082</v>
      </c>
      <c r="Y687" s="12">
        <f t="shared" si="375"/>
        <v>10778</v>
      </c>
      <c r="Z687" s="12">
        <f t="shared" si="375"/>
        <v>1795</v>
      </c>
    </row>
    <row r="688" spans="1:15817" x14ac:dyDescent="0.2">
      <c r="A688" t="s">
        <v>260</v>
      </c>
      <c r="C688" s="12">
        <v>0</v>
      </c>
      <c r="D688" s="12">
        <v>0</v>
      </c>
      <c r="E688" s="12">
        <v>0</v>
      </c>
      <c r="F688" s="12">
        <v>0</v>
      </c>
      <c r="G688" s="12">
        <v>0</v>
      </c>
      <c r="H688" s="12">
        <v>0</v>
      </c>
      <c r="I688" s="12">
        <v>0</v>
      </c>
      <c r="J688" s="12">
        <v>0</v>
      </c>
      <c r="K688" s="12">
        <v>0</v>
      </c>
      <c r="L688" s="12">
        <v>0</v>
      </c>
      <c r="M688" s="12">
        <v>0</v>
      </c>
      <c r="N688" s="12">
        <v>0</v>
      </c>
      <c r="O688" s="12">
        <f t="shared" ref="O688:Z688" si="376">+O547</f>
        <v>0</v>
      </c>
      <c r="P688" s="12">
        <f t="shared" si="376"/>
        <v>0</v>
      </c>
      <c r="Q688" s="12">
        <f t="shared" si="376"/>
        <v>0</v>
      </c>
      <c r="R688" s="12">
        <f t="shared" si="376"/>
        <v>0</v>
      </c>
      <c r="S688" s="12">
        <f t="shared" si="376"/>
        <v>0</v>
      </c>
      <c r="T688" s="12">
        <f t="shared" si="376"/>
        <v>0</v>
      </c>
      <c r="U688" s="12">
        <f t="shared" si="376"/>
        <v>0</v>
      </c>
      <c r="V688" s="12">
        <f t="shared" si="376"/>
        <v>0</v>
      </c>
      <c r="W688" s="12">
        <f t="shared" si="376"/>
        <v>0</v>
      </c>
      <c r="X688" s="12">
        <f t="shared" si="376"/>
        <v>0</v>
      </c>
      <c r="Y688" s="12">
        <f t="shared" si="376"/>
        <v>0</v>
      </c>
      <c r="Z688" s="12">
        <f t="shared" si="376"/>
        <v>0</v>
      </c>
    </row>
    <row r="689" spans="1:26" x14ac:dyDescent="0.2">
      <c r="A689" s="54" t="s">
        <v>298</v>
      </c>
      <c r="C689" s="12">
        <v>7254</v>
      </c>
      <c r="D689" s="12">
        <v>6786</v>
      </c>
      <c r="E689" s="12">
        <v>7244.25</v>
      </c>
      <c r="F689" s="12">
        <v>7020</v>
      </c>
      <c r="G689" s="12">
        <v>7254</v>
      </c>
      <c r="H689" s="12">
        <v>7020</v>
      </c>
      <c r="I689" s="12">
        <v>7254</v>
      </c>
      <c r="J689" s="12">
        <v>7254</v>
      </c>
      <c r="K689" s="12">
        <v>7020</v>
      </c>
      <c r="L689" s="12">
        <v>0</v>
      </c>
      <c r="M689" s="12">
        <v>7029.75</v>
      </c>
      <c r="N689" s="12">
        <v>7254</v>
      </c>
      <c r="O689" s="12">
        <f t="shared" ref="O689:Z689" si="377">+O555</f>
        <v>7254</v>
      </c>
      <c r="P689" s="12">
        <f t="shared" si="377"/>
        <v>6552</v>
      </c>
      <c r="Q689" s="12">
        <f t="shared" si="377"/>
        <v>7244.25</v>
      </c>
      <c r="R689" s="12">
        <f t="shared" si="377"/>
        <v>7020</v>
      </c>
      <c r="S689" s="12">
        <f t="shared" si="377"/>
        <v>7254</v>
      </c>
      <c r="T689" s="12">
        <f t="shared" si="377"/>
        <v>7020</v>
      </c>
      <c r="U689" s="12">
        <f t="shared" si="377"/>
        <v>7254</v>
      </c>
      <c r="V689" s="12">
        <f t="shared" si="377"/>
        <v>7254</v>
      </c>
      <c r="W689" s="12">
        <f t="shared" si="377"/>
        <v>7020</v>
      </c>
      <c r="X689" s="12">
        <f t="shared" si="377"/>
        <v>7254</v>
      </c>
      <c r="Y689" s="12">
        <f t="shared" si="377"/>
        <v>7029.75</v>
      </c>
      <c r="Z689" s="12">
        <f t="shared" si="377"/>
        <v>7254</v>
      </c>
    </row>
    <row r="690" spans="1:26" x14ac:dyDescent="0.2">
      <c r="A690" s="54" t="s">
        <v>490</v>
      </c>
      <c r="C690" s="83">
        <v>430.53100000000001</v>
      </c>
      <c r="D690" s="83">
        <v>395.31299999999999</v>
      </c>
      <c r="E690" s="83">
        <v>626.71799999999996</v>
      </c>
      <c r="F690" s="83">
        <v>1376.009</v>
      </c>
      <c r="G690" s="83">
        <v>2250.1590000000001</v>
      </c>
      <c r="H690" s="83">
        <v>2966.8330000000001</v>
      </c>
      <c r="I690" s="83">
        <v>2493.7660000000001</v>
      </c>
      <c r="J690" s="83">
        <v>2211.4859999999999</v>
      </c>
      <c r="K690" s="83">
        <v>1698.8209999999999</v>
      </c>
      <c r="L690" s="83">
        <v>1312.9960000000001</v>
      </c>
      <c r="M690" s="83">
        <v>1202.5719999999999</v>
      </c>
      <c r="N690" s="83">
        <v>612.94000000000005</v>
      </c>
      <c r="O690" s="83">
        <f t="shared" ref="O690:Z690" si="378">+O300</f>
        <v>314.54000000000002</v>
      </c>
      <c r="P690" s="83">
        <f t="shared" si="378"/>
        <v>436.35500000000002</v>
      </c>
      <c r="Q690" s="83">
        <f t="shared" si="378"/>
        <v>1449.615</v>
      </c>
      <c r="R690" s="83">
        <f t="shared" si="378"/>
        <v>1568.808</v>
      </c>
      <c r="S690" s="83">
        <f t="shared" si="378"/>
        <v>2332.5340000000001</v>
      </c>
      <c r="T690" s="83">
        <f t="shared" si="378"/>
        <v>3240.2579999999998</v>
      </c>
      <c r="U690" s="83">
        <f t="shared" si="378"/>
        <v>2058.4160000000002</v>
      </c>
      <c r="V690" s="83">
        <f t="shared" si="378"/>
        <v>1990.952</v>
      </c>
      <c r="W690" s="83">
        <f t="shared" si="378"/>
        <v>1810.067</v>
      </c>
      <c r="X690" s="83">
        <f t="shared" si="378"/>
        <v>1478.998</v>
      </c>
      <c r="Y690" s="83">
        <f t="shared" si="378"/>
        <v>574.27300000000002</v>
      </c>
      <c r="Z690" s="83">
        <f t="shared" si="378"/>
        <v>393.69900000000001</v>
      </c>
    </row>
    <row r="691" spans="1:26" x14ac:dyDescent="0.2">
      <c r="A691" s="54" t="str">
        <f>+A322</f>
        <v>Boltonville Hydro</v>
      </c>
      <c r="C691" s="83">
        <v>0</v>
      </c>
      <c r="D691" s="83">
        <v>0</v>
      </c>
      <c r="E691" s="83">
        <v>0</v>
      </c>
      <c r="F691" s="83">
        <v>0</v>
      </c>
      <c r="G691" s="83">
        <v>0</v>
      </c>
      <c r="H691" s="83">
        <v>0</v>
      </c>
      <c r="I691" s="83">
        <v>0</v>
      </c>
      <c r="J691" s="83">
        <v>0</v>
      </c>
      <c r="K691" s="83">
        <v>0</v>
      </c>
      <c r="L691" s="83">
        <v>0</v>
      </c>
      <c r="M691" s="83">
        <v>0</v>
      </c>
      <c r="N691" s="83">
        <v>0</v>
      </c>
      <c r="O691" s="83">
        <f t="shared" ref="O691:Z691" si="379">+O323</f>
        <v>0</v>
      </c>
      <c r="P691" s="83">
        <f t="shared" si="379"/>
        <v>0</v>
      </c>
      <c r="Q691" s="83">
        <f t="shared" si="379"/>
        <v>0</v>
      </c>
      <c r="R691" s="83">
        <f t="shared" si="379"/>
        <v>0</v>
      </c>
      <c r="S691" s="83">
        <f t="shared" si="379"/>
        <v>0</v>
      </c>
      <c r="T691" s="83">
        <f t="shared" si="379"/>
        <v>0</v>
      </c>
      <c r="U691" s="83">
        <f t="shared" si="379"/>
        <v>0</v>
      </c>
      <c r="V691" s="83">
        <f t="shared" si="379"/>
        <v>0</v>
      </c>
      <c r="W691" s="83">
        <f t="shared" si="379"/>
        <v>0</v>
      </c>
      <c r="X691" s="83">
        <f t="shared" si="379"/>
        <v>0</v>
      </c>
      <c r="Y691" s="83">
        <f t="shared" si="379"/>
        <v>0</v>
      </c>
      <c r="Z691" s="83">
        <f t="shared" si="379"/>
        <v>0</v>
      </c>
    </row>
    <row r="692" spans="1:26" x14ac:dyDescent="0.2">
      <c r="A692" s="54" t="s">
        <v>495</v>
      </c>
      <c r="C692" s="83">
        <v>2116.7750000000001</v>
      </c>
      <c r="D692" s="83">
        <v>949.29499999999996</v>
      </c>
      <c r="E692" s="83">
        <v>976.23500000000001</v>
      </c>
      <c r="F692" s="83">
        <v>2749.2370000000001</v>
      </c>
      <c r="G692" s="83">
        <v>1539.579</v>
      </c>
      <c r="H692" s="83">
        <v>758.06899999999996</v>
      </c>
      <c r="I692" s="83">
        <v>395.34699999999998</v>
      </c>
      <c r="J692" s="83">
        <v>155.542</v>
      </c>
      <c r="K692" s="83">
        <v>739.16200000000003</v>
      </c>
      <c r="L692" s="83">
        <v>1288.1890000000001</v>
      </c>
      <c r="M692" s="83">
        <v>1396.394</v>
      </c>
      <c r="N692" s="83">
        <v>2326.8159999999998</v>
      </c>
      <c r="O692" s="83">
        <f t="shared" ref="O692:Z692" si="380">+O310</f>
        <v>1793.3389999999999</v>
      </c>
      <c r="P692" s="83">
        <f t="shared" si="380"/>
        <v>879.43299999999999</v>
      </c>
      <c r="Q692" s="83">
        <f t="shared" si="380"/>
        <v>2873.3609999999999</v>
      </c>
      <c r="R692" s="83">
        <f t="shared" si="380"/>
        <v>2748.998</v>
      </c>
      <c r="S692" s="83">
        <f t="shared" si="380"/>
        <v>2582.6819999999998</v>
      </c>
      <c r="T692" s="83">
        <f t="shared" si="380"/>
        <v>1667.5740000000001</v>
      </c>
      <c r="U692" s="83">
        <f t="shared" si="380"/>
        <v>2467.7060000000001</v>
      </c>
      <c r="V692" s="83">
        <f t="shared" si="380"/>
        <v>1590.4269999999999</v>
      </c>
      <c r="W692" s="83">
        <f t="shared" si="380"/>
        <v>1225.8679999999999</v>
      </c>
      <c r="X692" s="83">
        <f t="shared" si="380"/>
        <v>1308.4960000000001</v>
      </c>
      <c r="Y692" s="83">
        <f t="shared" si="380"/>
        <v>1552.7439999999999</v>
      </c>
      <c r="Z692" s="83">
        <f t="shared" si="380"/>
        <v>2616.8969999999999</v>
      </c>
    </row>
    <row r="693" spans="1:26" x14ac:dyDescent="0.2">
      <c r="A693" t="str">
        <f>+A516</f>
        <v>Excelon - Energy</v>
      </c>
      <c r="C693" s="9">
        <v>0</v>
      </c>
      <c r="D693" s="9">
        <v>0</v>
      </c>
      <c r="E693" s="9">
        <v>0</v>
      </c>
      <c r="F693" s="9">
        <v>0</v>
      </c>
      <c r="G693" s="9">
        <v>0</v>
      </c>
      <c r="H693" s="9">
        <v>0</v>
      </c>
      <c r="I693" s="9">
        <v>0</v>
      </c>
      <c r="J693" s="9">
        <v>0</v>
      </c>
      <c r="K693" s="9">
        <v>0</v>
      </c>
      <c r="L693" s="9">
        <v>0</v>
      </c>
      <c r="M693" s="9">
        <v>0</v>
      </c>
      <c r="N693" s="9">
        <v>0</v>
      </c>
      <c r="O693" s="9">
        <f t="shared" ref="O693:Z693" si="381">+O532</f>
        <v>0</v>
      </c>
      <c r="P693" s="9">
        <f t="shared" si="381"/>
        <v>0</v>
      </c>
      <c r="Q693" s="9">
        <f t="shared" si="381"/>
        <v>0</v>
      </c>
      <c r="R693" s="9">
        <f t="shared" si="381"/>
        <v>0</v>
      </c>
      <c r="S693" s="9">
        <f t="shared" si="381"/>
        <v>0</v>
      </c>
      <c r="T693" s="9">
        <f t="shared" si="381"/>
        <v>0</v>
      </c>
      <c r="U693" s="9">
        <f t="shared" si="381"/>
        <v>0</v>
      </c>
      <c r="V693" s="9">
        <f t="shared" si="381"/>
        <v>0</v>
      </c>
      <c r="W693" s="9">
        <f t="shared" si="381"/>
        <v>0</v>
      </c>
      <c r="X693" s="9">
        <f t="shared" si="381"/>
        <v>0</v>
      </c>
      <c r="Y693" s="9">
        <f t="shared" si="381"/>
        <v>0</v>
      </c>
      <c r="Z693" s="9">
        <f t="shared" si="381"/>
        <v>0</v>
      </c>
    </row>
    <row r="694" spans="1:26" x14ac:dyDescent="0.2">
      <c r="A694" t="str">
        <f>+A536</f>
        <v>Howard Wind</v>
      </c>
      <c r="C694" s="9">
        <v>2662</v>
      </c>
      <c r="D694" s="9">
        <v>5586</v>
      </c>
      <c r="E694" s="9">
        <v>5605</v>
      </c>
      <c r="F694" s="9">
        <v>4108</v>
      </c>
      <c r="G694" s="9">
        <v>2070</v>
      </c>
      <c r="H694" s="9">
        <v>1853</v>
      </c>
      <c r="I694" s="9">
        <v>2214</v>
      </c>
      <c r="J694" s="9">
        <v>2210.8000000000002</v>
      </c>
      <c r="K694" s="9">
        <v>2588.4</v>
      </c>
      <c r="L694" s="9">
        <v>4474</v>
      </c>
      <c r="M694" s="9">
        <v>5228.8</v>
      </c>
      <c r="N694" s="9">
        <v>5390</v>
      </c>
      <c r="O694" s="9">
        <f t="shared" ref="O694:Z694" si="382">+O538</f>
        <v>4953</v>
      </c>
      <c r="P694" s="9">
        <f t="shared" si="382"/>
        <v>4225</v>
      </c>
      <c r="Q694" s="9">
        <f t="shared" si="382"/>
        <v>5678</v>
      </c>
      <c r="R694" s="9">
        <f t="shared" si="382"/>
        <v>4383</v>
      </c>
      <c r="S694" s="9">
        <f t="shared" si="382"/>
        <v>2569</v>
      </c>
      <c r="T694" s="9">
        <f t="shared" si="382"/>
        <v>3138</v>
      </c>
      <c r="U694" s="9">
        <f t="shared" si="382"/>
        <v>1568</v>
      </c>
      <c r="V694" s="9">
        <f t="shared" si="382"/>
        <v>2629</v>
      </c>
      <c r="W694" s="9">
        <f t="shared" si="382"/>
        <v>1448</v>
      </c>
      <c r="X694" s="9">
        <f t="shared" si="382"/>
        <v>3162</v>
      </c>
      <c r="Y694" s="9">
        <f t="shared" si="382"/>
        <v>4663</v>
      </c>
      <c r="Z694" s="9">
        <f t="shared" si="382"/>
        <v>3416</v>
      </c>
    </row>
    <row r="695" spans="1:26" x14ac:dyDescent="0.2">
      <c r="A695" t="s">
        <v>209</v>
      </c>
      <c r="C695" s="9">
        <v>0</v>
      </c>
      <c r="D695" s="9">
        <v>0</v>
      </c>
      <c r="E695" s="9">
        <v>0</v>
      </c>
      <c r="F695" s="9">
        <v>0</v>
      </c>
      <c r="G695" s="9">
        <v>0</v>
      </c>
      <c r="H695" s="9">
        <v>0</v>
      </c>
      <c r="I695" s="9">
        <v>0</v>
      </c>
      <c r="J695" s="9">
        <v>0</v>
      </c>
      <c r="K695" s="9">
        <v>0</v>
      </c>
      <c r="L695" s="9">
        <v>0</v>
      </c>
      <c r="M695" s="9">
        <v>0</v>
      </c>
      <c r="N695" s="9">
        <v>0</v>
      </c>
      <c r="O695" s="9">
        <f t="shared" ref="O695:Z695" si="383">+O627</f>
        <v>0</v>
      </c>
      <c r="P695" s="9">
        <f t="shared" si="383"/>
        <v>0</v>
      </c>
      <c r="Q695" s="9">
        <f t="shared" si="383"/>
        <v>0</v>
      </c>
      <c r="R695" s="9">
        <f t="shared" si="383"/>
        <v>0</v>
      </c>
      <c r="S695" s="9">
        <f t="shared" si="383"/>
        <v>0</v>
      </c>
      <c r="T695" s="9">
        <f t="shared" si="383"/>
        <v>0</v>
      </c>
      <c r="U695" s="9">
        <f t="shared" si="383"/>
        <v>0</v>
      </c>
      <c r="V695" s="9">
        <f t="shared" si="383"/>
        <v>0</v>
      </c>
      <c r="W695" s="9">
        <f t="shared" si="383"/>
        <v>0</v>
      </c>
      <c r="X695" s="9">
        <f t="shared" si="383"/>
        <v>0</v>
      </c>
      <c r="Y695" s="9">
        <f t="shared" si="383"/>
        <v>0</v>
      </c>
      <c r="Z695" s="9">
        <f t="shared" si="383"/>
        <v>0</v>
      </c>
    </row>
    <row r="696" spans="1:26" x14ac:dyDescent="0.2">
      <c r="A696" s="54" t="s">
        <v>597</v>
      </c>
      <c r="C696" s="9">
        <v>0</v>
      </c>
      <c r="D696" s="9">
        <v>0</v>
      </c>
      <c r="E696" s="9">
        <v>0</v>
      </c>
      <c r="F696" s="9">
        <v>0</v>
      </c>
      <c r="G696" s="9">
        <v>0</v>
      </c>
      <c r="H696" s="9">
        <v>0</v>
      </c>
      <c r="I696" s="9">
        <v>0</v>
      </c>
      <c r="J696" s="9">
        <v>0</v>
      </c>
      <c r="K696" s="9">
        <v>0</v>
      </c>
      <c r="L696" s="9">
        <v>0</v>
      </c>
      <c r="M696" s="9">
        <v>0</v>
      </c>
      <c r="N696" s="9">
        <v>0</v>
      </c>
      <c r="O696" s="9">
        <f t="shared" ref="O696:Z696" si="384">O642</f>
        <v>0</v>
      </c>
      <c r="P696" s="9">
        <f t="shared" si="384"/>
        <v>0</v>
      </c>
      <c r="Q696" s="9">
        <f t="shared" si="384"/>
        <v>0</v>
      </c>
      <c r="R696" s="9">
        <f t="shared" si="384"/>
        <v>0</v>
      </c>
      <c r="S696" s="9">
        <f t="shared" si="384"/>
        <v>0</v>
      </c>
      <c r="T696" s="9">
        <f t="shared" si="384"/>
        <v>0</v>
      </c>
      <c r="U696" s="9">
        <f t="shared" si="384"/>
        <v>0</v>
      </c>
      <c r="V696" s="9">
        <f t="shared" si="384"/>
        <v>0</v>
      </c>
      <c r="W696" s="9">
        <f t="shared" si="384"/>
        <v>0</v>
      </c>
      <c r="X696" s="9">
        <f t="shared" si="384"/>
        <v>0</v>
      </c>
      <c r="Y696" s="9">
        <f t="shared" si="384"/>
        <v>0</v>
      </c>
      <c r="Z696" s="9">
        <f t="shared" si="384"/>
        <v>0</v>
      </c>
    </row>
    <row r="697" spans="1:26" x14ac:dyDescent="0.2">
      <c r="A697" s="54" t="s">
        <v>614</v>
      </c>
      <c r="C697" s="9">
        <v>8308.7999999999993</v>
      </c>
      <c r="D697" s="9">
        <v>8596</v>
      </c>
      <c r="E697" s="9">
        <v>5671.7999999999993</v>
      </c>
      <c r="F697" s="9">
        <v>2966.4</v>
      </c>
      <c r="G697" s="9">
        <v>2480</v>
      </c>
      <c r="H697" s="9">
        <v>4160</v>
      </c>
      <c r="I697" s="9">
        <v>6664.8</v>
      </c>
      <c r="J697" s="9">
        <v>4610.4000000000005</v>
      </c>
      <c r="K697" s="9">
        <v>3288</v>
      </c>
      <c r="L697" s="9">
        <v>3794.3999999999996</v>
      </c>
      <c r="M697" s="9">
        <v>4467.1000000000004</v>
      </c>
      <c r="N697" s="9">
        <v>6829.6</v>
      </c>
      <c r="O697" s="9">
        <f t="shared" ref="O697:Z697" si="385">+O612</f>
        <v>8308.7999999999993</v>
      </c>
      <c r="P697" s="9">
        <f t="shared" si="385"/>
        <v>8291.2000000000007</v>
      </c>
      <c r="Q697" s="9">
        <f t="shared" si="385"/>
        <v>5671.7999999999993</v>
      </c>
      <c r="R697" s="9">
        <f t="shared" si="385"/>
        <v>2966.4</v>
      </c>
      <c r="S697" s="9">
        <f t="shared" si="385"/>
        <v>2480</v>
      </c>
      <c r="T697" s="9">
        <f t="shared" si="385"/>
        <v>4214.3999999999996</v>
      </c>
      <c r="U697" s="9">
        <f t="shared" si="385"/>
        <v>6664.8</v>
      </c>
      <c r="V697" s="9">
        <f t="shared" si="385"/>
        <v>4568.8</v>
      </c>
      <c r="W697" s="9">
        <f t="shared" si="385"/>
        <v>3316.8</v>
      </c>
      <c r="X697" s="9">
        <f t="shared" si="385"/>
        <v>3794.3999999999996</v>
      </c>
      <c r="Y697" s="9">
        <f t="shared" si="385"/>
        <v>4435.1000000000004</v>
      </c>
      <c r="Z697" s="9">
        <f t="shared" si="385"/>
        <v>6858.4000000000005</v>
      </c>
    </row>
    <row r="698" spans="1:26" x14ac:dyDescent="0.2">
      <c r="A698" s="54" t="s">
        <v>413</v>
      </c>
      <c r="C698" s="12">
        <v>0</v>
      </c>
      <c r="D698" s="12">
        <v>0</v>
      </c>
      <c r="E698" s="12">
        <v>0</v>
      </c>
      <c r="F698" s="12">
        <v>0</v>
      </c>
      <c r="G698" s="12">
        <v>0</v>
      </c>
      <c r="H698" s="12">
        <v>0</v>
      </c>
      <c r="I698" s="12">
        <v>0</v>
      </c>
      <c r="J698" s="12">
        <v>0</v>
      </c>
      <c r="K698" s="12">
        <v>0</v>
      </c>
      <c r="L698" s="12">
        <v>0</v>
      </c>
      <c r="M698" s="12">
        <v>0</v>
      </c>
      <c r="N698" s="12">
        <v>0</v>
      </c>
      <c r="O698" s="12">
        <f t="shared" ref="O698:Z698" si="386">+O486</f>
        <v>0</v>
      </c>
      <c r="P698" s="12">
        <f t="shared" si="386"/>
        <v>0</v>
      </c>
      <c r="Q698" s="12">
        <f t="shared" si="386"/>
        <v>0</v>
      </c>
      <c r="R698" s="12">
        <f t="shared" si="386"/>
        <v>0</v>
      </c>
      <c r="S698" s="12">
        <f t="shared" si="386"/>
        <v>0</v>
      </c>
      <c r="T698" s="12">
        <f t="shared" si="386"/>
        <v>0</v>
      </c>
      <c r="U698" s="12">
        <f t="shared" si="386"/>
        <v>0</v>
      </c>
      <c r="V698" s="12">
        <f t="shared" si="386"/>
        <v>0</v>
      </c>
      <c r="W698" s="12">
        <f t="shared" si="386"/>
        <v>0</v>
      </c>
      <c r="X698" s="12">
        <f t="shared" si="386"/>
        <v>0</v>
      </c>
      <c r="Y698" s="12">
        <f t="shared" si="386"/>
        <v>0</v>
      </c>
      <c r="Z698" s="12">
        <f t="shared" si="386"/>
        <v>0</v>
      </c>
    </row>
    <row r="699" spans="1:26" x14ac:dyDescent="0.2">
      <c r="A699" t="str">
        <f>+A632</f>
        <v>JP Morgan</v>
      </c>
      <c r="C699" s="12">
        <v>0</v>
      </c>
      <c r="D699" s="12">
        <v>0</v>
      </c>
      <c r="E699" s="12">
        <v>0</v>
      </c>
      <c r="F699" s="12">
        <v>0</v>
      </c>
      <c r="G699" s="12">
        <v>0</v>
      </c>
      <c r="H699" s="12">
        <v>0</v>
      </c>
      <c r="I699" s="12">
        <v>0</v>
      </c>
      <c r="J699" s="12">
        <v>0</v>
      </c>
      <c r="K699" s="12">
        <v>0</v>
      </c>
      <c r="L699" s="12">
        <v>0</v>
      </c>
      <c r="M699" s="12">
        <v>0</v>
      </c>
      <c r="N699" s="12">
        <v>0</v>
      </c>
      <c r="O699" s="12">
        <f t="shared" ref="O699:Z699" si="387">+O635</f>
        <v>0</v>
      </c>
      <c r="P699" s="12">
        <f t="shared" si="387"/>
        <v>0</v>
      </c>
      <c r="Q699" s="12">
        <f t="shared" si="387"/>
        <v>0</v>
      </c>
      <c r="R699" s="12">
        <f t="shared" si="387"/>
        <v>0</v>
      </c>
      <c r="S699" s="12">
        <f t="shared" si="387"/>
        <v>0</v>
      </c>
      <c r="T699" s="12">
        <f t="shared" si="387"/>
        <v>0</v>
      </c>
      <c r="U699" s="12">
        <f t="shared" si="387"/>
        <v>0</v>
      </c>
      <c r="V699" s="12">
        <f t="shared" si="387"/>
        <v>0</v>
      </c>
      <c r="W699" s="12">
        <f t="shared" si="387"/>
        <v>0</v>
      </c>
      <c r="X699" s="12">
        <f t="shared" si="387"/>
        <v>0</v>
      </c>
      <c r="Y699" s="12">
        <f t="shared" si="387"/>
        <v>0</v>
      </c>
      <c r="Z699" s="12">
        <f t="shared" si="387"/>
        <v>0</v>
      </c>
    </row>
    <row r="700" spans="1:26" x14ac:dyDescent="0.2">
      <c r="A700" t="s">
        <v>272</v>
      </c>
      <c r="C700" s="12">
        <v>0</v>
      </c>
      <c r="D700" s="12">
        <v>0</v>
      </c>
      <c r="E700" s="12">
        <v>0</v>
      </c>
      <c r="F700" s="12">
        <v>0</v>
      </c>
      <c r="G700" s="12">
        <v>0</v>
      </c>
      <c r="H700" s="12">
        <v>0</v>
      </c>
      <c r="I700" s="12">
        <v>0</v>
      </c>
      <c r="J700" s="12">
        <v>0</v>
      </c>
      <c r="K700" s="12">
        <v>0</v>
      </c>
      <c r="L700" s="12">
        <v>0</v>
      </c>
      <c r="M700" s="12">
        <v>0</v>
      </c>
      <c r="N700" s="12">
        <v>0</v>
      </c>
      <c r="O700" s="12">
        <f t="shared" ref="O700:Z700" si="388">+O597</f>
        <v>0</v>
      </c>
      <c r="P700" s="12">
        <f t="shared" si="388"/>
        <v>0</v>
      </c>
      <c r="Q700" s="12">
        <f t="shared" si="388"/>
        <v>0</v>
      </c>
      <c r="R700" s="12">
        <f t="shared" si="388"/>
        <v>0</v>
      </c>
      <c r="S700" s="12">
        <f t="shared" si="388"/>
        <v>0</v>
      </c>
      <c r="T700" s="12">
        <f t="shared" si="388"/>
        <v>0</v>
      </c>
      <c r="U700" s="12">
        <f t="shared" si="388"/>
        <v>0</v>
      </c>
      <c r="V700" s="12">
        <f t="shared" si="388"/>
        <v>0</v>
      </c>
      <c r="W700" s="12">
        <f t="shared" si="388"/>
        <v>0</v>
      </c>
      <c r="X700" s="12">
        <f t="shared" si="388"/>
        <v>0</v>
      </c>
      <c r="Y700" s="12">
        <f t="shared" si="388"/>
        <v>0</v>
      </c>
      <c r="Z700" s="12">
        <f t="shared" si="388"/>
        <v>0</v>
      </c>
    </row>
    <row r="701" spans="1:26" x14ac:dyDescent="0.2">
      <c r="A701" t="s">
        <v>20</v>
      </c>
      <c r="C701" s="12">
        <v>3186.134</v>
      </c>
      <c r="D701" s="12">
        <v>2947.4719999999998</v>
      </c>
      <c r="E701" s="12">
        <v>3458.7449999999999</v>
      </c>
      <c r="F701" s="12">
        <v>2987.3009999999999</v>
      </c>
      <c r="G701" s="12">
        <v>3321.0250000000001</v>
      </c>
      <c r="H701" s="12">
        <v>3109.1220000000003</v>
      </c>
      <c r="I701" s="12">
        <v>3136.1579999999999</v>
      </c>
      <c r="J701" s="12">
        <v>2912.5230000000001</v>
      </c>
      <c r="K701" s="12">
        <v>2974.8090000000002</v>
      </c>
      <c r="L701" s="12">
        <v>3026.7099999999996</v>
      </c>
      <c r="M701" s="12">
        <v>2884.4450000000002</v>
      </c>
      <c r="N701" s="12">
        <v>3346.3139999999999</v>
      </c>
      <c r="O701" s="12">
        <f t="shared" ref="O701:Z701" si="389">+O265+O279</f>
        <v>3377.1890000000003</v>
      </c>
      <c r="P701" s="12">
        <f t="shared" si="389"/>
        <v>3150.4850000000001</v>
      </c>
      <c r="Q701" s="12">
        <f t="shared" si="389"/>
        <v>3320.23</v>
      </c>
      <c r="R701" s="12">
        <f t="shared" si="389"/>
        <v>3114.0229999999997</v>
      </c>
      <c r="S701" s="12">
        <f t="shared" si="389"/>
        <v>3436.5709999999999</v>
      </c>
      <c r="T701" s="12">
        <f t="shared" si="389"/>
        <v>3239.2180000000003</v>
      </c>
      <c r="U701" s="12">
        <f t="shared" si="389"/>
        <v>3203.0510000000004</v>
      </c>
      <c r="V701" s="12">
        <f t="shared" si="389"/>
        <v>3129.5679999999998</v>
      </c>
      <c r="W701" s="12">
        <f t="shared" si="389"/>
        <v>3072.0030000000002</v>
      </c>
      <c r="X701" s="12">
        <f t="shared" si="389"/>
        <v>3343.3560000000002</v>
      </c>
      <c r="Y701" s="12">
        <f t="shared" si="389"/>
        <v>3372.7379999999998</v>
      </c>
      <c r="Z701" s="12">
        <f t="shared" si="389"/>
        <v>3323.913</v>
      </c>
    </row>
    <row r="702" spans="1:26" x14ac:dyDescent="0.2">
      <c r="A702" t="s">
        <v>249</v>
      </c>
      <c r="C702" s="12">
        <v>1.194</v>
      </c>
      <c r="D702" s="12">
        <v>0</v>
      </c>
      <c r="E702" s="12">
        <v>0</v>
      </c>
      <c r="F702" s="12">
        <v>1.0229999999999999</v>
      </c>
      <c r="G702" s="12">
        <v>4.984</v>
      </c>
      <c r="H702" s="12">
        <v>0</v>
      </c>
      <c r="I702" s="12">
        <v>36.862000000000002</v>
      </c>
      <c r="J702" s="12">
        <v>12.957000000000001</v>
      </c>
      <c r="K702" s="12">
        <v>0</v>
      </c>
      <c r="L702" s="12">
        <v>0</v>
      </c>
      <c r="M702" s="12">
        <v>0</v>
      </c>
      <c r="N702" s="12">
        <v>9.0619999999999994</v>
      </c>
      <c r="O702" s="12">
        <f t="shared" ref="O702:Z702" si="390">+O647</f>
        <v>1.3</v>
      </c>
      <c r="P702" s="12">
        <f t="shared" si="390"/>
        <v>0.86199999999999999</v>
      </c>
      <c r="Q702" s="12">
        <f t="shared" si="390"/>
        <v>0</v>
      </c>
      <c r="R702" s="12">
        <f t="shared" si="390"/>
        <v>8.0000000000000002E-3</v>
      </c>
      <c r="S702" s="12">
        <f t="shared" si="390"/>
        <v>2.0339999999999998</v>
      </c>
      <c r="T702" s="12">
        <f t="shared" si="390"/>
        <v>0</v>
      </c>
      <c r="U702" s="12">
        <f t="shared" si="390"/>
        <v>6.5229999999999997</v>
      </c>
      <c r="V702" s="12">
        <f t="shared" si="390"/>
        <v>10.169</v>
      </c>
      <c r="W702" s="12">
        <f t="shared" si="390"/>
        <v>12.398</v>
      </c>
      <c r="X702" s="12">
        <f t="shared" si="390"/>
        <v>13.186999999999999</v>
      </c>
      <c r="Y702" s="12">
        <f t="shared" si="390"/>
        <v>11.18</v>
      </c>
      <c r="Z702" s="12">
        <f t="shared" si="390"/>
        <v>19.559999999999999</v>
      </c>
    </row>
    <row r="703" spans="1:26" x14ac:dyDescent="0.2">
      <c r="A703" s="54" t="s">
        <v>360</v>
      </c>
      <c r="C703" s="12">
        <v>822.7941607407563</v>
      </c>
      <c r="D703" s="12">
        <v>896.69389766279403</v>
      </c>
      <c r="E703" s="12">
        <v>1503.0574507212386</v>
      </c>
      <c r="F703" s="12">
        <v>1958.6891381529049</v>
      </c>
      <c r="G703" s="12">
        <v>1874.6041380152053</v>
      </c>
      <c r="H703" s="12">
        <v>1846.6793320401027</v>
      </c>
      <c r="I703" s="12">
        <v>1982.2211661368667</v>
      </c>
      <c r="J703" s="12">
        <v>1994.774165085543</v>
      </c>
      <c r="K703" s="12">
        <v>1841.4734902125836</v>
      </c>
      <c r="L703" s="12">
        <v>1544.4669258112649</v>
      </c>
      <c r="M703" s="12">
        <v>1345.1954722339046</v>
      </c>
      <c r="N703" s="12">
        <v>922.92988553371015</v>
      </c>
      <c r="O703" s="12">
        <f t="shared" ref="O703:Z703" si="391">+O352</f>
        <v>919</v>
      </c>
      <c r="P703" s="12">
        <f t="shared" si="391"/>
        <v>1040</v>
      </c>
      <c r="Q703" s="12">
        <f t="shared" si="391"/>
        <v>1996</v>
      </c>
      <c r="R703" s="12">
        <f t="shared" si="391"/>
        <v>2636</v>
      </c>
      <c r="S703" s="12">
        <f t="shared" si="391"/>
        <v>2505</v>
      </c>
      <c r="T703" s="12">
        <f t="shared" si="391"/>
        <v>2449</v>
      </c>
      <c r="U703" s="12">
        <f t="shared" si="391"/>
        <v>2360</v>
      </c>
      <c r="V703" s="12">
        <f t="shared" si="391"/>
        <v>2297</v>
      </c>
      <c r="W703" s="12">
        <f t="shared" si="391"/>
        <v>2140</v>
      </c>
      <c r="X703" s="12">
        <f t="shared" si="391"/>
        <v>1822</v>
      </c>
      <c r="Y703" s="12">
        <f t="shared" si="391"/>
        <v>1601</v>
      </c>
      <c r="Z703" s="12">
        <f t="shared" si="391"/>
        <v>1033</v>
      </c>
    </row>
    <row r="704" spans="1:26" x14ac:dyDescent="0.2">
      <c r="A704" s="54" t="s">
        <v>359</v>
      </c>
      <c r="C704" s="12">
        <v>1279.4498719200001</v>
      </c>
      <c r="D704" s="12">
        <v>1174.4548912800001</v>
      </c>
      <c r="E704" s="12">
        <v>1324.6302141599999</v>
      </c>
      <c r="F704" s="12">
        <v>1159.0357495200001</v>
      </c>
      <c r="G704" s="12">
        <v>1210.97372088</v>
      </c>
      <c r="H704" s="12">
        <v>1146.5784595319999</v>
      </c>
      <c r="I704" s="12">
        <v>1303.2021208800002</v>
      </c>
      <c r="J704" s="12">
        <v>1298.7328411200001</v>
      </c>
      <c r="K704" s="12">
        <v>935.93307984</v>
      </c>
      <c r="L704" s="12">
        <v>875.64427896000007</v>
      </c>
      <c r="M704" s="12">
        <v>923.53251936000004</v>
      </c>
      <c r="N704" s="12">
        <v>1071.6737539200001</v>
      </c>
      <c r="O704" s="12">
        <f t="shared" ref="O704:Z704" si="392">+O362</f>
        <v>855.5880272902175</v>
      </c>
      <c r="P704" s="12">
        <f t="shared" si="392"/>
        <v>1216.6626608280001</v>
      </c>
      <c r="Q704" s="12">
        <f t="shared" si="392"/>
        <v>1343.0808651280001</v>
      </c>
      <c r="R704" s="12">
        <f t="shared" si="392"/>
        <v>1101.6512430080002</v>
      </c>
      <c r="S704" s="12">
        <f t="shared" si="392"/>
        <v>1178.85868222</v>
      </c>
      <c r="T704" s="12">
        <f t="shared" si="392"/>
        <v>1227.42121365</v>
      </c>
      <c r="U704" s="12">
        <f t="shared" si="392"/>
        <v>1326.034240984</v>
      </c>
      <c r="V704" s="12">
        <f t="shared" si="392"/>
        <v>1317.5500513919999</v>
      </c>
      <c r="W704" s="12">
        <f t="shared" si="392"/>
        <v>862.78325753600006</v>
      </c>
      <c r="X704" s="12">
        <f t="shared" si="392"/>
        <v>909.81460522399993</v>
      </c>
      <c r="Y704" s="12">
        <f t="shared" si="392"/>
        <v>944.68568961200003</v>
      </c>
      <c r="Z704" s="12">
        <f t="shared" si="392"/>
        <v>1070.9799383940001</v>
      </c>
    </row>
    <row r="705" spans="1:26" x14ac:dyDescent="0.2">
      <c r="A705" t="s">
        <v>6</v>
      </c>
      <c r="C705" s="12">
        <v>0</v>
      </c>
      <c r="D705" s="12">
        <v>0</v>
      </c>
      <c r="E705" s="12">
        <v>0</v>
      </c>
      <c r="F705" s="12">
        <v>0</v>
      </c>
      <c r="G705" s="12">
        <v>0</v>
      </c>
      <c r="H705" s="12">
        <v>0</v>
      </c>
      <c r="I705" s="12">
        <v>0</v>
      </c>
      <c r="J705" s="12">
        <v>0</v>
      </c>
      <c r="K705" s="12">
        <v>0</v>
      </c>
      <c r="L705" s="12">
        <v>0</v>
      </c>
      <c r="M705" s="12">
        <v>0</v>
      </c>
      <c r="N705" s="12">
        <v>0</v>
      </c>
      <c r="O705" s="12">
        <f t="shared" ref="O705:Z705" si="393">+O339</f>
        <v>0</v>
      </c>
      <c r="P705" s="12">
        <f t="shared" si="393"/>
        <v>0</v>
      </c>
      <c r="Q705" s="12">
        <f t="shared" si="393"/>
        <v>0</v>
      </c>
      <c r="R705" s="12">
        <f t="shared" si="393"/>
        <v>0</v>
      </c>
      <c r="S705" s="12">
        <f t="shared" si="393"/>
        <v>0</v>
      </c>
      <c r="T705" s="12">
        <f t="shared" si="393"/>
        <v>0</v>
      </c>
      <c r="U705" s="12">
        <f t="shared" si="393"/>
        <v>0</v>
      </c>
      <c r="V705" s="12">
        <f t="shared" si="393"/>
        <v>0</v>
      </c>
      <c r="W705" s="12">
        <f t="shared" si="393"/>
        <v>0</v>
      </c>
      <c r="X705" s="12">
        <f t="shared" si="393"/>
        <v>0</v>
      </c>
      <c r="Y705" s="12">
        <f t="shared" si="393"/>
        <v>0</v>
      </c>
      <c r="Z705" s="12">
        <f t="shared" si="393"/>
        <v>0</v>
      </c>
    </row>
    <row r="706" spans="1:26" x14ac:dyDescent="0.2">
      <c r="A706" t="s">
        <v>278</v>
      </c>
      <c r="C706" s="73">
        <v>4429.4939923358907</v>
      </c>
      <c r="D706" s="73">
        <v>227.93159198619833</v>
      </c>
      <c r="E706" s="73">
        <v>-1650.8945781248185</v>
      </c>
      <c r="F706" s="73">
        <v>-11625.625379122197</v>
      </c>
      <c r="G706" s="73">
        <v>-8953.1901799193292</v>
      </c>
      <c r="H706" s="73">
        <v>-872.02977428179292</v>
      </c>
      <c r="I706" s="73">
        <v>-9439.7026673883593</v>
      </c>
      <c r="J706" s="73">
        <v>-2120.4665430284949</v>
      </c>
      <c r="K706" s="73">
        <v>-9334.3890030856492</v>
      </c>
      <c r="L706" s="73">
        <v>-5375.455734619507</v>
      </c>
      <c r="M706" s="73">
        <v>-9955.4834601085895</v>
      </c>
      <c r="N706" s="73">
        <v>-8773.4454232424541</v>
      </c>
      <c r="O706" s="73">
        <f t="shared" ref="O706:Z706" si="394">O670-SUM(O674:O705)</f>
        <v>2406.1099727097899</v>
      </c>
      <c r="P706" s="73">
        <f t="shared" si="394"/>
        <v>-3866.5417987590408</v>
      </c>
      <c r="Q706" s="73">
        <f t="shared" si="394"/>
        <v>-7069.8358651279996</v>
      </c>
      <c r="R706" s="73">
        <f t="shared" si="394"/>
        <v>-8228.7852430080093</v>
      </c>
      <c r="S706" s="73">
        <f t="shared" si="394"/>
        <v>-9292.0316822199966</v>
      </c>
      <c r="T706" s="73">
        <f t="shared" si="394"/>
        <v>-10629.26421365</v>
      </c>
      <c r="U706" s="73">
        <f t="shared" si="394"/>
        <v>-8448.6692409839961</v>
      </c>
      <c r="V706" s="73">
        <f t="shared" si="394"/>
        <v>-13645.390051392002</v>
      </c>
      <c r="W706" s="73">
        <f t="shared" si="394"/>
        <v>-4024.5412575359951</v>
      </c>
      <c r="X706" s="73">
        <f t="shared" si="394"/>
        <v>-9744.2086052239974</v>
      </c>
      <c r="Y706" s="73">
        <f t="shared" si="394"/>
        <v>-8699.9366896119973</v>
      </c>
      <c r="Z706" s="73">
        <f t="shared" si="394"/>
        <v>3090.6080616060062</v>
      </c>
    </row>
    <row r="707" spans="1:26" x14ac:dyDescent="0.2">
      <c r="C707" s="73">
        <v>4429.4939923358907</v>
      </c>
      <c r="D707" s="73">
        <v>227.93159198619855</v>
      </c>
      <c r="E707" s="73">
        <v>-1650.8945781248185</v>
      </c>
      <c r="F707" s="73">
        <v>-11625.625379122197</v>
      </c>
      <c r="G707" s="73">
        <v>-8953.1901799193274</v>
      </c>
      <c r="H707" s="73">
        <v>-872.02977428179474</v>
      </c>
      <c r="I707" s="73">
        <v>-9439.7026673883593</v>
      </c>
      <c r="J707" s="73">
        <v>-2120.4665430284954</v>
      </c>
      <c r="K707" s="73">
        <v>-9334.3890030856473</v>
      </c>
      <c r="L707" s="73">
        <v>-5375.455734619507</v>
      </c>
      <c r="M707" s="73">
        <v>-9955.4834601085895</v>
      </c>
      <c r="N707" s="73">
        <v>-8773.4454232424523</v>
      </c>
      <c r="O707" s="73">
        <f>+'ACCT 447 Est'!N18+'ACCT 447 Est'!N10</f>
        <v>2406.1099727097894</v>
      </c>
      <c r="P707" s="73">
        <f>+'ACCT 447 Est'!O18+'ACCT 447 Est'!O10</f>
        <v>-3866.5417987590408</v>
      </c>
      <c r="Q707" s="73">
        <f>+'ACCT 447 Est'!P18+'ACCT 447 Est'!P10</f>
        <v>-7069.8358651279977</v>
      </c>
      <c r="R707" s="73">
        <f>+'ACCT 447 Est'!Q18+'ACCT 447 Est'!Q10</f>
        <v>-8228.7852430080075</v>
      </c>
      <c r="S707" s="73">
        <f>+'ACCT 447 Est'!R18+'ACCT 447 Est'!R10</f>
        <v>-9292.0316822199984</v>
      </c>
      <c r="T707" s="73">
        <f>+'ACCT 447 Est'!S18+'ACCT 447 Est'!S10</f>
        <v>-10629.264213649998</v>
      </c>
      <c r="U707" s="73">
        <f>+'ACCT 447 Est'!T18+'ACCT 447 Est'!T10</f>
        <v>-8448.6692409839998</v>
      </c>
      <c r="V707" s="73">
        <f>+'ACCT 447 Est'!U18+'ACCT 447 Est'!U10</f>
        <v>-13645.390051392002</v>
      </c>
      <c r="W707" s="73">
        <f>+'ACCT 447 Est'!V18+'ACCT 447 Est'!V10</f>
        <v>-4024.5412575359951</v>
      </c>
      <c r="X707" s="73">
        <f>+'ACCT 447 Est'!W18+'ACCT 447 Est'!W10</f>
        <v>-9744.2086052239974</v>
      </c>
      <c r="Y707" s="73">
        <f>+'ACCT 447 Est'!X18+'ACCT 447 Est'!X10</f>
        <v>-8699.9366896120046</v>
      </c>
      <c r="Z707" s="73">
        <f>+'ACCT 447 Est'!Y18+'ACCT 447 Est'!Y10</f>
        <v>3090.6080616060062</v>
      </c>
    </row>
    <row r="708" spans="1:26" x14ac:dyDescent="0.2">
      <c r="C708" s="61">
        <v>0</v>
      </c>
      <c r="D708" s="61">
        <v>2.2737367544323206E-13</v>
      </c>
      <c r="E708" s="61">
        <v>0</v>
      </c>
      <c r="F708" s="61">
        <v>0</v>
      </c>
      <c r="G708" s="61">
        <v>0</v>
      </c>
      <c r="H708" s="61">
        <v>-1.8189894035458565E-12</v>
      </c>
      <c r="I708" s="61">
        <v>0</v>
      </c>
      <c r="J708" s="61">
        <v>0</v>
      </c>
      <c r="K708" s="61">
        <v>0</v>
      </c>
      <c r="L708" s="61">
        <v>0</v>
      </c>
      <c r="M708" s="61">
        <v>0</v>
      </c>
      <c r="N708" s="61">
        <v>0</v>
      </c>
      <c r="O708" s="61">
        <f t="shared" ref="O708:Z708" si="395">+O707-O706</f>
        <v>0</v>
      </c>
      <c r="P708" s="61">
        <f t="shared" si="395"/>
        <v>0</v>
      </c>
      <c r="Q708" s="61">
        <f t="shared" si="395"/>
        <v>0</v>
      </c>
      <c r="R708" s="61">
        <f t="shared" si="395"/>
        <v>0</v>
      </c>
      <c r="S708" s="61">
        <f t="shared" si="395"/>
        <v>0</v>
      </c>
      <c r="T708" s="61">
        <f t="shared" si="395"/>
        <v>0</v>
      </c>
      <c r="U708" s="61">
        <f t="shared" si="395"/>
        <v>0</v>
      </c>
      <c r="V708" s="61">
        <f t="shared" si="395"/>
        <v>0</v>
      </c>
      <c r="W708" s="61">
        <f t="shared" si="395"/>
        <v>0</v>
      </c>
      <c r="X708" s="61">
        <f t="shared" si="395"/>
        <v>0</v>
      </c>
      <c r="Y708" s="61">
        <f t="shared" si="395"/>
        <v>0</v>
      </c>
      <c r="Z708" s="61">
        <f t="shared" si="395"/>
        <v>0</v>
      </c>
    </row>
    <row r="709" spans="1:26" x14ac:dyDescent="0.2">
      <c r="A709" t="s">
        <v>349</v>
      </c>
      <c r="C709" s="61"/>
      <c r="D709" s="61"/>
      <c r="E709" s="61"/>
      <c r="F709" s="61"/>
      <c r="G709" s="61"/>
      <c r="H709" s="61"/>
      <c r="I709" s="61"/>
      <c r="J709" s="61"/>
      <c r="K709" s="61"/>
      <c r="L709" s="61"/>
      <c r="M709" s="61"/>
      <c r="N709" s="61"/>
      <c r="O709" s="61"/>
      <c r="P709" s="61"/>
      <c r="Q709" s="61"/>
      <c r="R709" s="61"/>
      <c r="S709" s="61"/>
      <c r="T709" s="61"/>
      <c r="U709" s="61"/>
      <c r="V709" s="61"/>
      <c r="W709" s="61"/>
      <c r="X709" s="61"/>
      <c r="Y709" s="61"/>
      <c r="Z709" s="61"/>
    </row>
    <row r="710" spans="1:26" x14ac:dyDescent="0.2">
      <c r="C710" s="61"/>
      <c r="D710" s="61"/>
      <c r="E710" s="61"/>
      <c r="F710" s="61"/>
      <c r="G710" s="61"/>
      <c r="H710" s="61"/>
      <c r="I710" s="61"/>
      <c r="J710" s="61"/>
      <c r="K710" s="61"/>
      <c r="L710" s="61"/>
      <c r="M710" s="61"/>
      <c r="N710" s="61"/>
      <c r="O710" s="61"/>
      <c r="P710" s="61"/>
      <c r="Q710" s="61"/>
      <c r="R710" s="61"/>
      <c r="S710" s="61"/>
      <c r="T710" s="61"/>
      <c r="U710" s="61"/>
      <c r="V710" s="61"/>
      <c r="W710" s="61"/>
      <c r="X710" s="61"/>
      <c r="Y710" s="61"/>
      <c r="Z710" s="61"/>
    </row>
    <row r="711" spans="1:26" x14ac:dyDescent="0.2">
      <c r="A711" s="14" t="s">
        <v>87</v>
      </c>
    </row>
    <row r="712" spans="1:26" x14ac:dyDescent="0.2">
      <c r="A712" t="s">
        <v>120</v>
      </c>
      <c r="C712" s="126">
        <v>0.22359814224499017</v>
      </c>
      <c r="D712" s="126">
        <v>3.5029569093048645</v>
      </c>
      <c r="E712" s="126">
        <v>1.9895532321243397</v>
      </c>
      <c r="F712" s="126">
        <v>0.62072987199484642</v>
      </c>
      <c r="G712" s="126">
        <v>0.64166086981810244</v>
      </c>
      <c r="H712" s="126">
        <v>8.6103043492173228</v>
      </c>
      <c r="I712" s="126">
        <v>0.62292473378819302</v>
      </c>
      <c r="J712" s="126">
        <v>1.2999378331590865</v>
      </c>
      <c r="K712" s="126">
        <v>0.6441614290251958</v>
      </c>
      <c r="L712" s="126">
        <v>0.81909645232543982</v>
      </c>
      <c r="M712" s="126">
        <v>0.57932132533452618</v>
      </c>
      <c r="N712" s="126">
        <v>0.60686047973082424</v>
      </c>
      <c r="O712" s="231">
        <v>0.49800140820847805</v>
      </c>
      <c r="P712" s="231">
        <v>-0.59367204920129513</v>
      </c>
      <c r="Q712" s="231">
        <v>0.55862759215516711</v>
      </c>
      <c r="R712" s="231">
        <v>0.75467731065582233</v>
      </c>
      <c r="S712" s="231">
        <v>0.57352406743533424</v>
      </c>
      <c r="T712" s="231">
        <v>0.43938479958731397</v>
      </c>
      <c r="U712" s="231">
        <v>1.1239709356134127</v>
      </c>
      <c r="V712" s="231">
        <v>0.34960898023372816</v>
      </c>
      <c r="W712" s="231">
        <v>-8.2690385994606402E-2</v>
      </c>
      <c r="X712" s="231">
        <v>0.62040615355343232</v>
      </c>
      <c r="Y712" s="231">
        <v>-0.10139948989933351</v>
      </c>
      <c r="Z712" s="231">
        <v>0.35848633874461694</v>
      </c>
    </row>
    <row r="713" spans="1:26" x14ac:dyDescent="0.2">
      <c r="A713" t="s">
        <v>55</v>
      </c>
      <c r="C713" s="126">
        <v>0.77640185775500981</v>
      </c>
      <c r="D713" s="126">
        <v>-2.5029569093048645</v>
      </c>
      <c r="E713" s="126">
        <v>-0.98955323212433977</v>
      </c>
      <c r="F713" s="126">
        <v>0.37927012800515364</v>
      </c>
      <c r="G713" s="126">
        <v>0.3583391301818975</v>
      </c>
      <c r="H713" s="126">
        <v>-7.6103043492173228</v>
      </c>
      <c r="I713" s="126">
        <v>0.37707526621180693</v>
      </c>
      <c r="J713" s="126">
        <v>-0.29993783315908656</v>
      </c>
      <c r="K713" s="126">
        <v>0.35583857097480415</v>
      </c>
      <c r="L713" s="126">
        <v>0.18090354767456018</v>
      </c>
      <c r="M713" s="126">
        <v>0.42067867466547387</v>
      </c>
      <c r="N713" s="126">
        <v>0.39313952026917576</v>
      </c>
      <c r="O713" s="231">
        <v>0.50199859179152195</v>
      </c>
      <c r="P713" s="231">
        <v>1.5936720492012952</v>
      </c>
      <c r="Q713" s="231">
        <v>0.44137240784483284</v>
      </c>
      <c r="R713" s="231">
        <v>0.24532268934417767</v>
      </c>
      <c r="S713" s="231">
        <v>0.42647593256466593</v>
      </c>
      <c r="T713" s="231">
        <v>0.56061520041268609</v>
      </c>
      <c r="U713" s="231">
        <v>-0.12397093561341262</v>
      </c>
      <c r="V713" s="231">
        <v>0.65039101976627189</v>
      </c>
      <c r="W713" s="231">
        <v>1.0826903859946064</v>
      </c>
      <c r="X713" s="231">
        <v>0.37959384644656763</v>
      </c>
      <c r="Y713" s="231">
        <v>1.1013994898993336</v>
      </c>
      <c r="Z713" s="231">
        <v>0.64151366125538301</v>
      </c>
    </row>
    <row r="714" spans="1:26" x14ac:dyDescent="0.2">
      <c r="A714" t="s">
        <v>122</v>
      </c>
      <c r="C714" s="126">
        <v>0.2266920752446546</v>
      </c>
      <c r="D714" s="126">
        <v>-1.6647623872020063</v>
      </c>
      <c r="E714" s="126">
        <v>-0.37755826295740236</v>
      </c>
      <c r="F714" s="126">
        <v>0.11111511647004473</v>
      </c>
      <c r="G714" s="126">
        <v>9.8128018618666296E-2</v>
      </c>
      <c r="H714" s="126">
        <v>-3.0236434445277136</v>
      </c>
      <c r="I714" s="126">
        <v>0.10245357512566235</v>
      </c>
      <c r="J714" s="126">
        <v>-0.28702828796276175</v>
      </c>
      <c r="K714" s="126">
        <v>0.11406560725404614</v>
      </c>
      <c r="L714" s="126">
        <v>0.11963678365236151</v>
      </c>
      <c r="M714" s="126">
        <v>0.1206346684946322</v>
      </c>
      <c r="N714" s="126">
        <v>0.11782845128112009</v>
      </c>
      <c r="O714" s="231">
        <v>0.26813074307982193</v>
      </c>
      <c r="P714" s="231">
        <v>0.7615422529501461</v>
      </c>
      <c r="Q714" s="231">
        <v>-0.11673366144781323</v>
      </c>
      <c r="R714" s="231">
        <v>4.6245588525516787E-2</v>
      </c>
      <c r="S714" s="231">
        <v>-2.1766459709405162E-2</v>
      </c>
      <c r="T714" s="231">
        <v>-1.2307008572714916E-3</v>
      </c>
      <c r="U714" s="231">
        <v>1.8369987113107713</v>
      </c>
      <c r="V714" s="231">
        <v>-7.0906837016408125E-2</v>
      </c>
      <c r="W714" s="231">
        <v>1.32004587009191</v>
      </c>
      <c r="X714" s="231">
        <v>-0.19110330989883201</v>
      </c>
      <c r="Y714" s="231">
        <v>-0.53963032317774928</v>
      </c>
      <c r="Z714" s="231">
        <v>0.29270455795770933</v>
      </c>
    </row>
    <row r="715" spans="1:26" x14ac:dyDescent="0.2">
      <c r="A715" t="s">
        <v>121</v>
      </c>
      <c r="C715" s="126">
        <v>-3.0939329996644543E-3</v>
      </c>
      <c r="D715" s="126">
        <v>5.1677192965068706</v>
      </c>
      <c r="E715" s="126">
        <v>2.3671114950817418</v>
      </c>
      <c r="F715" s="126">
        <v>0.50961475552480162</v>
      </c>
      <c r="G715" s="126">
        <v>0.54353285119943606</v>
      </c>
      <c r="H715" s="126">
        <v>11.633947793745037</v>
      </c>
      <c r="I715" s="126">
        <v>0.52047115866253069</v>
      </c>
      <c r="J715" s="126">
        <v>1.5869661211218486</v>
      </c>
      <c r="K715" s="126">
        <v>0.53009582177114944</v>
      </c>
      <c r="L715" s="126">
        <v>0.69945966867307841</v>
      </c>
      <c r="M715" s="126">
        <v>0.45868665683989401</v>
      </c>
      <c r="N715" s="126">
        <v>0.48903202844970411</v>
      </c>
      <c r="O715" s="231">
        <v>0.22987066512865609</v>
      </c>
      <c r="P715" s="231">
        <v>-1.3552143021514413</v>
      </c>
      <c r="Q715" s="231">
        <v>0.67536125360298038</v>
      </c>
      <c r="R715" s="231">
        <v>0.70843172213030536</v>
      </c>
      <c r="S715" s="231">
        <v>0.5952905271447394</v>
      </c>
      <c r="T715" s="231">
        <v>0.44061550044458536</v>
      </c>
      <c r="U715" s="231">
        <v>-0.7130277756973582</v>
      </c>
      <c r="V715" s="231">
        <v>0.42051581725013637</v>
      </c>
      <c r="W715" s="231">
        <v>-1.4027362560865164</v>
      </c>
      <c r="X715" s="231">
        <v>0.81150946345226416</v>
      </c>
      <c r="Y715" s="231">
        <v>0.43823083327841578</v>
      </c>
      <c r="Z715" s="231">
        <v>6.5781780786907648E-2</v>
      </c>
    </row>
    <row r="716" spans="1:26" x14ac:dyDescent="0.2">
      <c r="A716" s="58" t="s">
        <v>56</v>
      </c>
      <c r="C716" s="126">
        <v>0.57358663344382477</v>
      </c>
      <c r="D716" s="126">
        <v>-4.6577119935081548</v>
      </c>
      <c r="E716" s="126">
        <v>-1.0930894850441919</v>
      </c>
      <c r="F716" s="126">
        <v>0.14438518970606623</v>
      </c>
      <c r="G716" s="126">
        <v>7.4376245425594401E-2</v>
      </c>
      <c r="H716" s="126">
        <v>-8.700256477184805</v>
      </c>
      <c r="I716" s="126">
        <v>0.11902767940556327</v>
      </c>
      <c r="J716" s="126">
        <v>-0.88436784918264533</v>
      </c>
      <c r="K716" s="126">
        <v>0.135130331901684</v>
      </c>
      <c r="L716" s="126">
        <v>-7.1848336165032695E-2</v>
      </c>
      <c r="M716" s="126">
        <v>0.15275690549136897</v>
      </c>
      <c r="N716" s="126">
        <v>0.13813469560709443</v>
      </c>
      <c r="O716" s="231">
        <v>0.51874023405891123</v>
      </c>
      <c r="P716" s="231">
        <v>2.3322038656450848</v>
      </c>
      <c r="Q716" s="231">
        <v>-7.1819342419483902E-3</v>
      </c>
      <c r="R716" s="231">
        <v>-0.13558297904829078</v>
      </c>
      <c r="S716" s="231">
        <v>-0.12129003635443401</v>
      </c>
      <c r="T716" s="231">
        <v>9.3966389711390402E-2</v>
      </c>
      <c r="U716" s="231">
        <v>2.2626382164660055</v>
      </c>
      <c r="V716" s="231">
        <v>-1.6322183859112611E-2</v>
      </c>
      <c r="W716" s="231">
        <v>2.2550955819987686</v>
      </c>
      <c r="X716" s="231">
        <v>-0.13265510752217513</v>
      </c>
      <c r="Y716" s="231">
        <v>-0.8845918170130922</v>
      </c>
      <c r="Z716" s="231">
        <v>0.59817286804143188</v>
      </c>
    </row>
    <row r="717" spans="1:26" x14ac:dyDescent="0.2">
      <c r="A717" s="58" t="s">
        <v>123</v>
      </c>
      <c r="C717" s="126">
        <v>0.1190613584201607</v>
      </c>
      <c r="D717" s="126">
        <v>-0.39914389833959962</v>
      </c>
      <c r="E717" s="126">
        <v>-0.33196635493474447</v>
      </c>
      <c r="F717" s="126">
        <v>4.4789926527061513E-2</v>
      </c>
      <c r="G717" s="126">
        <v>4.3986409069164997E-2</v>
      </c>
      <c r="H717" s="126">
        <v>-2.2017491183741678</v>
      </c>
      <c r="I717" s="126">
        <v>3.7812293857268003E-2</v>
      </c>
      <c r="J717" s="126">
        <v>-0.11095871925682517</v>
      </c>
      <c r="K717" s="126">
        <v>3.248732013038081E-2</v>
      </c>
      <c r="L717" s="126">
        <v>2.7910327437487423E-2</v>
      </c>
      <c r="M717" s="126">
        <v>5.6871103630353442E-2</v>
      </c>
      <c r="N717" s="126">
        <v>4.398894895147995E-2</v>
      </c>
      <c r="O717" s="231">
        <v>4.9921321245932661E-2</v>
      </c>
      <c r="P717" s="231">
        <v>0.13988427551743934</v>
      </c>
      <c r="Q717" s="231">
        <v>4.1903835580442195E-2</v>
      </c>
      <c r="R717" s="231">
        <v>3.7945449645396701E-2</v>
      </c>
      <c r="S717" s="231">
        <v>8.8731895315114551E-2</v>
      </c>
      <c r="T717" s="231">
        <v>9.8173501783601305E-2</v>
      </c>
      <c r="U717" s="231">
        <v>-0.2919057947510299</v>
      </c>
      <c r="V717" s="231">
        <v>0.12492746528794256</v>
      </c>
      <c r="W717" s="231">
        <v>0.16044262541923732</v>
      </c>
      <c r="X717" s="231">
        <v>6.3435433675951669E-2</v>
      </c>
      <c r="Y717" s="231">
        <v>0.35171188335349174</v>
      </c>
      <c r="Z717" s="231">
        <v>8.4559049984407816E-2</v>
      </c>
    </row>
    <row r="718" spans="1:26" x14ac:dyDescent="0.2">
      <c r="A718" s="58" t="s">
        <v>124</v>
      </c>
      <c r="C718" s="126">
        <v>8.3753865891024348E-2</v>
      </c>
      <c r="D718" s="126">
        <v>2.5538989825428904</v>
      </c>
      <c r="E718" s="126">
        <v>0.43550260785459682</v>
      </c>
      <c r="F718" s="126">
        <v>0.1900950117720259</v>
      </c>
      <c r="G718" s="126">
        <v>0.23997647568713809</v>
      </c>
      <c r="H718" s="126">
        <v>3.2917012463416508</v>
      </c>
      <c r="I718" s="126">
        <v>0.22023529294897565</v>
      </c>
      <c r="J718" s="126">
        <v>0.69538873528038403</v>
      </c>
      <c r="K718" s="126">
        <v>0.18822091894273935</v>
      </c>
      <c r="L718" s="126">
        <v>0.22484155640210532</v>
      </c>
      <c r="M718" s="126">
        <v>0.21105066554375138</v>
      </c>
      <c r="N718" s="126">
        <v>0.21101587571060129</v>
      </c>
      <c r="O718" s="231">
        <v>-6.6662963513321863E-2</v>
      </c>
      <c r="P718" s="231">
        <v>-0.87841609196122894</v>
      </c>
      <c r="Q718" s="231">
        <v>0.40665050650633899</v>
      </c>
      <c r="R718" s="231">
        <v>0.34296021874707178</v>
      </c>
      <c r="S718" s="231">
        <v>0.45903407360398535</v>
      </c>
      <c r="T718" s="231">
        <v>0.3684753089176942</v>
      </c>
      <c r="U718" s="231">
        <v>-2.0947033573283882</v>
      </c>
      <c r="V718" s="231">
        <v>0.54178573833744192</v>
      </c>
      <c r="W718" s="231">
        <v>-1.3328478214233996</v>
      </c>
      <c r="X718" s="231">
        <v>0.44881352029279126</v>
      </c>
      <c r="Y718" s="231">
        <v>1.6342794235589349</v>
      </c>
      <c r="Z718" s="231">
        <v>-4.1218256770456721E-2</v>
      </c>
    </row>
    <row r="719" spans="1:26" x14ac:dyDescent="0.2">
      <c r="A719" s="58"/>
    </row>
    <row r="720" spans="1:26" x14ac:dyDescent="0.2">
      <c r="A720" s="58" t="s">
        <v>133</v>
      </c>
      <c r="C720" s="62"/>
      <c r="D720" s="62"/>
      <c r="E720" s="62"/>
      <c r="F720" s="62"/>
      <c r="G720" s="62"/>
      <c r="H720" s="62"/>
      <c r="I720" s="62"/>
      <c r="J720" s="62"/>
      <c r="K720" s="62"/>
      <c r="L720" s="62"/>
      <c r="M720" s="62"/>
      <c r="N720" s="62"/>
      <c r="O720" s="62"/>
      <c r="P720" s="62"/>
      <c r="Q720" s="62"/>
      <c r="R720" s="62"/>
      <c r="S720" s="62"/>
      <c r="T720" s="62"/>
      <c r="U720" s="62"/>
      <c r="V720" s="62"/>
      <c r="W720" s="62"/>
      <c r="X720" s="62"/>
      <c r="Y720" s="62"/>
      <c r="Z720" s="62"/>
    </row>
    <row r="721" spans="1:26" x14ac:dyDescent="0.2">
      <c r="C721" s="62"/>
      <c r="D721" s="62"/>
      <c r="E721" s="62"/>
      <c r="F721" s="62"/>
      <c r="G721" s="62"/>
      <c r="H721" s="62"/>
      <c r="I721" s="62"/>
      <c r="J721" s="62"/>
      <c r="K721" s="62"/>
      <c r="L721" s="62"/>
      <c r="M721" s="62"/>
      <c r="N721" s="62"/>
      <c r="O721" s="62"/>
      <c r="P721" s="62"/>
      <c r="Q721" s="62"/>
      <c r="R721" s="62"/>
      <c r="S721" s="62"/>
      <c r="T721" s="62"/>
      <c r="U721" s="62"/>
      <c r="V721" s="62"/>
      <c r="W721" s="62"/>
      <c r="X721" s="62"/>
      <c r="Y721" s="62"/>
      <c r="Z721" s="62"/>
    </row>
    <row r="722" spans="1:26" x14ac:dyDescent="0.2">
      <c r="A722" t="s">
        <v>120</v>
      </c>
      <c r="C722" s="61">
        <v>990.42662777164981</v>
      </c>
      <c r="D722" s="61">
        <v>798.43454499691074</v>
      </c>
      <c r="E722" s="61">
        <v>-3284.5426438047807</v>
      </c>
      <c r="F722" s="61">
        <v>-7216.3729534425593</v>
      </c>
      <c r="G722" s="61">
        <v>-5744.9117984939303</v>
      </c>
      <c r="H722" s="61">
        <v>-7508.4417581455218</v>
      </c>
      <c r="I722" s="61">
        <v>-5880.224271122589</v>
      </c>
      <c r="J722" s="61">
        <v>-2756.4746832308006</v>
      </c>
      <c r="K722" s="61">
        <v>-6012.8533593047241</v>
      </c>
      <c r="L722" s="61">
        <v>-4403.0167218592787</v>
      </c>
      <c r="M722" s="61">
        <v>-5767.4238724560628</v>
      </c>
      <c r="N722" s="61">
        <v>-5324.2572984411199</v>
      </c>
      <c r="O722" s="61">
        <f t="shared" ref="O722:Z722" si="396">+O712*O706</f>
        <v>1198.246154713938</v>
      </c>
      <c r="P722" s="61">
        <f t="shared" si="396"/>
        <v>2295.4577929917414</v>
      </c>
      <c r="Q722" s="61">
        <f t="shared" si="396"/>
        <v>-3949.4053862686969</v>
      </c>
      <c r="R722" s="61">
        <f t="shared" si="396"/>
        <v>-6210.0775171576015</v>
      </c>
      <c r="S722" s="61">
        <f t="shared" si="396"/>
        <v>-5329.2038051248037</v>
      </c>
      <c r="T722" s="61">
        <f t="shared" si="396"/>
        <v>-4670.3371262752134</v>
      </c>
      <c r="U722" s="61">
        <f t="shared" si="396"/>
        <v>-9496.0586714770434</v>
      </c>
      <c r="V722" s="61">
        <f t="shared" si="396"/>
        <v>-4770.550900758617</v>
      </c>
      <c r="W722" s="61">
        <f t="shared" si="396"/>
        <v>332.7908700368701</v>
      </c>
      <c r="X722" s="61">
        <f t="shared" si="396"/>
        <v>-6045.3669801892756</v>
      </c>
      <c r="Y722" s="61">
        <f t="shared" si="396"/>
        <v>882.16914248315265</v>
      </c>
      <c r="Z722" s="61">
        <f t="shared" si="396"/>
        <v>1107.9407684997348</v>
      </c>
    </row>
    <row r="723" spans="1:26" x14ac:dyDescent="0.2">
      <c r="A723" t="s">
        <v>55</v>
      </c>
      <c r="C723" s="61">
        <v>3439.0673645642405</v>
      </c>
      <c r="D723" s="61">
        <v>-570.50295301071242</v>
      </c>
      <c r="E723" s="61">
        <v>1633.6480656799624</v>
      </c>
      <c r="F723" s="61">
        <v>-4409.2524256796387</v>
      </c>
      <c r="G723" s="61">
        <v>-3208.2783814253989</v>
      </c>
      <c r="H723" s="61">
        <v>6636.4119838637289</v>
      </c>
      <c r="I723" s="61">
        <v>-3559.4783962657693</v>
      </c>
      <c r="J723" s="61">
        <v>636.00814020230575</v>
      </c>
      <c r="K723" s="61">
        <v>-3321.5356437809241</v>
      </c>
      <c r="L723" s="61">
        <v>-972.43901276022791</v>
      </c>
      <c r="M723" s="61">
        <v>-4188.0595876525276</v>
      </c>
      <c r="N723" s="61">
        <v>-3449.1881248013342</v>
      </c>
      <c r="O723" s="61">
        <f t="shared" ref="O723:Z723" si="397">+O713*O706</f>
        <v>1207.8638179958518</v>
      </c>
      <c r="P723" s="61">
        <f t="shared" si="397"/>
        <v>-6161.9995917507831</v>
      </c>
      <c r="Q723" s="61">
        <f t="shared" si="397"/>
        <v>-3120.4304788593022</v>
      </c>
      <c r="R723" s="61">
        <f t="shared" si="397"/>
        <v>-2018.7077258504073</v>
      </c>
      <c r="S723" s="61">
        <f t="shared" si="397"/>
        <v>-3962.8278770951947</v>
      </c>
      <c r="T723" s="61">
        <f t="shared" si="397"/>
        <v>-5958.9270873747864</v>
      </c>
      <c r="U723" s="61">
        <f t="shared" si="397"/>
        <v>1047.3894304930466</v>
      </c>
      <c r="V723" s="61">
        <f t="shared" si="397"/>
        <v>-8874.8391506333846</v>
      </c>
      <c r="W723" s="61">
        <f t="shared" si="397"/>
        <v>-4357.3321275728649</v>
      </c>
      <c r="X723" s="61">
        <f t="shared" si="397"/>
        <v>-3698.8416250347209</v>
      </c>
      <c r="Y723" s="61">
        <f t="shared" si="397"/>
        <v>-9582.1058320951506</v>
      </c>
      <c r="Z723" s="61">
        <f t="shared" si="397"/>
        <v>1982.6672931062715</v>
      </c>
    </row>
    <row r="724" spans="1:26" x14ac:dyDescent="0.2">
      <c r="A724" t="s">
        <v>122</v>
      </c>
      <c r="C724" s="61">
        <v>1004.1311854063532</v>
      </c>
      <c r="D724" s="61">
        <v>-379.45194119369722</v>
      </c>
      <c r="E724" s="61">
        <v>623.3088892426</v>
      </c>
      <c r="F724" s="61">
        <v>-1291.7827180382708</v>
      </c>
      <c r="G724" s="61">
        <v>-878.55881267158418</v>
      </c>
      <c r="H724" s="61">
        <v>2636.7071104401248</v>
      </c>
      <c r="I724" s="61">
        <v>-967.13128639718855</v>
      </c>
      <c r="J724" s="61">
        <v>608.63388152778475</v>
      </c>
      <c r="K724" s="61">
        <v>-1064.7327499824551</v>
      </c>
      <c r="L724" s="61">
        <v>-643.10223475551993</v>
      </c>
      <c r="M724" s="61">
        <v>-1200.9764469139936</v>
      </c>
      <c r="N724" s="61">
        <v>-1033.7614866200895</v>
      </c>
      <c r="O724" s="61">
        <f t="shared" ref="O724:Z724" si="398">+O714*O706</f>
        <v>645.15205491444601</v>
      </c>
      <c r="P724" s="61">
        <f t="shared" si="398"/>
        <v>-2944.5349525528704</v>
      </c>
      <c r="Q724" s="61">
        <f t="shared" si="398"/>
        <v>825.28782637145969</v>
      </c>
      <c r="R724" s="61">
        <f t="shared" si="398"/>
        <v>-380.54501641299305</v>
      </c>
      <c r="S724" s="61">
        <f t="shared" si="398"/>
        <v>202.25463322955781</v>
      </c>
      <c r="T724" s="61">
        <f t="shared" si="398"/>
        <v>13.081444579904241</v>
      </c>
      <c r="U724" s="61">
        <f t="shared" si="398"/>
        <v>-15520.194507978553</v>
      </c>
      <c r="V724" s="61">
        <f t="shared" si="398"/>
        <v>967.55144839936952</v>
      </c>
      <c r="W724" s="61">
        <f t="shared" si="398"/>
        <v>-5312.5790660248922</v>
      </c>
      <c r="X724" s="61">
        <f t="shared" si="398"/>
        <v>1862.1505168029871</v>
      </c>
      <c r="Y724" s="61">
        <f t="shared" si="398"/>
        <v>4694.7496474412801</v>
      </c>
      <c r="Z724" s="61">
        <f t="shared" si="398"/>
        <v>904.6350664929189</v>
      </c>
    </row>
    <row r="725" spans="1:26" x14ac:dyDescent="0.2">
      <c r="A725" t="s">
        <v>121</v>
      </c>
      <c r="C725" s="61">
        <v>-13.704557634703461</v>
      </c>
      <c r="D725" s="61">
        <v>1177.8864861906079</v>
      </c>
      <c r="E725" s="61">
        <v>-3907.8515330473806</v>
      </c>
      <c r="F725" s="61">
        <v>-5924.5902354042873</v>
      </c>
      <c r="G725" s="61">
        <v>-4866.3529858223446</v>
      </c>
      <c r="H725" s="61">
        <v>-10145.148868585648</v>
      </c>
      <c r="I725" s="61">
        <v>-4913.092984725401</v>
      </c>
      <c r="J725" s="61">
        <v>-3365.108564758586</v>
      </c>
      <c r="K725" s="61">
        <v>-4948.1206093222672</v>
      </c>
      <c r="L725" s="61">
        <v>-3759.9144871037597</v>
      </c>
      <c r="M725" s="61">
        <v>-4566.4474255420691</v>
      </c>
      <c r="N725" s="61">
        <v>-4290.4958118210297</v>
      </c>
      <c r="O725" s="61">
        <f t="shared" ref="O725:Z725" si="399">+O715*O706</f>
        <v>553.09409979949191</v>
      </c>
      <c r="P725" s="61">
        <f t="shared" si="399"/>
        <v>5239.9927455446123</v>
      </c>
      <c r="Q725" s="61">
        <f t="shared" si="399"/>
        <v>-4774.6932126401571</v>
      </c>
      <c r="R725" s="61">
        <f t="shared" si="399"/>
        <v>-5829.5325007446072</v>
      </c>
      <c r="S725" s="61">
        <f t="shared" si="399"/>
        <v>-5531.4584383543615</v>
      </c>
      <c r="T725" s="61">
        <f t="shared" si="399"/>
        <v>-4683.4185708551167</v>
      </c>
      <c r="U725" s="61">
        <f t="shared" si="399"/>
        <v>6024.1358365015067</v>
      </c>
      <c r="V725" s="61">
        <f t="shared" si="399"/>
        <v>-5738.1023491579881</v>
      </c>
      <c r="W725" s="61">
        <f t="shared" si="399"/>
        <v>5645.369936061762</v>
      </c>
      <c r="X725" s="61">
        <f t="shared" si="399"/>
        <v>-7907.5174969922618</v>
      </c>
      <c r="Y725" s="61">
        <f t="shared" si="399"/>
        <v>-3812.5805049581277</v>
      </c>
      <c r="Z725" s="61">
        <f t="shared" si="399"/>
        <v>203.30570200681586</v>
      </c>
    </row>
    <row r="726" spans="1:26" x14ac:dyDescent="0.2">
      <c r="A726" s="58" t="s">
        <v>56</v>
      </c>
      <c r="C726" s="61">
        <v>2540.6985469235906</v>
      </c>
      <c r="D726" s="61">
        <v>-1061.6397096935232</v>
      </c>
      <c r="E726" s="61">
        <v>1804.5755042647063</v>
      </c>
      <c r="F726" s="61">
        <v>-1678.5681258162165</v>
      </c>
      <c r="G726" s="61">
        <v>-665.90467016370167</v>
      </c>
      <c r="H726" s="61">
        <v>7586.8826919931726</v>
      </c>
      <c r="I726" s="61">
        <v>-1123.5859027777421</v>
      </c>
      <c r="J726" s="61">
        <v>1875.2724359218694</v>
      </c>
      <c r="K726" s="61">
        <v>-1261.3590840863931</v>
      </c>
      <c r="L726" s="61">
        <v>386.21755066119511</v>
      </c>
      <c r="M726" s="61">
        <v>-1520.7688460366949</v>
      </c>
      <c r="N726" s="61">
        <v>-1211.9172129650522</v>
      </c>
      <c r="O726" s="61">
        <f t="shared" ref="O726:Z726" si="400">+O716*O706</f>
        <v>1248.146050414957</v>
      </c>
      <c r="P726" s="61">
        <f t="shared" si="400"/>
        <v>-9017.5637297441335</v>
      </c>
      <c r="Q726" s="61">
        <f t="shared" si="400"/>
        <v>50.775096284717598</v>
      </c>
      <c r="R726" s="61">
        <f t="shared" si="400"/>
        <v>1115.6832171956394</v>
      </c>
      <c r="S726" s="61">
        <f t="shared" si="400"/>
        <v>1127.0308605430159</v>
      </c>
      <c r="T726" s="61">
        <f t="shared" si="400"/>
        <v>-998.79358344517152</v>
      </c>
      <c r="U726" s="61">
        <f t="shared" si="400"/>
        <v>-19116.28190293123</v>
      </c>
      <c r="V726" s="61">
        <f t="shared" si="400"/>
        <v>222.72256524812633</v>
      </c>
      <c r="W726" s="61">
        <f t="shared" si="400"/>
        <v>-9075.7252094411906</v>
      </c>
      <c r="X726" s="61">
        <f t="shared" si="400"/>
        <v>1292.6190402444936</v>
      </c>
      <c r="Y726" s="61">
        <f t="shared" si="400"/>
        <v>7695.8928041627432</v>
      </c>
      <c r="Z726" s="61">
        <f t="shared" si="400"/>
        <v>1848.7178882028352</v>
      </c>
    </row>
    <row r="727" spans="1:26" x14ac:dyDescent="0.2">
      <c r="A727" s="58" t="s">
        <v>123</v>
      </c>
      <c r="C727" s="61">
        <v>527.381571841452</v>
      </c>
      <c r="D727" s="61">
        <v>-90.977504180122239</v>
      </c>
      <c r="E727" s="61">
        <v>548.04145548162876</v>
      </c>
      <c r="F727" s="61">
        <v>-520.71090656202489</v>
      </c>
      <c r="G727" s="61">
        <v>-393.81868572796259</v>
      </c>
      <c r="H727" s="61">
        <v>1919.990786720962</v>
      </c>
      <c r="I727" s="61">
        <v>-356.93681118452525</v>
      </c>
      <c r="J727" s="61">
        <v>235.28425184138936</v>
      </c>
      <c r="K727" s="61">
        <v>-303.24928376474969</v>
      </c>
      <c r="L727" s="61">
        <v>-150.03072967894994</v>
      </c>
      <c r="M727" s="61">
        <v>-566.1793315501053</v>
      </c>
      <c r="N727" s="61">
        <v>-385.93464285160775</v>
      </c>
      <c r="O727" s="61">
        <f t="shared" ref="O727:Z727" si="401">+O717*O706</f>
        <v>120.11618890068769</v>
      </c>
      <c r="P727" s="61">
        <f t="shared" si="401"/>
        <v>-540.86839827730523</v>
      </c>
      <c r="Q727" s="61">
        <f t="shared" si="401"/>
        <v>-296.253239673037</v>
      </c>
      <c r="R727" s="61">
        <f t="shared" si="401"/>
        <v>-312.24495608134384</v>
      </c>
      <c r="S727" s="61">
        <f t="shared" si="401"/>
        <v>-824.49958249147244</v>
      </c>
      <c r="T727" s="61">
        <f t="shared" si="401"/>
        <v>-1043.5120892371378</v>
      </c>
      <c r="U727" s="61">
        <f t="shared" si="401"/>
        <v>2466.2155093780138</v>
      </c>
      <c r="V727" s="61">
        <f t="shared" si="401"/>
        <v>-1704.6839919857109</v>
      </c>
      <c r="W727" s="61">
        <f t="shared" si="401"/>
        <v>-645.70796546711392</v>
      </c>
      <c r="X727" s="61">
        <f t="shared" si="401"/>
        <v>-618.12809870132446</v>
      </c>
      <c r="Y727" s="61">
        <f t="shared" si="401"/>
        <v>-3059.8711181595777</v>
      </c>
      <c r="Z727" s="61">
        <f t="shared" si="401"/>
        <v>261.33888156355601</v>
      </c>
    </row>
    <row r="728" spans="1:26" x14ac:dyDescent="0.2">
      <c r="A728" s="58" t="s">
        <v>124</v>
      </c>
      <c r="C728" s="61">
        <v>370.98724579919821</v>
      </c>
      <c r="D728" s="61">
        <v>582.11426086293318</v>
      </c>
      <c r="E728" s="61">
        <v>-718.96889406637285</v>
      </c>
      <c r="F728" s="61">
        <v>-2209.9733933013972</v>
      </c>
      <c r="G728" s="61">
        <v>-2148.5550255337344</v>
      </c>
      <c r="H728" s="61">
        <v>-2870.4614948504063</v>
      </c>
      <c r="I728" s="61">
        <v>-2078.9556823035023</v>
      </c>
      <c r="J728" s="61">
        <v>-1474.548547560953</v>
      </c>
      <c r="K728" s="61">
        <v>-1756.9272759297814</v>
      </c>
      <c r="L728" s="61">
        <v>-1208.6258337424724</v>
      </c>
      <c r="M728" s="61">
        <v>-2101.1114100657264</v>
      </c>
      <c r="N728" s="61">
        <v>-1851.3362689846736</v>
      </c>
      <c r="O728" s="61">
        <f t="shared" ref="O728:Z728" si="402">+O718*O706</f>
        <v>-160.39842131979259</v>
      </c>
      <c r="P728" s="61">
        <f t="shared" si="402"/>
        <v>3396.4325362706572</v>
      </c>
      <c r="Q728" s="61">
        <f t="shared" si="402"/>
        <v>-2874.9523354709822</v>
      </c>
      <c r="R728" s="61">
        <f t="shared" si="402"/>
        <v>-2822.1459869647028</v>
      </c>
      <c r="S728" s="61">
        <f t="shared" si="402"/>
        <v>-4265.359155146738</v>
      </c>
      <c r="T728" s="61">
        <f t="shared" si="402"/>
        <v>-3916.6214146924758</v>
      </c>
      <c r="U728" s="61">
        <f t="shared" si="402"/>
        <v>17697.455824046261</v>
      </c>
      <c r="V728" s="61">
        <f t="shared" si="402"/>
        <v>-7392.8777238958</v>
      </c>
      <c r="W728" s="61">
        <f t="shared" si="402"/>
        <v>5364.1010473354399</v>
      </c>
      <c r="X728" s="61">
        <f t="shared" si="402"/>
        <v>-4373.3325665778921</v>
      </c>
      <c r="Y728" s="61">
        <f t="shared" si="402"/>
        <v>-14218.127518098323</v>
      </c>
      <c r="Z728" s="61">
        <f t="shared" si="402"/>
        <v>-127.38947666011988</v>
      </c>
    </row>
    <row r="729" spans="1:26" x14ac:dyDescent="0.2">
      <c r="A729" s="58"/>
      <c r="C729" s="61"/>
      <c r="D729" s="61"/>
      <c r="E729" s="61"/>
      <c r="F729" s="61"/>
      <c r="G729" s="61"/>
      <c r="H729" s="61"/>
      <c r="I729" s="61"/>
      <c r="J729" s="61"/>
      <c r="K729" s="61"/>
      <c r="L729" s="61"/>
      <c r="M729" s="61"/>
      <c r="N729" s="61"/>
      <c r="O729" s="61"/>
      <c r="P729" s="61"/>
      <c r="Q729" s="61"/>
      <c r="R729" s="61"/>
      <c r="S729" s="61"/>
      <c r="T729" s="61"/>
      <c r="U729" s="61"/>
      <c r="V729" s="61"/>
      <c r="W729" s="61"/>
      <c r="X729" s="61"/>
      <c r="Y729" s="61"/>
      <c r="Z729" s="61"/>
    </row>
    <row r="730" spans="1:26" x14ac:dyDescent="0.2">
      <c r="A730" t="s">
        <v>134</v>
      </c>
      <c r="C730" s="61"/>
      <c r="D730" s="61"/>
      <c r="E730" s="61"/>
      <c r="F730" s="61"/>
      <c r="G730" s="61"/>
      <c r="H730" s="61"/>
      <c r="I730" s="61"/>
      <c r="J730" s="61"/>
      <c r="K730" s="61"/>
      <c r="L730" s="61"/>
      <c r="M730" s="61"/>
      <c r="N730" s="61"/>
      <c r="O730" s="61"/>
      <c r="P730" s="61"/>
      <c r="Q730" s="61"/>
      <c r="R730" s="61"/>
      <c r="S730" s="61"/>
      <c r="T730" s="61"/>
      <c r="U730" s="61"/>
      <c r="V730" s="61"/>
      <c r="W730" s="61"/>
      <c r="X730" s="61"/>
      <c r="Y730" s="61"/>
      <c r="Z730" s="61"/>
    </row>
    <row r="731" spans="1:26" x14ac:dyDescent="0.2">
      <c r="A731" t="s">
        <v>120</v>
      </c>
      <c r="C731" s="61"/>
      <c r="D731" s="61"/>
      <c r="E731" s="61"/>
      <c r="F731" s="61"/>
      <c r="G731" s="61"/>
      <c r="H731" s="61"/>
      <c r="I731" s="61"/>
      <c r="J731" s="61"/>
      <c r="K731" s="61"/>
      <c r="L731" s="61"/>
      <c r="M731" s="61"/>
      <c r="N731" s="61"/>
      <c r="O731" s="61"/>
      <c r="P731" s="61"/>
      <c r="Q731" s="61"/>
      <c r="R731" s="61"/>
      <c r="S731" s="61"/>
      <c r="T731" s="61"/>
      <c r="U731" s="61"/>
      <c r="V731" s="61"/>
      <c r="W731" s="61"/>
      <c r="X731" s="61"/>
      <c r="Y731" s="61"/>
      <c r="Z731" s="61"/>
    </row>
    <row r="732" spans="1:26" x14ac:dyDescent="0.2">
      <c r="A732" t="s">
        <v>55</v>
      </c>
      <c r="C732" s="61"/>
      <c r="D732" s="61"/>
      <c r="E732" s="61"/>
      <c r="F732" s="61"/>
      <c r="G732" s="61"/>
      <c r="H732" s="61"/>
      <c r="I732" s="61"/>
      <c r="J732" s="61"/>
      <c r="K732" s="61"/>
      <c r="L732" s="61"/>
      <c r="M732" s="61"/>
      <c r="N732" s="61"/>
      <c r="O732" s="61"/>
      <c r="P732" s="61"/>
      <c r="Q732" s="61"/>
      <c r="R732" s="61"/>
      <c r="S732" s="61"/>
      <c r="T732" s="61"/>
      <c r="U732" s="61"/>
      <c r="V732" s="61"/>
      <c r="W732" s="61"/>
      <c r="X732" s="61"/>
      <c r="Y732" s="61"/>
      <c r="Z732" s="61"/>
    </row>
    <row r="733" spans="1:26" x14ac:dyDescent="0.2">
      <c r="A733" t="s">
        <v>122</v>
      </c>
      <c r="C733" s="63">
        <v>152109.00913872215</v>
      </c>
      <c r="D733" s="63">
        <v>-45688.421991914976</v>
      </c>
      <c r="E733" s="63">
        <v>18739.713391120444</v>
      </c>
      <c r="F733" s="63">
        <v>-45840.859768319562</v>
      </c>
      <c r="G733" s="63">
        <v>-31252.351989386698</v>
      </c>
      <c r="H733" s="63">
        <v>135418.10182135584</v>
      </c>
      <c r="I733" s="63">
        <v>-82123.971003151819</v>
      </c>
      <c r="J733" s="63">
        <v>42013.913752047745</v>
      </c>
      <c r="K733" s="63">
        <v>-51610.098027394357</v>
      </c>
      <c r="L733" s="63">
        <v>-30947.38135035551</v>
      </c>
      <c r="M733" s="63">
        <v>-77733.740464826202</v>
      </c>
      <c r="N733" s="63">
        <v>-99286.365230241121</v>
      </c>
      <c r="O733" s="63">
        <f t="shared" ref="O733:Z733" si="403">+IF(O724&gt;0,O724*O28,O20*O724)</f>
        <v>67327.167221463678</v>
      </c>
      <c r="P733" s="63">
        <f t="shared" si="403"/>
        <v>-283722.3246794006</v>
      </c>
      <c r="Q733" s="63">
        <f t="shared" si="403"/>
        <v>48139.65563489285</v>
      </c>
      <c r="R733" s="63">
        <f t="shared" si="403"/>
        <v>-19108.596373309203</v>
      </c>
      <c r="S733" s="63">
        <f t="shared" si="403"/>
        <v>9568.5978859773277</v>
      </c>
      <c r="T733" s="63">
        <f t="shared" si="403"/>
        <v>885.71876454143853</v>
      </c>
      <c r="U733" s="63">
        <f t="shared" si="403"/>
        <v>-1502707.3033556484</v>
      </c>
      <c r="V733" s="63">
        <f t="shared" si="403"/>
        <v>64229.973524539688</v>
      </c>
      <c r="W733" s="63">
        <f t="shared" si="403"/>
        <v>-318246.53925400169</v>
      </c>
      <c r="X733" s="63">
        <f t="shared" si="403"/>
        <v>98262.952619293384</v>
      </c>
      <c r="Y733" s="63">
        <f t="shared" si="403"/>
        <v>311495.9933816336</v>
      </c>
      <c r="Z733" s="63">
        <f t="shared" si="403"/>
        <v>87281.809590282734</v>
      </c>
    </row>
    <row r="734" spans="1:26" x14ac:dyDescent="0.2">
      <c r="A734" t="s">
        <v>121</v>
      </c>
      <c r="C734" s="63">
        <v>-1815.7962946461464</v>
      </c>
      <c r="D734" s="63">
        <v>111781.76666867425</v>
      </c>
      <c r="E734" s="63">
        <v>-93716.565304213262</v>
      </c>
      <c r="F734" s="63">
        <v>-152064.05910138652</v>
      </c>
      <c r="G734" s="63">
        <v>-134920.46309795367</v>
      </c>
      <c r="H734" s="63">
        <v>-424319.38900444977</v>
      </c>
      <c r="I734" s="63">
        <v>-298936.37320058269</v>
      </c>
      <c r="J734" s="63">
        <v>-170258.98750828201</v>
      </c>
      <c r="K734" s="63">
        <v>-195749.60402691591</v>
      </c>
      <c r="L734" s="63">
        <v>-148988.69530153924</v>
      </c>
      <c r="M734" s="63">
        <v>-237940.57866847346</v>
      </c>
      <c r="N734" s="63">
        <v>-327465.85250242753</v>
      </c>
      <c r="O734" s="63">
        <f t="shared" ref="O734:Z734" si="404">+IF(O725&gt;0,O725*O29,O21*O725)</f>
        <v>54613.480422523156</v>
      </c>
      <c r="P734" s="63">
        <f t="shared" si="404"/>
        <v>478997.2983715937</v>
      </c>
      <c r="Q734" s="63">
        <f t="shared" si="404"/>
        <v>-268898.3973306882</v>
      </c>
      <c r="R734" s="63">
        <f t="shared" si="404"/>
        <v>-285319.5661506771</v>
      </c>
      <c r="S734" s="63">
        <f t="shared" si="404"/>
        <v>-251027.78295010049</v>
      </c>
      <c r="T734" s="63">
        <f t="shared" si="404"/>
        <v>-283719.25744212547</v>
      </c>
      <c r="U734" s="63">
        <f t="shared" si="404"/>
        <v>508569.8290981219</v>
      </c>
      <c r="V734" s="63">
        <f t="shared" si="404"/>
        <v>-363068.93654628639</v>
      </c>
      <c r="W734" s="63">
        <f t="shared" si="404"/>
        <v>298704.77627687366</v>
      </c>
      <c r="X734" s="63">
        <f t="shared" si="404"/>
        <v>-374778.57169360959</v>
      </c>
      <c r="Y734" s="63">
        <f t="shared" si="404"/>
        <v>-236569.25776572799</v>
      </c>
      <c r="Z734" s="63">
        <f t="shared" si="404"/>
        <v>18604.311128043581</v>
      </c>
    </row>
    <row r="735" spans="1:26" ht="10.5" customHeight="1" x14ac:dyDescent="0.2">
      <c r="A735" s="58" t="s">
        <v>56</v>
      </c>
      <c r="C735" s="63">
        <v>259647.62381896432</v>
      </c>
      <c r="D735" s="63">
        <v>-113913.94085011503</v>
      </c>
      <c r="E735" s="63">
        <v>36995.609509792965</v>
      </c>
      <c r="F735" s="63">
        <v>-41124.919082497305</v>
      </c>
      <c r="G735" s="63">
        <v>-15915.121616912469</v>
      </c>
      <c r="H735" s="63">
        <v>250965.64515005844</v>
      </c>
      <c r="I735" s="63">
        <v>-45336.691177081899</v>
      </c>
      <c r="J735" s="63">
        <v>70788.552593433778</v>
      </c>
      <c r="K735" s="63">
        <v>-39102.131606678187</v>
      </c>
      <c r="L735" s="63">
        <v>12794.985215713692</v>
      </c>
      <c r="M735" s="63">
        <v>-71704.251090630161</v>
      </c>
      <c r="N735" s="63">
        <v>-88227.573103855801</v>
      </c>
      <c r="O735" s="63">
        <f t="shared" ref="O735:Z735" si="405">+IF(O726&gt;0,O726*O30,O22*O726)</f>
        <v>96342.135186619897</v>
      </c>
      <c r="P735" s="63">
        <f t="shared" si="405"/>
        <v>-662748.24672731292</v>
      </c>
      <c r="Q735" s="63">
        <f t="shared" si="405"/>
        <v>2210.6732016084193</v>
      </c>
      <c r="R735" s="63">
        <f t="shared" si="405"/>
        <v>38205.805016748396</v>
      </c>
      <c r="S735" s="63">
        <f t="shared" si="405"/>
        <v>33447.035392978039</v>
      </c>
      <c r="T735" s="63">
        <f t="shared" si="405"/>
        <v>-33453.343669834991</v>
      </c>
      <c r="U735" s="63">
        <f t="shared" si="405"/>
        <v>-773421.67324124137</v>
      </c>
      <c r="V735" s="63">
        <f t="shared" si="405"/>
        <v>10247.661303342826</v>
      </c>
      <c r="W735" s="63">
        <f t="shared" si="405"/>
        <v>-271314.755394087</v>
      </c>
      <c r="X735" s="63">
        <f t="shared" si="405"/>
        <v>36844.489166749343</v>
      </c>
      <c r="Y735" s="63">
        <f t="shared" si="405"/>
        <v>340536.72056487406</v>
      </c>
      <c r="Z735" s="63">
        <f t="shared" si="405"/>
        <v>111398.56787622385</v>
      </c>
    </row>
    <row r="736" spans="1:26" ht="10.5" customHeight="1" x14ac:dyDescent="0.2">
      <c r="A736" s="58" t="s">
        <v>123</v>
      </c>
      <c r="C736" s="63">
        <v>90267.070729664061</v>
      </c>
      <c r="D736" s="63">
        <v>-15119.322602669688</v>
      </c>
      <c r="E736" s="63">
        <v>17828.389967204341</v>
      </c>
      <c r="F736" s="63">
        <v>-17684.173741193594</v>
      </c>
      <c r="G736" s="63">
        <v>-12539.975357332703</v>
      </c>
      <c r="H736" s="63">
        <v>81854.125551722536</v>
      </c>
      <c r="I736" s="63">
        <v>-23499.708441587994</v>
      </c>
      <c r="J736" s="63">
        <v>11759.018827097905</v>
      </c>
      <c r="K736" s="63">
        <v>-12975.241083667786</v>
      </c>
      <c r="L736" s="63">
        <v>-6210.0099113195492</v>
      </c>
      <c r="M736" s="63">
        <v>-36460.430457606097</v>
      </c>
      <c r="N736" s="63">
        <v>-41510.747375196246</v>
      </c>
      <c r="O736" s="63">
        <f t="shared" ref="O736:Z736" si="406">+IF(O727&gt;0,O727*O31,O23*O727)</f>
        <v>12830.481891059346</v>
      </c>
      <c r="P736" s="63">
        <f t="shared" si="406"/>
        <v>-52077.949700955141</v>
      </c>
      <c r="Q736" s="63">
        <f t="shared" si="406"/>
        <v>-17018.810271509963</v>
      </c>
      <c r="R736" s="63">
        <f t="shared" si="406"/>
        <v>-14841.543557934121</v>
      </c>
      <c r="S736" s="63">
        <f t="shared" si="406"/>
        <v>-35020.655596780387</v>
      </c>
      <c r="T736" s="63">
        <f t="shared" si="406"/>
        <v>-48504.548260423675</v>
      </c>
      <c r="U736" s="63">
        <f t="shared" si="406"/>
        <v>149077.7065749281</v>
      </c>
      <c r="V736" s="63">
        <f t="shared" si="406"/>
        <v>-86224.315840618685</v>
      </c>
      <c r="W736" s="63">
        <f t="shared" si="406"/>
        <v>-31254.761370835553</v>
      </c>
      <c r="X736" s="63">
        <f t="shared" si="406"/>
        <v>-29952.91369930745</v>
      </c>
      <c r="Y736" s="63">
        <f t="shared" si="406"/>
        <v>-209008.64845080802</v>
      </c>
      <c r="Z736" s="63">
        <f t="shared" si="406"/>
        <v>22703.394778461818</v>
      </c>
    </row>
    <row r="737" spans="1:26" ht="10.5" customHeight="1" x14ac:dyDescent="0.2">
      <c r="A737" s="58" t="s">
        <v>124</v>
      </c>
      <c r="C737" s="63">
        <v>43983.729632036579</v>
      </c>
      <c r="D737" s="63">
        <v>86759.637938439584</v>
      </c>
      <c r="E737" s="63">
        <v>-18729.721959328326</v>
      </c>
      <c r="F737" s="63">
        <v>-58523.769768641971</v>
      </c>
      <c r="G737" s="63">
        <v>-46057.84883065035</v>
      </c>
      <c r="H737" s="63">
        <v>-95257.437086656471</v>
      </c>
      <c r="I737" s="63">
        <v>-93186.342498579703</v>
      </c>
      <c r="J737" s="63">
        <v>-55039.772611322653</v>
      </c>
      <c r="K737" s="63">
        <v>-55214.553395863375</v>
      </c>
      <c r="L737" s="63">
        <v>-37415.60283428261</v>
      </c>
      <c r="M737" s="63">
        <v>-95195.479650269437</v>
      </c>
      <c r="N737" s="63">
        <v>-142267.91443749491</v>
      </c>
      <c r="O737" s="63">
        <f t="shared" ref="O737:Z737" si="407">+IF(O728&gt;0,O728*O32,O24*O728)</f>
        <v>-14269.640638984403</v>
      </c>
      <c r="P737" s="63">
        <f t="shared" si="407"/>
        <v>259558.24000330997</v>
      </c>
      <c r="Q737" s="63">
        <f t="shared" si="407"/>
        <v>-135868.79589210474</v>
      </c>
      <c r="R737" s="63">
        <f t="shared" si="407"/>
        <v>-104374.65135661348</v>
      </c>
      <c r="S737" s="63">
        <f t="shared" si="407"/>
        <v>-137906.01720205706</v>
      </c>
      <c r="T737" s="63">
        <f t="shared" si="407"/>
        <v>-143071.56726982887</v>
      </c>
      <c r="U737" s="63">
        <f t="shared" si="407"/>
        <v>799620.25670540379</v>
      </c>
      <c r="V737" s="63">
        <f t="shared" si="407"/>
        <v>-277743.57738928171</v>
      </c>
      <c r="W737" s="63">
        <f t="shared" si="407"/>
        <v>181201.47240699976</v>
      </c>
      <c r="X737" s="63">
        <f t="shared" si="407"/>
        <v>-141518.83445981456</v>
      </c>
      <c r="Y737" s="63">
        <f t="shared" si="407"/>
        <v>-710628.60348941816</v>
      </c>
      <c r="Z737" s="63">
        <f t="shared" si="407"/>
        <v>-10025.926745023065</v>
      </c>
    </row>
    <row r="738" spans="1:26" ht="10.5" customHeight="1" x14ac:dyDescent="0.2">
      <c r="A738" t="s">
        <v>135</v>
      </c>
      <c r="C738" s="63">
        <v>544191.63702474092</v>
      </c>
      <c r="D738" s="63">
        <v>23819.719162414134</v>
      </c>
      <c r="E738" s="63">
        <v>-38882.574395423842</v>
      </c>
      <c r="F738" s="63">
        <v>-315237.78146203898</v>
      </c>
      <c r="G738" s="63">
        <v>-240685.76089223591</v>
      </c>
      <c r="H738" s="63">
        <v>-51338.953567969453</v>
      </c>
      <c r="I738" s="63">
        <v>-543083.08632098418</v>
      </c>
      <c r="J738" s="63">
        <v>-100737.27494702523</v>
      </c>
      <c r="K738" s="63">
        <v>-354651.62814051966</v>
      </c>
      <c r="L738" s="63">
        <v>-210766.70418178322</v>
      </c>
      <c r="M738" s="63">
        <v>-519034.48033180536</v>
      </c>
      <c r="N738" s="63">
        <v>-698758.45264921559</v>
      </c>
      <c r="O738" s="63">
        <f t="shared" ref="O738:Z738" si="408">+SUM(O733:O737)</f>
        <v>216843.62408268169</v>
      </c>
      <c r="P738" s="63">
        <f t="shared" si="408"/>
        <v>-259992.98273276497</v>
      </c>
      <c r="Q738" s="63">
        <f t="shared" si="408"/>
        <v>-371435.67465780163</v>
      </c>
      <c r="R738" s="63">
        <f t="shared" si="408"/>
        <v>-385438.55242178554</v>
      </c>
      <c r="S738" s="63">
        <f t="shared" si="408"/>
        <v>-380938.82246998255</v>
      </c>
      <c r="T738" s="63">
        <f t="shared" si="408"/>
        <v>-507862.99787767162</v>
      </c>
      <c r="U738" s="63">
        <f t="shared" si="408"/>
        <v>-818861.18421843601</v>
      </c>
      <c r="V738" s="63">
        <f t="shared" si="408"/>
        <v>-652559.19494830421</v>
      </c>
      <c r="W738" s="63">
        <f t="shared" si="408"/>
        <v>-140909.80733505081</v>
      </c>
      <c r="X738" s="63">
        <f t="shared" si="408"/>
        <v>-411142.87806668889</v>
      </c>
      <c r="Y738" s="63">
        <f t="shared" si="408"/>
        <v>-504173.79575944651</v>
      </c>
      <c r="Z738" s="63">
        <f t="shared" si="408"/>
        <v>229962.15662798894</v>
      </c>
    </row>
    <row r="740" spans="1:26" x14ac:dyDescent="0.2">
      <c r="A740" t="s">
        <v>254</v>
      </c>
      <c r="C740" s="93">
        <v>1407.9799999999989</v>
      </c>
      <c r="D740" s="93">
        <v>495.32999999999964</v>
      </c>
      <c r="E740" s="93">
        <v>621.94999999999982</v>
      </c>
      <c r="F740" s="93">
        <v>-832.86000000000126</v>
      </c>
      <c r="G740" s="93">
        <v>-1040.4899999999998</v>
      </c>
      <c r="H740" s="93">
        <v>-872.57999999999936</v>
      </c>
      <c r="I740" s="93">
        <v>-55.510000000000176</v>
      </c>
      <c r="J740" s="93">
        <v>-3.3400000000000931</v>
      </c>
      <c r="K740" s="93">
        <v>-239.98000000000013</v>
      </c>
      <c r="L740" s="93">
        <v>513.63999999999976</v>
      </c>
      <c r="M740" s="93">
        <v>1191.3199999999988</v>
      </c>
      <c r="N740" s="93">
        <v>1810.7699999999982</v>
      </c>
      <c r="O740" s="93">
        <f t="shared" ref="O740:O743" si="409">+C740</f>
        <v>1407.9799999999989</v>
      </c>
      <c r="P740" s="93">
        <f t="shared" ref="P740:P743" si="410">+D740</f>
        <v>495.32999999999964</v>
      </c>
      <c r="Q740" s="93">
        <f t="shared" ref="Q740:Q743" si="411">+E740</f>
        <v>621.94999999999982</v>
      </c>
      <c r="R740" s="93">
        <f t="shared" ref="R740:R743" si="412">+F740</f>
        <v>-832.86000000000126</v>
      </c>
      <c r="S740" s="93">
        <f t="shared" ref="S740:S743" si="413">+G740</f>
        <v>-1040.4899999999998</v>
      </c>
      <c r="T740" s="93">
        <f t="shared" ref="T740:T743" si="414">+H740</f>
        <v>-872.57999999999936</v>
      </c>
      <c r="U740" s="93">
        <f t="shared" ref="U740:U743" si="415">+I740</f>
        <v>-55.510000000000176</v>
      </c>
      <c r="V740" s="93">
        <f t="shared" ref="V740:V743" si="416">+J740</f>
        <v>-3.3400000000000931</v>
      </c>
      <c r="W740" s="93">
        <f t="shared" ref="W740:W743" si="417">+K740</f>
        <v>-239.98000000000013</v>
      </c>
      <c r="X740" s="93">
        <f t="shared" ref="X740:X743" si="418">+L740</f>
        <v>513.63999999999976</v>
      </c>
      <c r="Y740" s="93">
        <f t="shared" ref="Y740:Y743" si="419">+M740</f>
        <v>1191.3199999999988</v>
      </c>
      <c r="Z740" s="93">
        <f t="shared" ref="Z740:Z743" si="420">+N740</f>
        <v>1810.7699999999982</v>
      </c>
    </row>
    <row r="741" spans="1:26" x14ac:dyDescent="0.2">
      <c r="A741" t="s">
        <v>255</v>
      </c>
      <c r="C741" s="93">
        <v>-2938.5399999999972</v>
      </c>
      <c r="D741" s="93">
        <v>-2306.6800000000017</v>
      </c>
      <c r="E741" s="93">
        <v>-2087.6700000000014</v>
      </c>
      <c r="F741" s="93">
        <v>-575.38999999999965</v>
      </c>
      <c r="G741" s="93">
        <v>-902.28000000000054</v>
      </c>
      <c r="H741" s="93">
        <v>-843.04999999999961</v>
      </c>
      <c r="I741" s="93">
        <v>-2348.440000000001</v>
      </c>
      <c r="J741" s="93">
        <v>-1733.0499999999997</v>
      </c>
      <c r="K741" s="93">
        <v>-2101.489999999998</v>
      </c>
      <c r="L741" s="93">
        <v>-2383.9599999999982</v>
      </c>
      <c r="M741" s="93">
        <v>-4232.8999999999987</v>
      </c>
      <c r="N741" s="93">
        <v>-3202.2400000000007</v>
      </c>
      <c r="O741" s="93">
        <f t="shared" si="409"/>
        <v>-2938.5399999999972</v>
      </c>
      <c r="P741" s="93">
        <f t="shared" si="410"/>
        <v>-2306.6800000000017</v>
      </c>
      <c r="Q741" s="93">
        <f t="shared" si="411"/>
        <v>-2087.6700000000014</v>
      </c>
      <c r="R741" s="93">
        <f t="shared" si="412"/>
        <v>-575.38999999999965</v>
      </c>
      <c r="S741" s="93">
        <f t="shared" si="413"/>
        <v>-902.28000000000054</v>
      </c>
      <c r="T741" s="93">
        <f t="shared" si="414"/>
        <v>-843.04999999999961</v>
      </c>
      <c r="U741" s="93">
        <f t="shared" si="415"/>
        <v>-2348.440000000001</v>
      </c>
      <c r="V741" s="93">
        <f t="shared" si="416"/>
        <v>-1733.0499999999997</v>
      </c>
      <c r="W741" s="93">
        <f t="shared" si="417"/>
        <v>-2101.489999999998</v>
      </c>
      <c r="X741" s="93">
        <f t="shared" si="418"/>
        <v>-2383.9599999999982</v>
      </c>
      <c r="Y741" s="93">
        <f t="shared" si="419"/>
        <v>-4232.8999999999987</v>
      </c>
      <c r="Z741" s="93">
        <f t="shared" si="420"/>
        <v>-3202.2400000000007</v>
      </c>
    </row>
    <row r="742" spans="1:26" x14ac:dyDescent="0.2">
      <c r="A742" s="54" t="s">
        <v>592</v>
      </c>
      <c r="C742" s="93">
        <v>0</v>
      </c>
      <c r="D742" s="93">
        <v>0</v>
      </c>
      <c r="E742" s="93">
        <v>199.56</v>
      </c>
      <c r="F742" s="93">
        <v>0</v>
      </c>
      <c r="G742" s="93">
        <v>0</v>
      </c>
      <c r="H742" s="93">
        <v>0</v>
      </c>
      <c r="I742" s="93">
        <v>0</v>
      </c>
      <c r="J742" s="93">
        <v>42.919999999999995</v>
      </c>
      <c r="K742" s="93">
        <v>25199.1</v>
      </c>
      <c r="L742" s="93">
        <v>0</v>
      </c>
      <c r="M742" s="93">
        <v>0</v>
      </c>
      <c r="N742" s="93">
        <v>0</v>
      </c>
      <c r="O742" s="93">
        <f t="shared" si="409"/>
        <v>0</v>
      </c>
      <c r="P742" s="93">
        <f t="shared" si="410"/>
        <v>0</v>
      </c>
      <c r="Q742" s="93">
        <f t="shared" si="411"/>
        <v>199.56</v>
      </c>
      <c r="R742" s="93">
        <f t="shared" si="412"/>
        <v>0</v>
      </c>
      <c r="S742" s="93">
        <f t="shared" si="413"/>
        <v>0</v>
      </c>
      <c r="T742" s="93">
        <f t="shared" si="414"/>
        <v>0</v>
      </c>
      <c r="U742" s="93">
        <f t="shared" si="415"/>
        <v>0</v>
      </c>
      <c r="V742" s="93">
        <f t="shared" si="416"/>
        <v>42.919999999999995</v>
      </c>
      <c r="W742" s="93">
        <f t="shared" si="417"/>
        <v>25199.1</v>
      </c>
      <c r="X742" s="93">
        <f t="shared" si="418"/>
        <v>0</v>
      </c>
      <c r="Y742" s="93">
        <f t="shared" si="419"/>
        <v>0</v>
      </c>
      <c r="Z742" s="93">
        <f t="shared" si="420"/>
        <v>0</v>
      </c>
    </row>
    <row r="743" spans="1:26" x14ac:dyDescent="0.2">
      <c r="A743" s="54" t="s">
        <v>593</v>
      </c>
      <c r="C743" s="93">
        <v>-124.72000000000033</v>
      </c>
      <c r="D743" s="93">
        <v>-96.329999999999984</v>
      </c>
      <c r="E743" s="93">
        <v>24.849999999999977</v>
      </c>
      <c r="F743" s="93">
        <v>-34.850000000000016</v>
      </c>
      <c r="G743" s="93">
        <v>-64.91</v>
      </c>
      <c r="H743" s="93">
        <v>-44.899999999999991</v>
      </c>
      <c r="I743" s="93">
        <v>-44.469999999999949</v>
      </c>
      <c r="J743" s="93">
        <v>-157.40000000000012</v>
      </c>
      <c r="K743" s="93">
        <v>-2250.5400000000004</v>
      </c>
      <c r="L743" s="93">
        <v>-8.3300000000000054</v>
      </c>
      <c r="M743" s="93">
        <v>-35.400000000000105</v>
      </c>
      <c r="N743" s="93">
        <v>-210.01000000000005</v>
      </c>
      <c r="O743" s="93">
        <f t="shared" si="409"/>
        <v>-124.72000000000033</v>
      </c>
      <c r="P743" s="93">
        <f t="shared" si="410"/>
        <v>-96.329999999999984</v>
      </c>
      <c r="Q743" s="93">
        <f t="shared" si="411"/>
        <v>24.849999999999977</v>
      </c>
      <c r="R743" s="93">
        <f t="shared" si="412"/>
        <v>-34.850000000000016</v>
      </c>
      <c r="S743" s="93">
        <f t="shared" si="413"/>
        <v>-64.91</v>
      </c>
      <c r="T743" s="93">
        <f t="shared" si="414"/>
        <v>-44.899999999999991</v>
      </c>
      <c r="U743" s="93">
        <f t="shared" si="415"/>
        <v>-44.469999999999949</v>
      </c>
      <c r="V743" s="93">
        <f t="shared" si="416"/>
        <v>-157.40000000000012</v>
      </c>
      <c r="W743" s="93">
        <f t="shared" si="417"/>
        <v>-2250.5400000000004</v>
      </c>
      <c r="X743" s="93">
        <f t="shared" si="418"/>
        <v>-8.3300000000000054</v>
      </c>
      <c r="Y743" s="93">
        <f t="shared" si="419"/>
        <v>-35.400000000000105</v>
      </c>
      <c r="Z743" s="93">
        <f t="shared" si="420"/>
        <v>-210.01000000000005</v>
      </c>
    </row>
    <row r="745" spans="1:26" x14ac:dyDescent="0.2">
      <c r="A745" s="14" t="s">
        <v>113</v>
      </c>
    </row>
    <row r="746" spans="1:26" ht="13.2" x14ac:dyDescent="0.25">
      <c r="A746" s="72"/>
    </row>
    <row r="747" spans="1:26" x14ac:dyDescent="0.2">
      <c r="B747" s="20"/>
    </row>
    <row r="748" spans="1:26" x14ac:dyDescent="0.2">
      <c r="C748" s="31">
        <v>45307</v>
      </c>
      <c r="D748" s="31">
        <v>45338</v>
      </c>
      <c r="E748" s="31">
        <v>45366</v>
      </c>
      <c r="F748" s="31">
        <v>45397</v>
      </c>
      <c r="G748" s="31">
        <v>45427</v>
      </c>
      <c r="H748" s="31">
        <v>45458</v>
      </c>
      <c r="I748" s="31">
        <v>45488</v>
      </c>
      <c r="J748" s="31">
        <v>45519</v>
      </c>
      <c r="K748" s="31">
        <v>45550</v>
      </c>
      <c r="L748" s="31">
        <v>45580</v>
      </c>
      <c r="M748" s="31">
        <v>45611</v>
      </c>
      <c r="N748" s="31">
        <v>45641</v>
      </c>
      <c r="O748" s="31">
        <f t="shared" ref="O748:Z748" si="421">+O2</f>
        <v>45673</v>
      </c>
      <c r="P748" s="31">
        <f t="shared" si="421"/>
        <v>45704</v>
      </c>
      <c r="Q748" s="31">
        <f t="shared" si="421"/>
        <v>45732</v>
      </c>
      <c r="R748" s="31">
        <f t="shared" si="421"/>
        <v>45763</v>
      </c>
      <c r="S748" s="31">
        <f t="shared" si="421"/>
        <v>45793</v>
      </c>
      <c r="T748" s="31">
        <f t="shared" si="421"/>
        <v>45824</v>
      </c>
      <c r="U748" s="31">
        <f t="shared" si="421"/>
        <v>45854</v>
      </c>
      <c r="V748" s="31">
        <f t="shared" si="421"/>
        <v>45885</v>
      </c>
      <c r="W748" s="31">
        <f t="shared" si="421"/>
        <v>45916</v>
      </c>
      <c r="X748" s="31">
        <f t="shared" si="421"/>
        <v>45946</v>
      </c>
      <c r="Y748" s="31">
        <f t="shared" si="421"/>
        <v>45977</v>
      </c>
      <c r="Z748" s="31">
        <f t="shared" si="421"/>
        <v>46007</v>
      </c>
    </row>
    <row r="749" spans="1:26" x14ac:dyDescent="0.2">
      <c r="A749" t="s">
        <v>264</v>
      </c>
      <c r="C749" s="160"/>
      <c r="D749" s="160"/>
      <c r="E749" s="160"/>
      <c r="F749" s="160"/>
      <c r="G749" s="160"/>
      <c r="H749" s="160"/>
      <c r="I749" s="160"/>
      <c r="J749" s="160"/>
      <c r="K749" s="160"/>
      <c r="L749" s="160"/>
      <c r="M749" s="160"/>
      <c r="N749" s="160"/>
      <c r="O749" s="160"/>
      <c r="P749" s="160"/>
      <c r="Q749" s="160"/>
      <c r="R749" s="160"/>
      <c r="S749" s="160"/>
      <c r="T749" s="160"/>
      <c r="U749" s="160"/>
      <c r="V749" s="160"/>
      <c r="W749" s="160"/>
      <c r="X749" s="160"/>
      <c r="Y749" s="160"/>
      <c r="Z749" s="160"/>
    </row>
    <row r="750" spans="1:26" x14ac:dyDescent="0.2">
      <c r="A750" t="s">
        <v>265</v>
      </c>
      <c r="C750" s="144">
        <v>523.16173814399997</v>
      </c>
      <c r="D750" s="144">
        <v>523.16173814399997</v>
      </c>
      <c r="E750" s="144">
        <v>523.16173814399997</v>
      </c>
      <c r="F750" s="144">
        <v>523.16173814399997</v>
      </c>
      <c r="G750" s="144">
        <v>523.16173814399997</v>
      </c>
      <c r="H750" s="144">
        <v>0</v>
      </c>
      <c r="I750" s="144">
        <v>0</v>
      </c>
      <c r="J750" s="144">
        <v>0</v>
      </c>
      <c r="K750" s="144">
        <v>0</v>
      </c>
      <c r="L750" s="144">
        <v>0</v>
      </c>
      <c r="M750" s="144">
        <v>0</v>
      </c>
      <c r="N750" s="144">
        <v>0</v>
      </c>
      <c r="O750" s="144">
        <v>0</v>
      </c>
      <c r="P750" s="144">
        <v>0</v>
      </c>
      <c r="Q750" s="144">
        <v>0</v>
      </c>
      <c r="R750" s="144">
        <v>0</v>
      </c>
      <c r="S750" s="144">
        <v>0</v>
      </c>
      <c r="T750" s="160">
        <v>0</v>
      </c>
      <c r="U750" s="160">
        <v>0</v>
      </c>
      <c r="V750" s="160">
        <v>0</v>
      </c>
      <c r="W750" s="160">
        <v>0</v>
      </c>
      <c r="X750" s="160">
        <v>0</v>
      </c>
      <c r="Y750" s="160">
        <v>0</v>
      </c>
      <c r="Z750" s="160">
        <v>0</v>
      </c>
    </row>
    <row r="751" spans="1:26" x14ac:dyDescent="0.2">
      <c r="A751" t="s">
        <v>266</v>
      </c>
      <c r="C751" s="160">
        <v>-312.02</v>
      </c>
      <c r="D751" s="160">
        <v>-312.02</v>
      </c>
      <c r="E751" s="160">
        <v>-312.02</v>
      </c>
      <c r="F751" s="160">
        <v>-312.02</v>
      </c>
      <c r="G751" s="160">
        <v>-312.02</v>
      </c>
      <c r="H751" s="160">
        <v>32.369999999999997</v>
      </c>
      <c r="I751" s="160">
        <v>32.369999999999997</v>
      </c>
      <c r="J751" s="160">
        <v>32.369999999999997</v>
      </c>
      <c r="K751" s="160">
        <v>32.369999999999997</v>
      </c>
      <c r="L751" s="160">
        <v>32.369999999999997</v>
      </c>
      <c r="M751" s="160">
        <v>32.369999999999997</v>
      </c>
      <c r="N751" s="160">
        <v>32.369999999999997</v>
      </c>
      <c r="O751" s="160">
        <v>32.369999999999997</v>
      </c>
      <c r="P751" s="160">
        <v>32.369999999999997</v>
      </c>
      <c r="Q751" s="160">
        <v>32.369999999999997</v>
      </c>
      <c r="R751" s="160">
        <v>32.369999999999997</v>
      </c>
      <c r="S751" s="160">
        <v>32.369999999999997</v>
      </c>
      <c r="T751" s="160">
        <v>33.07</v>
      </c>
      <c r="U751" s="160">
        <v>33.07</v>
      </c>
      <c r="V751" s="160">
        <v>33.07</v>
      </c>
      <c r="W751" s="160">
        <v>33.07</v>
      </c>
      <c r="X751" s="160">
        <v>33.07</v>
      </c>
      <c r="Y751" s="160">
        <v>33.07</v>
      </c>
      <c r="Z751" s="160">
        <v>33.07</v>
      </c>
    </row>
    <row r="752" spans="1:26" x14ac:dyDescent="0.2">
      <c r="A752" t="s">
        <v>267</v>
      </c>
      <c r="C752" s="160">
        <v>-14097.188691810001</v>
      </c>
      <c r="D752" s="160">
        <v>-14097.188691810001</v>
      </c>
      <c r="E752" s="160">
        <v>-14097.188691810001</v>
      </c>
      <c r="F752" s="160">
        <v>-14097.188691810001</v>
      </c>
      <c r="G752" s="160">
        <v>-14097.188691810001</v>
      </c>
      <c r="H752" s="160">
        <v>-17339.666114840002</v>
      </c>
      <c r="I752" s="160">
        <v>-17339.666114840002</v>
      </c>
      <c r="J752" s="160">
        <v>-17339.666114840002</v>
      </c>
      <c r="K752" s="160">
        <v>-17339.666114840002</v>
      </c>
      <c r="L752" s="160">
        <v>-17339.666114840002</v>
      </c>
      <c r="M752" s="160">
        <v>-17339.666114840002</v>
      </c>
      <c r="N752" s="160">
        <v>-17339.666114840002</v>
      </c>
      <c r="O752" s="160">
        <v>-17362.821098454999</v>
      </c>
      <c r="P752" s="160">
        <v>-17362.821098454999</v>
      </c>
      <c r="Q752" s="160">
        <v>-17362.821098454999</v>
      </c>
      <c r="R752" s="160">
        <v>-17362.821098454999</v>
      </c>
      <c r="S752" s="160">
        <v>-17362.821098454999</v>
      </c>
      <c r="T752" s="160">
        <v>-18984.988479109608</v>
      </c>
      <c r="U752" s="160">
        <v>-18984.988479109608</v>
      </c>
      <c r="V752" s="160">
        <v>-18984.988479109608</v>
      </c>
      <c r="W752" s="160">
        <v>-18984.988479109608</v>
      </c>
      <c r="X752" s="160">
        <v>-18984.988479109608</v>
      </c>
      <c r="Y752" s="160">
        <v>-18984.988479109608</v>
      </c>
      <c r="Z752" s="160">
        <v>-18984.988479109608</v>
      </c>
    </row>
    <row r="753" spans="1:26" x14ac:dyDescent="0.2">
      <c r="A753" t="s">
        <v>271</v>
      </c>
      <c r="C753" s="160">
        <v>11139.885065721423</v>
      </c>
      <c r="D753" s="160">
        <v>9728.7077066426264</v>
      </c>
      <c r="E753" s="160">
        <v>11139.885065721423</v>
      </c>
      <c r="F753" s="160">
        <v>10434.296386182026</v>
      </c>
      <c r="G753" s="160">
        <v>11139.885065721423</v>
      </c>
      <c r="H753" s="160">
        <v>99286.637348526929</v>
      </c>
      <c r="I753" s="160">
        <v>98493.621143839133</v>
      </c>
      <c r="J753" s="160">
        <v>98492.466954001546</v>
      </c>
      <c r="K753" s="160">
        <v>98492.466954001546</v>
      </c>
      <c r="L753" s="160">
        <v>98492.46695400156</v>
      </c>
      <c r="M753" s="160">
        <v>98492.466954001546</v>
      </c>
      <c r="N753" s="160">
        <v>98492.46695400156</v>
      </c>
      <c r="O753" s="160">
        <v>88096.015142006101</v>
      </c>
      <c r="P753" s="160">
        <v>88096.015142006116</v>
      </c>
      <c r="Q753" s="160">
        <v>88096.015142006101</v>
      </c>
      <c r="R753" s="160">
        <v>88084.887198255019</v>
      </c>
      <c r="S753" s="160">
        <v>88096.015142006101</v>
      </c>
      <c r="T753" s="113">
        <v>113966.00081863163</v>
      </c>
      <c r="U753" s="113">
        <v>113966.38285003763</v>
      </c>
      <c r="V753" s="113">
        <v>113966.38285003763</v>
      </c>
      <c r="W753" s="113">
        <v>113966.38285003765</v>
      </c>
      <c r="X753" s="113">
        <v>113966.38285003763</v>
      </c>
      <c r="Y753" s="113">
        <v>113966.38285003765</v>
      </c>
      <c r="Z753" s="113">
        <v>113966.38285003763</v>
      </c>
    </row>
    <row r="754" spans="1:26" x14ac:dyDescent="0.2">
      <c r="A754" s="54" t="s">
        <v>239</v>
      </c>
      <c r="C754" s="175"/>
      <c r="D754" s="175"/>
      <c r="E754" s="175"/>
      <c r="F754" s="175"/>
      <c r="G754" s="175"/>
      <c r="H754" s="175"/>
      <c r="I754" s="175"/>
      <c r="J754" s="175"/>
      <c r="K754" s="175"/>
      <c r="L754" s="175"/>
      <c r="M754" s="175"/>
      <c r="N754" s="175"/>
      <c r="O754" s="175"/>
      <c r="P754" s="175"/>
      <c r="Q754" s="175"/>
      <c r="R754" s="175"/>
      <c r="S754" s="175"/>
      <c r="T754" s="232"/>
      <c r="U754" s="232"/>
      <c r="V754" s="232"/>
      <c r="W754" s="232"/>
      <c r="X754" s="232"/>
      <c r="Y754" s="232"/>
      <c r="Z754" s="232"/>
    </row>
    <row r="755" spans="1:26" x14ac:dyDescent="0.2">
      <c r="A755" s="54" t="s">
        <v>364</v>
      </c>
      <c r="C755" s="160">
        <v>-5357.3923794046241</v>
      </c>
      <c r="D755" s="160">
        <v>-5198.8338295812846</v>
      </c>
      <c r="E755" s="160">
        <v>-5357.3923794046241</v>
      </c>
      <c r="F755" s="160">
        <v>-5278.1131044929543</v>
      </c>
      <c r="G755" s="160">
        <v>-5357.3923794046241</v>
      </c>
      <c r="H755" s="160">
        <v>-3068.7586229726326</v>
      </c>
      <c r="I755" s="160">
        <v>-3068.7586229726321</v>
      </c>
      <c r="J755" s="160">
        <v>-3068.7586229726321</v>
      </c>
      <c r="K755" s="160">
        <v>-3068.7586229726326</v>
      </c>
      <c r="L755" s="160">
        <v>-6466.730813448823</v>
      </c>
      <c r="M755" s="160">
        <v>-6466.730813448823</v>
      </c>
      <c r="N755" s="160">
        <v>-6466.730813448823</v>
      </c>
      <c r="O755" s="160">
        <v>-6319.8941924196952</v>
      </c>
      <c r="P755" s="160">
        <v>-6319.8941924196952</v>
      </c>
      <c r="Q755" s="160">
        <v>-6319.8941924196952</v>
      </c>
      <c r="R755" s="160">
        <v>-6319.5733718990487</v>
      </c>
      <c r="S755" s="160">
        <v>-6319.8941924196952</v>
      </c>
      <c r="T755" s="160">
        <v>-3768.386871427595</v>
      </c>
      <c r="U755" s="160">
        <v>-3768.3868714275945</v>
      </c>
      <c r="V755" s="160">
        <v>-3768.3868714275945</v>
      </c>
      <c r="W755" s="160">
        <v>-3768.386871427595</v>
      </c>
      <c r="X755" s="160">
        <v>-6273.3537285704515</v>
      </c>
      <c r="Y755" s="160">
        <v>-6273.3537285704524</v>
      </c>
      <c r="Z755" s="160">
        <v>-6273.3537285704515</v>
      </c>
    </row>
    <row r="756" spans="1:26" x14ac:dyDescent="0.2">
      <c r="A756" s="54" t="s">
        <v>649</v>
      </c>
      <c r="C756" s="63">
        <v>-14828.17</v>
      </c>
      <c r="D756" s="63">
        <v>-14828.17</v>
      </c>
      <c r="E756" s="63">
        <v>-14828.17</v>
      </c>
      <c r="F756" s="63">
        <v>-14828.17</v>
      </c>
      <c r="G756" s="63">
        <v>-14828.17</v>
      </c>
      <c r="H756" s="63">
        <v>-11444.26</v>
      </c>
      <c r="I756" s="63">
        <v>-11444.26</v>
      </c>
      <c r="J756" s="63">
        <v>-11444.26</v>
      </c>
      <c r="K756" s="63">
        <v>-11444.26</v>
      </c>
      <c r="L756" s="63">
        <v>-11444.26</v>
      </c>
      <c r="M756" s="63">
        <v>-11444.26</v>
      </c>
      <c r="N756" s="63">
        <v>-11444.26</v>
      </c>
      <c r="O756" s="63">
        <v>-11371.75</v>
      </c>
      <c r="P756" s="63">
        <v>-11371.75</v>
      </c>
      <c r="Q756" s="63">
        <v>-11371.75</v>
      </c>
      <c r="R756" s="63">
        <v>-11371.75</v>
      </c>
      <c r="S756" s="63">
        <v>-11371.75</v>
      </c>
      <c r="T756" s="63">
        <v>-11794.96</v>
      </c>
      <c r="U756" s="63">
        <v>-11795.84</v>
      </c>
      <c r="V756" s="63">
        <v>-11795.84</v>
      </c>
      <c r="W756" s="63">
        <v>-11795.84</v>
      </c>
      <c r="X756" s="63">
        <v>-11795.84</v>
      </c>
      <c r="Y756" s="63">
        <v>-11795.84</v>
      </c>
      <c r="Z756" s="63">
        <v>-11795.84</v>
      </c>
    </row>
    <row r="757" spans="1:26" x14ac:dyDescent="0.2">
      <c r="A757" s="14" t="s">
        <v>64</v>
      </c>
    </row>
    <row r="758" spans="1:26" x14ac:dyDescent="0.2">
      <c r="A758" s="54" t="s">
        <v>136</v>
      </c>
    </row>
    <row r="759" spans="1:26" x14ac:dyDescent="0.2">
      <c r="A759" s="54"/>
    </row>
    <row r="760" spans="1:26" x14ac:dyDescent="0.2">
      <c r="A760" s="54"/>
    </row>
    <row r="761" spans="1:26" x14ac:dyDescent="0.2">
      <c r="A761" s="14"/>
    </row>
    <row r="763" spans="1:26" x14ac:dyDescent="0.2">
      <c r="A763" s="14" t="s">
        <v>148</v>
      </c>
      <c r="C763" s="33">
        <v>45307</v>
      </c>
      <c r="D763" s="33">
        <v>45338</v>
      </c>
      <c r="E763" s="33">
        <v>45366</v>
      </c>
      <c r="F763" s="33">
        <v>45397</v>
      </c>
      <c r="G763" s="33">
        <v>45427</v>
      </c>
      <c r="H763" s="33">
        <v>45458</v>
      </c>
      <c r="I763" s="33">
        <v>45488</v>
      </c>
      <c r="J763" s="33">
        <v>45519</v>
      </c>
      <c r="K763" s="33">
        <v>45550</v>
      </c>
      <c r="L763" s="33">
        <v>45580</v>
      </c>
      <c r="M763" s="33">
        <v>45611</v>
      </c>
      <c r="N763" s="33">
        <v>45641</v>
      </c>
      <c r="O763" s="33">
        <f t="shared" ref="O763:Z763" si="422">+O$2</f>
        <v>45673</v>
      </c>
      <c r="P763" s="33">
        <f t="shared" si="422"/>
        <v>45704</v>
      </c>
      <c r="Q763" s="33">
        <f t="shared" si="422"/>
        <v>45732</v>
      </c>
      <c r="R763" s="33">
        <f t="shared" si="422"/>
        <v>45763</v>
      </c>
      <c r="S763" s="33">
        <f t="shared" si="422"/>
        <v>45793</v>
      </c>
      <c r="T763" s="33">
        <f t="shared" si="422"/>
        <v>45824</v>
      </c>
      <c r="U763" s="33">
        <f t="shared" si="422"/>
        <v>45854</v>
      </c>
      <c r="V763" s="33">
        <f t="shared" si="422"/>
        <v>45885</v>
      </c>
      <c r="W763" s="33">
        <f t="shared" si="422"/>
        <v>45916</v>
      </c>
      <c r="X763" s="33">
        <f t="shared" si="422"/>
        <v>45946</v>
      </c>
      <c r="Y763" s="33">
        <f t="shared" si="422"/>
        <v>45977</v>
      </c>
      <c r="Z763" s="33">
        <f t="shared" si="422"/>
        <v>46007</v>
      </c>
    </row>
    <row r="764" spans="1:26" x14ac:dyDescent="0.2">
      <c r="A764" t="s">
        <v>77</v>
      </c>
      <c r="C764" s="215">
        <v>-1.354015824236143E-2</v>
      </c>
      <c r="D764" s="215">
        <v>-2.8797450697152496E-3</v>
      </c>
      <c r="E764" s="215">
        <v>3.6479441039105018E-4</v>
      </c>
      <c r="F764" s="215">
        <v>-9.5325273823427294E-3</v>
      </c>
      <c r="G764" s="215">
        <v>5.6284909704405828E-3</v>
      </c>
      <c r="H764" s="215">
        <v>-7.1434973086676214E-3</v>
      </c>
      <c r="I764" s="215">
        <v>6.3750186330518788E-3</v>
      </c>
      <c r="J764" s="215">
        <v>1.569146170301822E-2</v>
      </c>
      <c r="K764" s="215">
        <v>-1.136371558641652E-3</v>
      </c>
      <c r="L764" s="215">
        <v>-6.5854685187448326E-4</v>
      </c>
      <c r="M764" s="215">
        <v>2.5687323681308932E-3</v>
      </c>
      <c r="N764" s="215">
        <v>-4.0830406583539274E-3</v>
      </c>
      <c r="O764" s="231">
        <v>9.8417160633046293E-3</v>
      </c>
      <c r="P764" s="231">
        <v>2.9914946646815558E-3</v>
      </c>
      <c r="Q764" s="231">
        <v>2.4353165006549245E-3</v>
      </c>
      <c r="R764" s="231">
        <v>1.8899448067427899E-3</v>
      </c>
      <c r="S764" s="231">
        <v>5.5323032536321818E-3</v>
      </c>
      <c r="T764" s="231">
        <v>7.0366116891742245E-3</v>
      </c>
      <c r="U764" s="231">
        <v>-2.3436067494136347E-3</v>
      </c>
      <c r="V764" s="231">
        <v>4.2993927200924032E-3</v>
      </c>
      <c r="W764" s="231">
        <v>6.1168768265036158E-3</v>
      </c>
      <c r="X764" s="231">
        <v>2.16255768495584E-2</v>
      </c>
      <c r="Y764" s="231">
        <v>4.5979993952420363E-3</v>
      </c>
      <c r="Z764" s="231">
        <v>2.299851910302248E-3</v>
      </c>
    </row>
    <row r="765" spans="1:26" x14ac:dyDescent="0.2">
      <c r="A765" t="s">
        <v>137</v>
      </c>
      <c r="C765" s="215">
        <v>-1.1309805507183784E-2</v>
      </c>
      <c r="D765" s="215">
        <v>1.6544548910161727E-4</v>
      </c>
      <c r="E765" s="215">
        <v>-1.7117183562586824E-3</v>
      </c>
      <c r="F765" s="215">
        <v>-1.0518242576969431E-2</v>
      </c>
      <c r="G765" s="215">
        <v>1.1304430199880009E-2</v>
      </c>
      <c r="H765" s="215">
        <v>2.6728384315251566E-3</v>
      </c>
      <c r="I765" s="215">
        <v>7.4568456025642374E-3</v>
      </c>
      <c r="J765" s="215">
        <v>1.1170192924381296E-2</v>
      </c>
      <c r="K765" s="215">
        <v>2.4801704840755672E-3</v>
      </c>
      <c r="L765" s="215">
        <v>1.7200284522239739E-3</v>
      </c>
      <c r="M765" s="215">
        <v>-4.6182880735314724E-4</v>
      </c>
      <c r="N765" s="215">
        <v>-4.8376058963729741E-3</v>
      </c>
      <c r="O765" s="231">
        <v>6.7638131193484058E-3</v>
      </c>
      <c r="P765" s="231">
        <v>7.5428652276565743E-3</v>
      </c>
      <c r="Q765" s="231">
        <v>3.6066884896268124E-3</v>
      </c>
      <c r="R765" s="231">
        <v>3.3015640850220605E-3</v>
      </c>
      <c r="S765" s="231">
        <v>5.7224649582565479E-3</v>
      </c>
      <c r="T765" s="231">
        <v>8.2479188873193186E-3</v>
      </c>
      <c r="U765" s="231">
        <v>8.1182387767691211E-3</v>
      </c>
      <c r="V765" s="231">
        <v>1.2450450644007341E-2</v>
      </c>
      <c r="W765" s="231">
        <v>1.3719616644777714E-2</v>
      </c>
      <c r="X765" s="231">
        <v>2.1138236843547518E-2</v>
      </c>
      <c r="Y765" s="231">
        <v>7.2393337256574861E-3</v>
      </c>
      <c r="Z765" s="231">
        <v>4.0055732384920561E-3</v>
      </c>
    </row>
    <row r="766" spans="1:26" x14ac:dyDescent="0.2">
      <c r="A766" t="s">
        <v>138</v>
      </c>
      <c r="C766" s="215">
        <v>7.2478396053691177E-2</v>
      </c>
      <c r="D766" s="215">
        <v>4.9913514652911668E-2</v>
      </c>
      <c r="E766" s="215">
        <v>6.5577786416866818E-2</v>
      </c>
      <c r="F766" s="215">
        <v>6.4865376724219548E-2</v>
      </c>
      <c r="G766" s="215">
        <v>2.5054477924364243E-2</v>
      </c>
      <c r="H766" s="215">
        <v>5.8827095733407844E-2</v>
      </c>
      <c r="I766" s="215">
        <v>6.9186007698308252E-2</v>
      </c>
      <c r="J766" s="215">
        <v>5.8666144104979889E-2</v>
      </c>
      <c r="K766" s="215">
        <v>6.3887785051485305E-2</v>
      </c>
      <c r="L766" s="215">
        <v>7.2679470989992806E-2</v>
      </c>
      <c r="M766" s="215">
        <v>7.1293589585667977E-2</v>
      </c>
      <c r="N766" s="215">
        <v>7.4784698783733228E-2</v>
      </c>
      <c r="O766" s="231">
        <v>4.8036529697845429E-2</v>
      </c>
      <c r="P766" s="231">
        <v>1.1099090189417826E-2</v>
      </c>
      <c r="Q766" s="231">
        <v>1.3864224035544518E-2</v>
      </c>
      <c r="R766" s="231">
        <v>2.7970375039394883E-3</v>
      </c>
      <c r="S766" s="231">
        <v>-1.6812804522013838E-3</v>
      </c>
      <c r="T766" s="231">
        <v>4.5655302191720107E-2</v>
      </c>
      <c r="U766" s="231">
        <v>3.9447002225530214E-2</v>
      </c>
      <c r="V766" s="231">
        <v>3.2994299765284459E-2</v>
      </c>
      <c r="W766" s="231">
        <v>4.8173199926326002E-2</v>
      </c>
      <c r="X766" s="231">
        <v>1.8436642592326458E-2</v>
      </c>
      <c r="Y766" s="231">
        <v>4.9492363630420116E-2</v>
      </c>
      <c r="Z766" s="231">
        <v>5.8292952876968125E-2</v>
      </c>
    </row>
    <row r="767" spans="1:26" x14ac:dyDescent="0.2">
      <c r="A767" t="s">
        <v>139</v>
      </c>
      <c r="C767" s="215">
        <v>7.3572317970254042E-2</v>
      </c>
      <c r="D767" s="215">
        <v>3.2481560286573286E-2</v>
      </c>
      <c r="E767" s="215">
        <v>6.4682671386952842E-2</v>
      </c>
      <c r="F767" s="215">
        <v>6.2856322468764519E-2</v>
      </c>
      <c r="G767" s="215">
        <v>7.5332795027133349E-3</v>
      </c>
      <c r="H767" s="215">
        <v>4.1212232929506022E-2</v>
      </c>
      <c r="I767" s="215">
        <v>7.3367800057503693E-2</v>
      </c>
      <c r="J767" s="215">
        <v>6.8117359825088958E-2</v>
      </c>
      <c r="K767" s="215">
        <v>6.6230030283355529E-2</v>
      </c>
      <c r="L767" s="215">
        <v>7.1977055194818701E-2</v>
      </c>
      <c r="M767" s="215">
        <v>7.8514369647082943E-2</v>
      </c>
      <c r="N767" s="215">
        <v>8.0508774551833168E-2</v>
      </c>
      <c r="O767" s="231">
        <v>4.7804707956788088E-2</v>
      </c>
      <c r="P767" s="231">
        <v>5.3546866973697618E-3</v>
      </c>
      <c r="Q767" s="231">
        <v>1.0879066128813725E-2</v>
      </c>
      <c r="R767" s="231">
        <v>5.0307862888957101E-3</v>
      </c>
      <c r="S767" s="231">
        <v>-2.9987709063990153E-3</v>
      </c>
      <c r="T767" s="231">
        <v>1.434188153978364E-2</v>
      </c>
      <c r="U767" s="231">
        <v>7.9879956720813119E-3</v>
      </c>
      <c r="V767" s="231">
        <v>9.6681670229565285E-4</v>
      </c>
      <c r="W767" s="231">
        <v>2.3209536761104703E-2</v>
      </c>
      <c r="X767" s="231">
        <v>-1.2124370992330454E-3</v>
      </c>
      <c r="Y767" s="231">
        <v>3.3102891351150153E-2</v>
      </c>
      <c r="Z767" s="231">
        <v>3.7365005892321806E-2</v>
      </c>
    </row>
    <row r="768" spans="1:26" x14ac:dyDescent="0.2">
      <c r="A768" t="s">
        <v>140</v>
      </c>
      <c r="C768" s="215">
        <v>-1.6990650628166563E-2</v>
      </c>
      <c r="D768" s="215">
        <v>-1.1230695788566575E-2</v>
      </c>
      <c r="E768" s="215">
        <v>-7.8523993886365218E-3</v>
      </c>
      <c r="F768" s="215">
        <v>6.972633439601022E-3</v>
      </c>
      <c r="G768" s="215">
        <v>3.2633081786661235E-3</v>
      </c>
      <c r="H768" s="215">
        <v>-6.9747947892009315E-3</v>
      </c>
      <c r="I768" s="215">
        <v>-1.4864374244961303E-2</v>
      </c>
      <c r="J768" s="215">
        <v>-1.1853899315770791E-2</v>
      </c>
      <c r="K768" s="215">
        <v>-8.3199129943739153E-3</v>
      </c>
      <c r="L768" s="215">
        <v>-1.1687509335071353E-2</v>
      </c>
      <c r="M768" s="215">
        <v>-1.1820675441416378E-2</v>
      </c>
      <c r="N768" s="215">
        <v>-1.0532019341800149E-2</v>
      </c>
      <c r="O768" s="231">
        <v>-4.6127561025507916E-3</v>
      </c>
      <c r="P768" s="231">
        <v>-1.0917880553672224E-2</v>
      </c>
      <c r="Q768" s="231">
        <v>6.7607462723708669E-3</v>
      </c>
      <c r="R768" s="231">
        <v>4.283942236983522E-3</v>
      </c>
      <c r="S768" s="231">
        <v>5.8840318019525405E-3</v>
      </c>
      <c r="T768" s="231">
        <v>-1.0391991365950853E-2</v>
      </c>
      <c r="U768" s="231">
        <v>-9.2495070550440317E-4</v>
      </c>
      <c r="V768" s="231">
        <v>1.7510524943183858E-3</v>
      </c>
      <c r="W768" s="231">
        <v>-1.3093789729005188E-2</v>
      </c>
      <c r="X768" s="231">
        <v>-1.1427562348596067E-2</v>
      </c>
      <c r="Y768" s="231">
        <v>-7.3920332423719872E-3</v>
      </c>
      <c r="Z768" s="231">
        <v>-6.9870571948421525E-3</v>
      </c>
    </row>
    <row r="769" spans="1:26" x14ac:dyDescent="0.2">
      <c r="A769" t="s">
        <v>141</v>
      </c>
      <c r="C769" s="215">
        <v>-1.4457161498417134E-2</v>
      </c>
      <c r="D769" s="215">
        <v>-9.3273284757452828E-3</v>
      </c>
      <c r="E769" s="215">
        <v>-6.9605782350555014E-3</v>
      </c>
      <c r="F769" s="215">
        <v>6.5285643581189561E-3</v>
      </c>
      <c r="G769" s="215">
        <v>4.7590478295584243E-3</v>
      </c>
      <c r="H769" s="215">
        <v>-3.8027356484278728E-3</v>
      </c>
      <c r="I769" s="215">
        <v>-1.2081101515328995E-2</v>
      </c>
      <c r="J769" s="215">
        <v>-1.1876527433334417E-2</v>
      </c>
      <c r="K769" s="215">
        <v>-6.3852542016773536E-3</v>
      </c>
      <c r="L769" s="215">
        <v>-5.3015145401679687E-3</v>
      </c>
      <c r="M769" s="215">
        <v>-8.2764583633550999E-3</v>
      </c>
      <c r="N769" s="215">
        <v>-7.9167180143353954E-3</v>
      </c>
      <c r="O769" s="231">
        <v>-1.5595738815567264E-3</v>
      </c>
      <c r="P769" s="231">
        <v>-9.9175453813917895E-3</v>
      </c>
      <c r="Q769" s="231">
        <v>8.2338698751371134E-3</v>
      </c>
      <c r="R769" s="231">
        <v>3.0904244025572653E-3</v>
      </c>
      <c r="S769" s="231">
        <v>5.7170500595451002E-3</v>
      </c>
      <c r="T769" s="231">
        <v>1.1645747964990857E-3</v>
      </c>
      <c r="U769" s="231">
        <v>3.0484328960071827E-3</v>
      </c>
      <c r="V769" s="231">
        <v>5.6193535218983966E-3</v>
      </c>
      <c r="W769" s="231">
        <v>-2.8932811914065778E-3</v>
      </c>
      <c r="X769" s="231">
        <v>2.419281776421684E-3</v>
      </c>
      <c r="Y769" s="231">
        <v>-4.9563498140403027E-3</v>
      </c>
      <c r="Z769" s="231">
        <v>-4.1766163395337685E-3</v>
      </c>
    </row>
    <row r="770" spans="1:26" x14ac:dyDescent="0.2">
      <c r="A770" t="s">
        <v>78</v>
      </c>
      <c r="C770" s="215">
        <v>1.2864865645662778E-2</v>
      </c>
      <c r="D770" s="215">
        <v>1.0582830643711369E-2</v>
      </c>
      <c r="E770" s="215">
        <v>2.2180565244944803E-2</v>
      </c>
      <c r="F770" s="215">
        <v>3.866670875288028E-2</v>
      </c>
      <c r="G770" s="215">
        <v>1.7880209395608131E-2</v>
      </c>
      <c r="H770" s="215">
        <v>1.9848905806002643E-2</v>
      </c>
      <c r="I770" s="215">
        <v>2.0041390524075733E-2</v>
      </c>
      <c r="J770" s="215">
        <v>1.4471864608392443E-2</v>
      </c>
      <c r="K770" s="215">
        <v>2.4866319480754885E-2</v>
      </c>
      <c r="L770" s="215">
        <v>2.3926636522872621E-2</v>
      </c>
      <c r="M770" s="215">
        <v>2.6994222605445713E-2</v>
      </c>
      <c r="N770" s="215">
        <v>3.147878830418567E-2</v>
      </c>
      <c r="O770" s="231">
        <v>2.3003423415025655E-2</v>
      </c>
      <c r="P770" s="231">
        <v>3.585800842931937E-3</v>
      </c>
      <c r="Q770" s="231">
        <v>2.758140155688326E-2</v>
      </c>
      <c r="R770" s="231">
        <v>2.4206647433877196E-2</v>
      </c>
      <c r="S770" s="231">
        <v>2.1297118622722253E-2</v>
      </c>
      <c r="T770" s="231">
        <v>2.1293862076599491E-2</v>
      </c>
      <c r="U770" s="231">
        <v>1.7120006569702726E-2</v>
      </c>
      <c r="V770" s="231">
        <v>1.9941507395402559E-2</v>
      </c>
      <c r="W770" s="231">
        <v>1.1436802860206893E-2</v>
      </c>
      <c r="X770" s="231">
        <v>2.1885763827247117E-2</v>
      </c>
      <c r="Y770" s="231">
        <v>2.2731916139236998E-2</v>
      </c>
      <c r="Z770" s="231">
        <v>2.2308302331532002E-2</v>
      </c>
    </row>
    <row r="771" spans="1:26" x14ac:dyDescent="0.2">
      <c r="A771" t="s">
        <v>142</v>
      </c>
      <c r="C771" s="215">
        <v>1.328322068708849E-2</v>
      </c>
      <c r="D771" s="215">
        <v>8.5855359959208181E-3</v>
      </c>
      <c r="E771" s="215">
        <v>2.2135560718368551E-2</v>
      </c>
      <c r="F771" s="215">
        <v>4.1778278166712632E-2</v>
      </c>
      <c r="G771" s="215">
        <v>2.1499167730498057E-2</v>
      </c>
      <c r="H771" s="215">
        <v>1.5524992575448803E-2</v>
      </c>
      <c r="I771" s="215">
        <v>2.5676999584695492E-2</v>
      </c>
      <c r="J771" s="215">
        <v>1.846336747082911E-2</v>
      </c>
      <c r="K771" s="215">
        <v>2.4015001082112599E-2</v>
      </c>
      <c r="L771" s="215">
        <v>2.8712204090631147E-2</v>
      </c>
      <c r="M771" s="215">
        <v>3.5552137173572973E-2</v>
      </c>
      <c r="N771" s="215">
        <v>3.3818667128140183E-2</v>
      </c>
      <c r="O771" s="231">
        <v>2.3982486093657277E-2</v>
      </c>
      <c r="P771" s="231">
        <v>2.6126305008935088E-4</v>
      </c>
      <c r="Q771" s="231">
        <v>2.2754587847612168E-2</v>
      </c>
      <c r="R771" s="231">
        <v>2.0452239967916199E-2</v>
      </c>
      <c r="S771" s="231">
        <v>1.9557531166002073E-2</v>
      </c>
      <c r="T771" s="231">
        <v>2.3988581081330271E-2</v>
      </c>
      <c r="U771" s="231">
        <v>9.0857589830213945E-3</v>
      </c>
      <c r="V771" s="231">
        <v>1.2674966967095993E-2</v>
      </c>
      <c r="W771" s="231">
        <v>1.0064779120817166E-2</v>
      </c>
      <c r="X771" s="231">
        <v>1.7791731492158864E-2</v>
      </c>
      <c r="Y771" s="231">
        <v>1.8946289042250122E-2</v>
      </c>
      <c r="Z771" s="231">
        <v>1.5239412857129779E-2</v>
      </c>
    </row>
    <row r="772" spans="1:26" x14ac:dyDescent="0.2">
      <c r="A772" t="s">
        <v>79</v>
      </c>
      <c r="C772" s="215">
        <v>-2.218173676589014E-2</v>
      </c>
      <c r="D772" s="215">
        <v>-1.2279989336573692E-2</v>
      </c>
      <c r="E772" s="215">
        <v>-7.7139372766632753E-3</v>
      </c>
      <c r="F772" s="215">
        <v>-2.087055332849342E-2</v>
      </c>
      <c r="G772" s="215">
        <v>-4.5872380318530363E-3</v>
      </c>
      <c r="H772" s="215">
        <v>-1.8024809814269072E-2</v>
      </c>
      <c r="I772" s="215">
        <v>-7.6251478069698144E-3</v>
      </c>
      <c r="J772" s="215">
        <v>5.7069236845068189E-4</v>
      </c>
      <c r="K772" s="215">
        <v>-8.3394334874057965E-3</v>
      </c>
      <c r="L772" s="215">
        <v>-1.2554822328132851E-2</v>
      </c>
      <c r="M772" s="215">
        <v>-8.8643799440587187E-3</v>
      </c>
      <c r="N772" s="215">
        <v>-2.0444306726231692E-2</v>
      </c>
      <c r="O772" s="231">
        <v>-1.0442479733716733E-2</v>
      </c>
      <c r="P772" s="231">
        <v>-5.7127105506239095E-3</v>
      </c>
      <c r="Q772" s="231">
        <v>-6.5661924228062277E-3</v>
      </c>
      <c r="R772" s="231">
        <v>-6.3940944022885422E-3</v>
      </c>
      <c r="S772" s="231">
        <v>-3.2744038769465017E-4</v>
      </c>
      <c r="T772" s="231">
        <v>-3.9088443657294674E-3</v>
      </c>
      <c r="U772" s="231">
        <v>-1.4421192679126497E-2</v>
      </c>
      <c r="V772" s="231">
        <v>-6.1100555120897236E-3</v>
      </c>
      <c r="W772" s="231">
        <v>-2.5258069715706198E-3</v>
      </c>
      <c r="X772" s="231">
        <v>1.1802344312848075E-2</v>
      </c>
      <c r="Y772" s="231">
        <v>-8.9886240121605319E-3</v>
      </c>
      <c r="Z772" s="231">
        <v>-1.2705996158620432E-2</v>
      </c>
    </row>
    <row r="773" spans="1:26" x14ac:dyDescent="0.2">
      <c r="A773" t="s">
        <v>80</v>
      </c>
      <c r="C773" s="215">
        <v>-2.1647836135322524E-2</v>
      </c>
      <c r="D773" s="215">
        <v>-8.4485688287137418E-3</v>
      </c>
      <c r="E773" s="215">
        <v>-1.090644245307372E-2</v>
      </c>
      <c r="F773" s="215">
        <v>-2.1232946581382261E-2</v>
      </c>
      <c r="G773" s="215">
        <v>-6.7664187150119832E-5</v>
      </c>
      <c r="H773" s="215">
        <v>-8.0970277900097969E-3</v>
      </c>
      <c r="I773" s="215">
        <v>-8.4764714025578475E-3</v>
      </c>
      <c r="J773" s="215">
        <v>-4.5292045855188194E-3</v>
      </c>
      <c r="K773" s="215">
        <v>-9.261936017920417E-3</v>
      </c>
      <c r="L773" s="215">
        <v>-1.2140031530388557E-2</v>
      </c>
      <c r="M773" s="215">
        <v>-1.4047582256745565E-2</v>
      </c>
      <c r="N773" s="215">
        <v>-2.1167475556324679E-2</v>
      </c>
      <c r="O773" s="231">
        <v>-1.4096626374984364E-2</v>
      </c>
      <c r="P773" s="231">
        <v>-1.687357360423229E-3</v>
      </c>
      <c r="Q773" s="231">
        <v>-6.8167614319241624E-3</v>
      </c>
      <c r="R773" s="231">
        <v>-4.9140107103257955E-3</v>
      </c>
      <c r="S773" s="231">
        <v>-1.9493635361207769E-5</v>
      </c>
      <c r="T773" s="231">
        <v>9.9583593049809251E-5</v>
      </c>
      <c r="U773" s="231">
        <v>-1.0932978330650761E-3</v>
      </c>
      <c r="V773" s="231">
        <v>4.4065356809075175E-3</v>
      </c>
      <c r="W773" s="231">
        <v>7.4257016359833223E-3</v>
      </c>
      <c r="X773" s="231">
        <v>1.1852579280971116E-2</v>
      </c>
      <c r="Y773" s="231">
        <v>-5.0967371838109097E-3</v>
      </c>
      <c r="Z773" s="231">
        <v>-7.8129775978036456E-3</v>
      </c>
    </row>
    <row r="774" spans="1:26" x14ac:dyDescent="0.2">
      <c r="A774" t="s">
        <v>81</v>
      </c>
      <c r="C774" s="215">
        <v>3.0512752918744609E-2</v>
      </c>
      <c r="D774" s="215">
        <v>2.2847320814140201E-2</v>
      </c>
      <c r="E774" s="215">
        <v>1.0653594423172168E-2</v>
      </c>
      <c r="F774" s="215">
        <v>-1.3430762917837189E-2</v>
      </c>
      <c r="G774" s="215">
        <v>8.5661839689985721E-3</v>
      </c>
      <c r="H774" s="215">
        <v>1.6335148642735511E-2</v>
      </c>
      <c r="I774" s="215">
        <v>1.8423630093453328E-2</v>
      </c>
      <c r="J774" s="215">
        <v>1.7135382153315129E-2</v>
      </c>
      <c r="K774" s="215">
        <v>7.9755157244542994E-3</v>
      </c>
      <c r="L774" s="215">
        <v>1.3435713606800006E-2</v>
      </c>
      <c r="M774" s="215">
        <v>1.2905251330182756E-2</v>
      </c>
      <c r="N774" s="215">
        <v>1.593413036797869E-2</v>
      </c>
      <c r="O774" s="231">
        <v>2.1255874887775521E-2</v>
      </c>
      <c r="P774" s="231">
        <v>4.4929239940753679E-2</v>
      </c>
      <c r="Q774" s="231">
        <v>1.5506620486520344E-2</v>
      </c>
      <c r="R774" s="231">
        <v>2.1381326415993909E-2</v>
      </c>
      <c r="S774" s="231">
        <v>2.6781745116607695E-2</v>
      </c>
      <c r="T774" s="231">
        <v>2.8570539074607042E-2</v>
      </c>
      <c r="U774" s="231">
        <v>1.7135214214890095E-2</v>
      </c>
      <c r="V774" s="231">
        <v>1.5066502738348052E-2</v>
      </c>
      <c r="W774" s="231">
        <v>2.756667166158373E-2</v>
      </c>
      <c r="X774" s="231">
        <v>2.7240731191158531E-2</v>
      </c>
      <c r="Y774" s="231">
        <v>2.5156705866969616E-2</v>
      </c>
      <c r="Z774" s="231">
        <v>2.6953062876103228E-2</v>
      </c>
    </row>
    <row r="775" spans="1:26" x14ac:dyDescent="0.2">
      <c r="A775" t="s">
        <v>143</v>
      </c>
      <c r="C775" s="215">
        <v>2.6281571196868265E-2</v>
      </c>
      <c r="D775" s="215">
        <v>3.3373881039268888E-2</v>
      </c>
      <c r="E775" s="215">
        <v>6.0724514757040477E-3</v>
      </c>
      <c r="F775" s="215">
        <v>-9.1165658542482902E-3</v>
      </c>
      <c r="G775" s="215">
        <v>1.266673583450242E-2</v>
      </c>
      <c r="H775" s="215">
        <v>1.7743823968158066E-2</v>
      </c>
      <c r="I775" s="215">
        <v>1.3883416571714569E-2</v>
      </c>
      <c r="J775" s="215">
        <v>1.978819591096094E-2</v>
      </c>
      <c r="K775" s="215">
        <v>6.3694569374475717E-3</v>
      </c>
      <c r="L775" s="215">
        <v>4.4570991210592216E-3</v>
      </c>
      <c r="M775" s="215">
        <v>6.6322783612369381E-3</v>
      </c>
      <c r="N775" s="215">
        <v>1.0799179486103793E-2</v>
      </c>
      <c r="O775" s="231">
        <v>1.7214531779721674E-2</v>
      </c>
      <c r="P775" s="231">
        <v>4.4157474896640285E-2</v>
      </c>
      <c r="Q775" s="231">
        <v>1.5014575348213158E-2</v>
      </c>
      <c r="R775" s="231">
        <v>2.1210691452971296E-2</v>
      </c>
      <c r="S775" s="231">
        <v>2.5575649593903588E-2</v>
      </c>
      <c r="T775" s="231">
        <v>2.5366154118519217E-2</v>
      </c>
      <c r="U775" s="231">
        <v>2.5354239127997245E-2</v>
      </c>
      <c r="V775" s="231">
        <v>2.169858952185541E-2</v>
      </c>
      <c r="W775" s="231">
        <v>2.4807539314870997E-2</v>
      </c>
      <c r="X775" s="231">
        <v>2.2700759562762077E-2</v>
      </c>
      <c r="Y775" s="231">
        <v>2.4925890112960664E-2</v>
      </c>
      <c r="Z775" s="231">
        <v>2.9453320601846529E-2</v>
      </c>
    </row>
    <row r="776" spans="1:26" x14ac:dyDescent="0.2">
      <c r="A776" t="s">
        <v>262</v>
      </c>
      <c r="C776" s="215">
        <v>0</v>
      </c>
      <c r="D776" s="215">
        <v>0</v>
      </c>
      <c r="E776" s="215">
        <v>0</v>
      </c>
      <c r="F776" s="215">
        <v>0</v>
      </c>
      <c r="G776" s="215">
        <v>0</v>
      </c>
      <c r="H776" s="215">
        <v>0</v>
      </c>
      <c r="I776" s="215">
        <v>0</v>
      </c>
      <c r="J776" s="215">
        <v>0</v>
      </c>
      <c r="K776" s="215">
        <v>0</v>
      </c>
      <c r="L776" s="215">
        <v>0</v>
      </c>
      <c r="M776" s="215">
        <v>0</v>
      </c>
      <c r="N776" s="215">
        <v>0</v>
      </c>
      <c r="O776" s="231">
        <v>0</v>
      </c>
      <c r="P776" s="231">
        <v>0</v>
      </c>
      <c r="Q776" s="231">
        <v>0</v>
      </c>
      <c r="R776" s="231">
        <v>0</v>
      </c>
      <c r="S776" s="231">
        <v>0</v>
      </c>
      <c r="T776" s="231">
        <v>0</v>
      </c>
      <c r="U776" s="231">
        <v>0</v>
      </c>
      <c r="V776" s="231">
        <v>0</v>
      </c>
      <c r="W776" s="231">
        <v>0</v>
      </c>
      <c r="X776" s="231">
        <v>0</v>
      </c>
      <c r="Y776" s="231">
        <v>0</v>
      </c>
      <c r="Z776" s="231">
        <v>0</v>
      </c>
    </row>
    <row r="777" spans="1:26" x14ac:dyDescent="0.2">
      <c r="A777" t="s">
        <v>263</v>
      </c>
      <c r="C777" s="215">
        <v>0</v>
      </c>
      <c r="D777" s="215">
        <v>0</v>
      </c>
      <c r="E777" s="215">
        <v>0</v>
      </c>
      <c r="F777" s="215">
        <v>0</v>
      </c>
      <c r="G777" s="215">
        <v>0</v>
      </c>
      <c r="H777" s="215">
        <v>0</v>
      </c>
      <c r="I777" s="215">
        <v>0</v>
      </c>
      <c r="J777" s="215">
        <v>0</v>
      </c>
      <c r="K777" s="215">
        <v>0</v>
      </c>
      <c r="L777" s="215">
        <v>0</v>
      </c>
      <c r="M777" s="215">
        <v>0</v>
      </c>
      <c r="N777" s="215">
        <v>0</v>
      </c>
      <c r="O777" s="231">
        <v>0</v>
      </c>
      <c r="P777" s="231">
        <v>0</v>
      </c>
      <c r="Q777" s="231">
        <v>0</v>
      </c>
      <c r="R777" s="231">
        <v>0</v>
      </c>
      <c r="S777" s="231">
        <v>0</v>
      </c>
      <c r="T777" s="231">
        <v>0</v>
      </c>
      <c r="U777" s="231">
        <v>0</v>
      </c>
      <c r="V777" s="231">
        <v>0</v>
      </c>
      <c r="W777" s="231">
        <v>0</v>
      </c>
      <c r="X777" s="231">
        <v>0</v>
      </c>
      <c r="Y777" s="231">
        <v>0</v>
      </c>
      <c r="Z777" s="231">
        <v>0</v>
      </c>
    </row>
    <row r="778" spans="1:26" x14ac:dyDescent="0.2">
      <c r="A778" t="s">
        <v>327</v>
      </c>
      <c r="C778" s="215">
        <v>4.7035754395721449E-3</v>
      </c>
      <c r="D778" s="215">
        <v>5.5982988115239399E-3</v>
      </c>
      <c r="E778" s="215">
        <v>1.5475803745932677E-2</v>
      </c>
      <c r="F778" s="215">
        <v>3.3455383352798206E-2</v>
      </c>
      <c r="G778" s="215">
        <v>1.7364950209502954E-2</v>
      </c>
      <c r="H778" s="215">
        <v>1.4300174501668574E-2</v>
      </c>
      <c r="I778" s="215">
        <v>1.0112603076213983E-2</v>
      </c>
      <c r="J778" s="215">
        <v>8.0773597570775735E-3</v>
      </c>
      <c r="K778" s="215">
        <v>1.5432344062632898E-2</v>
      </c>
      <c r="L778" s="215">
        <v>1.4056920173258925E-2</v>
      </c>
      <c r="M778" s="215">
        <v>1.7462873555275815E-2</v>
      </c>
      <c r="N778" s="215">
        <v>2.0503369578522355E-2</v>
      </c>
      <c r="O778" s="231">
        <v>2.0159972467975892E-2</v>
      </c>
      <c r="P778" s="231">
        <v>3.8322766610435406E-3</v>
      </c>
      <c r="Q778" s="231">
        <v>2.8899164549573884E-2</v>
      </c>
      <c r="R778" s="231">
        <v>2.5025859212748598E-2</v>
      </c>
      <c r="S778" s="231">
        <v>2.2467448140279254E-2</v>
      </c>
      <c r="T778" s="231">
        <v>1.4537441886207661E-2</v>
      </c>
      <c r="U778" s="231">
        <v>1.582464107784835E-2</v>
      </c>
      <c r="V778" s="231">
        <v>1.9845572072575542E-2</v>
      </c>
      <c r="W778" s="231">
        <v>7.4153156933306251E-3</v>
      </c>
      <c r="X778" s="231">
        <v>2.5174264220345501E-2</v>
      </c>
      <c r="Y778" s="231">
        <v>1.8397848280043091E-2</v>
      </c>
      <c r="Z778" s="231">
        <v>1.7075845387394619E-2</v>
      </c>
    </row>
    <row r="779" spans="1:26" x14ac:dyDescent="0.2">
      <c r="A779" t="s">
        <v>328</v>
      </c>
      <c r="C779" s="215">
        <v>4.5096786940080754E-3</v>
      </c>
      <c r="D779" s="215">
        <v>6.0482531261738829E-3</v>
      </c>
      <c r="E779" s="215">
        <v>1.4879964597853746E-2</v>
      </c>
      <c r="F779" s="215">
        <v>3.5638858559106555E-2</v>
      </c>
      <c r="G779" s="215">
        <v>2.2329181759539525E-2</v>
      </c>
      <c r="H779" s="215">
        <v>1.2418628625655835E-2</v>
      </c>
      <c r="I779" s="215">
        <v>1.519854749912147E-2</v>
      </c>
      <c r="J779" s="215">
        <v>1.0202743273276851E-2</v>
      </c>
      <c r="K779" s="215">
        <v>1.6127427052183101E-2</v>
      </c>
      <c r="L779" s="215">
        <v>1.9404915912031046E-2</v>
      </c>
      <c r="M779" s="215">
        <v>2.4376227275331574E-2</v>
      </c>
      <c r="N779" s="215">
        <v>1.896848433043951E-2</v>
      </c>
      <c r="O779" s="231">
        <v>2.0889013736984735E-2</v>
      </c>
      <c r="P779" s="231">
        <v>1.1222252859222567E-3</v>
      </c>
      <c r="Q779" s="231">
        <v>2.575269545607509E-2</v>
      </c>
      <c r="R779" s="231">
        <v>2.1011347283493371E-2</v>
      </c>
      <c r="S779" s="231">
        <v>2.1018470838350321E-2</v>
      </c>
      <c r="T779" s="231">
        <v>2.1693548089654721E-2</v>
      </c>
      <c r="U779" s="231">
        <v>1.241700547777925E-2</v>
      </c>
      <c r="V779" s="231">
        <v>1.7777610673656383E-2</v>
      </c>
      <c r="W779" s="231">
        <v>1.0343242932166548E-2</v>
      </c>
      <c r="X779" s="231">
        <v>2.3017290650476981E-2</v>
      </c>
      <c r="Y779" s="231">
        <v>1.699963423040423E-2</v>
      </c>
      <c r="Z779" s="231">
        <v>1.3134151076026177E-2</v>
      </c>
    </row>
    <row r="780" spans="1:26" x14ac:dyDescent="0.2">
      <c r="A780" t="s">
        <v>329</v>
      </c>
      <c r="C780" s="215">
        <v>-1.7570246680413265E-2</v>
      </c>
      <c r="D780" s="215">
        <v>-4.7458446735565629E-3</v>
      </c>
      <c r="E780" s="215">
        <v>-5.3787205035760498E-3</v>
      </c>
      <c r="F780" s="215">
        <v>-1.5914901676083455E-2</v>
      </c>
      <c r="G780" s="215">
        <v>3.5638760372274764E-3</v>
      </c>
      <c r="H780" s="215">
        <v>-2.1087814933336166E-4</v>
      </c>
      <c r="I780" s="215">
        <v>1.716527036901215E-3</v>
      </c>
      <c r="J780" s="215">
        <v>1.4089397584355465E-2</v>
      </c>
      <c r="K780" s="215">
        <v>4.308451676322345E-4</v>
      </c>
      <c r="L780" s="215">
        <v>-5.3260825288199117E-3</v>
      </c>
      <c r="M780" s="215">
        <v>-1.0350038606094657E-3</v>
      </c>
      <c r="N780" s="215">
        <v>-3.0806841361458673E-3</v>
      </c>
      <c r="O780" s="231">
        <v>1.0287726942448193E-2</v>
      </c>
      <c r="P780" s="231">
        <v>6.9412504539838587E-4</v>
      </c>
      <c r="Q780" s="231">
        <v>7.1385427011765971E-3</v>
      </c>
      <c r="R780" s="231">
        <v>8.8880942568304762E-3</v>
      </c>
      <c r="S780" s="231">
        <v>9.945551995472755E-3</v>
      </c>
      <c r="T780" s="231">
        <v>7.9982565862297926E-3</v>
      </c>
      <c r="U780" s="231">
        <v>8.934491547590858E-4</v>
      </c>
      <c r="V780" s="231">
        <v>3.7079467978093149E-3</v>
      </c>
      <c r="W780" s="231">
        <v>1.1407256588329525E-2</v>
      </c>
      <c r="X780" s="231">
        <v>2.646204886442944E-2</v>
      </c>
      <c r="Y780" s="231">
        <v>4.5128392198176392E-3</v>
      </c>
      <c r="Z780" s="231">
        <v>1.1002982591877522E-3</v>
      </c>
    </row>
    <row r="781" spans="1:26" x14ac:dyDescent="0.2">
      <c r="A781" t="s">
        <v>330</v>
      </c>
      <c r="C781" s="215">
        <v>-1.3388898333509463E-2</v>
      </c>
      <c r="D781" s="215">
        <v>8.1366633984400581E-6</v>
      </c>
      <c r="E781" s="215">
        <v>-5.3103219382675078E-3</v>
      </c>
      <c r="F781" s="215">
        <v>-1.7103478500697062E-2</v>
      </c>
      <c r="G781" s="215">
        <v>9.4459205261567206E-3</v>
      </c>
      <c r="H781" s="215">
        <v>5.6153502169334381E-3</v>
      </c>
      <c r="I781" s="215">
        <v>1.5187898665701169E-3</v>
      </c>
      <c r="J781" s="215">
        <v>6.5387082140566585E-3</v>
      </c>
      <c r="K781" s="215">
        <v>4.270000521309718E-3</v>
      </c>
      <c r="L781" s="215">
        <v>1.4995653132448431E-3</v>
      </c>
      <c r="M781" s="215">
        <v>-1.7552967076467387E-3</v>
      </c>
      <c r="N781" s="215">
        <v>-1.0566694722158858E-3</v>
      </c>
      <c r="O781" s="231">
        <v>8.8199162319159002E-3</v>
      </c>
      <c r="P781" s="231">
        <v>6.1312408708661106E-3</v>
      </c>
      <c r="Q781" s="231">
        <v>8.3442229613086769E-3</v>
      </c>
      <c r="R781" s="231">
        <v>1.0007313218051862E-2</v>
      </c>
      <c r="S781" s="231">
        <v>1.0091205238651495E-2</v>
      </c>
      <c r="T781" s="231">
        <v>1.3023321002179759E-2</v>
      </c>
      <c r="U781" s="231">
        <v>1.0018299612586101E-2</v>
      </c>
      <c r="V781" s="231">
        <v>1.1862840937167647E-2</v>
      </c>
      <c r="W781" s="231">
        <v>1.7001059512610699E-2</v>
      </c>
      <c r="X781" s="231">
        <v>2.7524782818289909E-2</v>
      </c>
      <c r="Y781" s="231">
        <v>5.4818640324329516E-3</v>
      </c>
      <c r="Z781" s="231">
        <v>3.2513259074667508E-3</v>
      </c>
    </row>
    <row r="782" spans="1:26" x14ac:dyDescent="0.2">
      <c r="A782" s="54" t="s">
        <v>361</v>
      </c>
      <c r="C782" s="215">
        <v>2.0405031110404925E-2</v>
      </c>
      <c r="D782" s="215">
        <v>1.5951741796291358E-2</v>
      </c>
      <c r="E782" s="215">
        <v>2.889331494272462E-2</v>
      </c>
      <c r="F782" s="215">
        <v>4.3019475395347367E-2</v>
      </c>
      <c r="G782" s="215">
        <v>1.9189826493625457E-2</v>
      </c>
      <c r="H782" s="215">
        <v>2.5671778704470089E-2</v>
      </c>
      <c r="I782" s="215">
        <v>2.7376640051504957E-2</v>
      </c>
      <c r="J782" s="215">
        <v>2.0060180541624874E-2</v>
      </c>
      <c r="K782" s="215">
        <v>3.0655539985638493E-2</v>
      </c>
      <c r="L782" s="215">
        <v>3.1135008893777072E-2</v>
      </c>
      <c r="M782" s="215">
        <v>3.4272297648483253E-2</v>
      </c>
      <c r="N782" s="215">
        <v>3.8428517257052659E-2</v>
      </c>
      <c r="O782" s="231">
        <v>2.6333240277490788E-2</v>
      </c>
      <c r="P782" s="231">
        <v>4.8488934310739239E-3</v>
      </c>
      <c r="Q782" s="231">
        <v>2.6973986340509976E-2</v>
      </c>
      <c r="R782" s="231">
        <v>2.3520772220740699E-2</v>
      </c>
      <c r="S782" s="231">
        <v>2.0145679896763066E-2</v>
      </c>
      <c r="T782" s="231">
        <v>2.5763781270754918E-2</v>
      </c>
      <c r="U782" s="231">
        <v>1.9055179419797896E-2</v>
      </c>
      <c r="V782" s="231">
        <v>2.086546700942591E-2</v>
      </c>
      <c r="W782" s="231">
        <v>1.523948790561293E-2</v>
      </c>
      <c r="X782" s="231">
        <v>2.0562285662758233E-2</v>
      </c>
      <c r="Y782" s="231">
        <v>2.641590632343558E-2</v>
      </c>
      <c r="Z782" s="231">
        <v>2.7163980583947544E-2</v>
      </c>
    </row>
    <row r="783" spans="1:26" x14ac:dyDescent="0.2">
      <c r="A783" s="54" t="s">
        <v>362</v>
      </c>
      <c r="C783" s="215">
        <v>2.0970120794144544E-2</v>
      </c>
      <c r="D783" s="215">
        <v>1.1909362994183641E-2</v>
      </c>
      <c r="E783" s="215">
        <v>2.8721220390652856E-2</v>
      </c>
      <c r="F783" s="215">
        <v>4.6323337728528091E-2</v>
      </c>
      <c r="G783" s="215">
        <v>2.1467591109827999E-2</v>
      </c>
      <c r="H783" s="215">
        <v>1.9228734207894258E-2</v>
      </c>
      <c r="I783" s="215">
        <v>3.3157805062455407E-2</v>
      </c>
      <c r="J783" s="215">
        <v>2.50550206906676E-2</v>
      </c>
      <c r="K783" s="215">
        <v>2.9878945564207185E-2</v>
      </c>
      <c r="L783" s="215">
        <v>3.5313619214402479E-2</v>
      </c>
      <c r="M783" s="215">
        <v>4.3491773023294579E-2</v>
      </c>
      <c r="N783" s="215">
        <v>4.0690951710467313E-2</v>
      </c>
      <c r="O783" s="231">
        <v>2.7253615698122655E-2</v>
      </c>
      <c r="P783" s="231">
        <v>1.0715804485203261E-3</v>
      </c>
      <c r="Q783" s="231">
        <v>2.1609538002980603E-2</v>
      </c>
      <c r="R783" s="231">
        <v>2.0249357144542224E-2</v>
      </c>
      <c r="S783" s="231">
        <v>1.8354340672318687E-2</v>
      </c>
      <c r="T783" s="231">
        <v>2.5160532440277477E-2</v>
      </c>
      <c r="U783" s="231">
        <v>7.799701355018368E-3</v>
      </c>
      <c r="V783" s="231">
        <v>1.0019443758123945E-2</v>
      </c>
      <c r="W783" s="231">
        <v>1.0724021098443533E-2</v>
      </c>
      <c r="X783" s="231">
        <v>1.4841169621516064E-2</v>
      </c>
      <c r="Y783" s="231">
        <v>2.096726657926868E-2</v>
      </c>
      <c r="Z783" s="231">
        <v>1.7785468532988447E-2</v>
      </c>
    </row>
    <row r="787" spans="1:26" x14ac:dyDescent="0.2">
      <c r="A787" s="14" t="s">
        <v>363</v>
      </c>
      <c r="C787" s="74">
        <v>45307</v>
      </c>
      <c r="D787" s="74">
        <v>45338</v>
      </c>
      <c r="E787" s="74">
        <v>45366</v>
      </c>
      <c r="F787" s="74">
        <v>45397</v>
      </c>
      <c r="G787" s="74">
        <v>45427</v>
      </c>
      <c r="H787" s="74">
        <v>45458</v>
      </c>
      <c r="I787" s="74">
        <v>45488</v>
      </c>
      <c r="J787" s="74">
        <v>45519</v>
      </c>
      <c r="K787" s="74">
        <v>45550</v>
      </c>
      <c r="L787" s="74">
        <v>45580</v>
      </c>
      <c r="M787" s="74">
        <v>45611</v>
      </c>
      <c r="N787" s="74">
        <v>45641</v>
      </c>
      <c r="O787" s="74">
        <f t="shared" ref="O787:Z787" si="423">+O2</f>
        <v>45673</v>
      </c>
      <c r="P787" s="74">
        <f t="shared" si="423"/>
        <v>45704</v>
      </c>
      <c r="Q787" s="74">
        <f t="shared" si="423"/>
        <v>45732</v>
      </c>
      <c r="R787" s="74">
        <f t="shared" si="423"/>
        <v>45763</v>
      </c>
      <c r="S787" s="74">
        <f t="shared" si="423"/>
        <v>45793</v>
      </c>
      <c r="T787" s="74">
        <f t="shared" si="423"/>
        <v>45824</v>
      </c>
      <c r="U787" s="74">
        <f t="shared" si="423"/>
        <v>45854</v>
      </c>
      <c r="V787" s="74">
        <f t="shared" si="423"/>
        <v>45885</v>
      </c>
      <c r="W787" s="74">
        <f t="shared" si="423"/>
        <v>45916</v>
      </c>
      <c r="X787" s="74">
        <f t="shared" si="423"/>
        <v>45946</v>
      </c>
      <c r="Y787" s="74">
        <f t="shared" si="423"/>
        <v>45977</v>
      </c>
      <c r="Z787" s="74">
        <f t="shared" si="423"/>
        <v>46007</v>
      </c>
    </row>
    <row r="788" spans="1:26" x14ac:dyDescent="0.2">
      <c r="A788" t="str">
        <f t="shared" ref="A788:A794" si="424">+A679</f>
        <v>Delvin Warner</v>
      </c>
      <c r="C788" s="63">
        <v>0</v>
      </c>
      <c r="D788" s="63">
        <v>0</v>
      </c>
      <c r="E788" s="63">
        <v>0</v>
      </c>
      <c r="F788" s="63">
        <v>0</v>
      </c>
      <c r="G788" s="63">
        <v>0</v>
      </c>
      <c r="H788" s="63">
        <v>0</v>
      </c>
      <c r="I788" s="63">
        <v>0</v>
      </c>
      <c r="J788" s="63">
        <v>0</v>
      </c>
      <c r="K788" s="63">
        <v>0</v>
      </c>
      <c r="L788" s="63">
        <v>0</v>
      </c>
      <c r="M788" s="63">
        <v>0</v>
      </c>
      <c r="N788" s="63">
        <v>0</v>
      </c>
      <c r="O788" s="63">
        <v>0</v>
      </c>
      <c r="P788" s="63">
        <v>0</v>
      </c>
      <c r="Q788" s="63">
        <v>0</v>
      </c>
      <c r="R788" s="63">
        <v>0</v>
      </c>
      <c r="S788" s="63">
        <v>0</v>
      </c>
      <c r="T788" s="63">
        <v>0</v>
      </c>
      <c r="U788" s="63">
        <v>0</v>
      </c>
      <c r="V788" s="63">
        <v>0</v>
      </c>
      <c r="W788" s="63">
        <v>0</v>
      </c>
      <c r="X788" s="63">
        <v>0</v>
      </c>
      <c r="Y788" s="63">
        <v>0</v>
      </c>
      <c r="Z788" s="63">
        <v>0</v>
      </c>
    </row>
    <row r="789" spans="1:26" x14ac:dyDescent="0.2">
      <c r="A789" t="str">
        <f t="shared" si="424"/>
        <v>Arlon Warner</v>
      </c>
      <c r="C789" s="63">
        <v>0</v>
      </c>
      <c r="D789" s="63">
        <v>0</v>
      </c>
      <c r="E789" s="63">
        <v>0</v>
      </c>
      <c r="F789" s="63">
        <v>0</v>
      </c>
      <c r="G789" s="63">
        <v>0</v>
      </c>
      <c r="H789" s="63">
        <v>0</v>
      </c>
      <c r="I789" s="63">
        <v>0</v>
      </c>
      <c r="J789" s="63">
        <v>0</v>
      </c>
      <c r="K789" s="63">
        <v>0</v>
      </c>
      <c r="L789" s="63">
        <v>0</v>
      </c>
      <c r="M789" s="63">
        <v>0</v>
      </c>
      <c r="N789" s="63">
        <v>0</v>
      </c>
      <c r="O789" s="63">
        <v>0</v>
      </c>
      <c r="P789" s="63">
        <v>0</v>
      </c>
      <c r="Q789" s="63">
        <v>0</v>
      </c>
      <c r="R789" s="63">
        <v>0</v>
      </c>
      <c r="S789" s="63">
        <v>0</v>
      </c>
      <c r="T789" s="63">
        <v>0</v>
      </c>
      <c r="U789" s="63">
        <v>0</v>
      </c>
      <c r="V789" s="63">
        <v>0</v>
      </c>
      <c r="W789" s="63">
        <v>0</v>
      </c>
      <c r="X789" s="63">
        <v>0</v>
      </c>
      <c r="Y789" s="63">
        <v>0</v>
      </c>
      <c r="Z789" s="63">
        <v>0</v>
      </c>
    </row>
    <row r="790" spans="1:26" x14ac:dyDescent="0.2">
      <c r="A790" t="str">
        <f t="shared" si="424"/>
        <v>First Wind - Indexed Price</v>
      </c>
      <c r="C790" s="63">
        <v>147.58594096063084</v>
      </c>
      <c r="D790" s="63">
        <v>354.57626234451567</v>
      </c>
      <c r="E790" s="63">
        <v>359.02071830022766</v>
      </c>
      <c r="F790" s="63">
        <v>927.85724744758227</v>
      </c>
      <c r="G790" s="63">
        <v>462.8894467083914</v>
      </c>
      <c r="H790" s="63">
        <v>177.39024508311886</v>
      </c>
      <c r="I790" s="63">
        <v>374.96834869556483</v>
      </c>
      <c r="J790" s="63">
        <v>148.38237422245152</v>
      </c>
      <c r="K790" s="63">
        <v>335.85806562222882</v>
      </c>
      <c r="L790" s="63">
        <v>360.9258214169131</v>
      </c>
      <c r="M790" s="63">
        <v>761.72930310864172</v>
      </c>
      <c r="N790" s="63">
        <v>1296.7355062402669</v>
      </c>
      <c r="O790" s="63">
        <f t="shared" ref="O790:Z791" si="425">+O$682*((O$778*O$34+O$779*O$35)/O$33)*O$10</f>
        <v>847.70950280002012</v>
      </c>
      <c r="P790" s="63">
        <f t="shared" si="425"/>
        <v>154.87700075232519</v>
      </c>
      <c r="Q790" s="63">
        <f t="shared" si="425"/>
        <v>1577.3238121119348</v>
      </c>
      <c r="R790" s="63">
        <f t="shared" si="425"/>
        <v>822.2611717523821</v>
      </c>
      <c r="S790" s="63">
        <f t="shared" si="425"/>
        <v>418.46415655360812</v>
      </c>
      <c r="T790" s="63">
        <f t="shared" si="425"/>
        <v>386.67966696993267</v>
      </c>
      <c r="U790" s="63">
        <f t="shared" si="425"/>
        <v>272.24281404320539</v>
      </c>
      <c r="V790" s="63">
        <f t="shared" si="425"/>
        <v>581.41424709217347</v>
      </c>
      <c r="W790" s="63">
        <f t="shared" si="425"/>
        <v>95.700705063948476</v>
      </c>
      <c r="X790" s="63">
        <f t="shared" si="425"/>
        <v>667.21531603506708</v>
      </c>
      <c r="Y790" s="63">
        <f t="shared" si="425"/>
        <v>733.25054871493796</v>
      </c>
      <c r="Z790" s="63">
        <f t="shared" si="425"/>
        <v>789.06525539285565</v>
      </c>
    </row>
    <row r="791" spans="1:26" x14ac:dyDescent="0.2">
      <c r="A791" t="str">
        <f t="shared" si="424"/>
        <v>Frist Wind - Fixd Price</v>
      </c>
      <c r="C791" s="63">
        <v>147.58594096063084</v>
      </c>
      <c r="D791" s="63">
        <v>354.57626234451567</v>
      </c>
      <c r="E791" s="63">
        <v>359.02071830022766</v>
      </c>
      <c r="F791" s="63">
        <v>927.85724744758227</v>
      </c>
      <c r="G791" s="63">
        <v>462.8894467083914</v>
      </c>
      <c r="H791" s="63">
        <v>177.39024508311886</v>
      </c>
      <c r="I791" s="63">
        <v>374.96834869556483</v>
      </c>
      <c r="J791" s="63">
        <v>148.38237422245152</v>
      </c>
      <c r="K791" s="63">
        <v>335.85806562222882</v>
      </c>
      <c r="L791" s="63">
        <v>360.9258214169131</v>
      </c>
      <c r="M791" s="63">
        <v>761.72930310864172</v>
      </c>
      <c r="N791" s="63">
        <v>1296.7355062402669</v>
      </c>
      <c r="O791" s="63">
        <f t="shared" si="425"/>
        <v>847.70950280002012</v>
      </c>
      <c r="P791" s="63">
        <f t="shared" si="425"/>
        <v>154.87700075232519</v>
      </c>
      <c r="Q791" s="63">
        <f t="shared" si="425"/>
        <v>1577.3238121119348</v>
      </c>
      <c r="R791" s="63">
        <f t="shared" si="425"/>
        <v>822.2611717523821</v>
      </c>
      <c r="S791" s="63">
        <f t="shared" si="425"/>
        <v>418.46415655360812</v>
      </c>
      <c r="T791" s="63">
        <f t="shared" si="425"/>
        <v>386.67966696993267</v>
      </c>
      <c r="U791" s="63">
        <f t="shared" si="425"/>
        <v>272.24281404320539</v>
      </c>
      <c r="V791" s="63">
        <f t="shared" si="425"/>
        <v>581.41424709217347</v>
      </c>
      <c r="W791" s="63">
        <f t="shared" si="425"/>
        <v>95.700705063948476</v>
      </c>
      <c r="X791" s="63">
        <f t="shared" si="425"/>
        <v>667.21531603506708</v>
      </c>
      <c r="Y791" s="63">
        <f t="shared" si="425"/>
        <v>733.25054871493796</v>
      </c>
      <c r="Z791" s="63">
        <f t="shared" si="425"/>
        <v>789.06525539285565</v>
      </c>
    </row>
    <row r="792" spans="1:26" x14ac:dyDescent="0.2">
      <c r="A792" t="str">
        <f t="shared" si="424"/>
        <v>Kingdom Community Wind</v>
      </c>
      <c r="C792" s="63">
        <v>0</v>
      </c>
      <c r="D792" s="63">
        <v>0</v>
      </c>
      <c r="E792" s="63">
        <v>0</v>
      </c>
      <c r="F792" s="63">
        <v>0</v>
      </c>
      <c r="G792" s="63">
        <v>0</v>
      </c>
      <c r="H792" s="63">
        <v>0</v>
      </c>
      <c r="I792" s="63">
        <v>0</v>
      </c>
      <c r="J792" s="63">
        <v>0</v>
      </c>
      <c r="K792" s="63">
        <v>0</v>
      </c>
      <c r="L792" s="63">
        <v>0</v>
      </c>
      <c r="M792" s="63">
        <v>0</v>
      </c>
      <c r="N792" s="63">
        <v>0</v>
      </c>
      <c r="O792" s="63">
        <f t="shared" ref="O792:Z792" si="426">+O$684*((O$782*O$34+O$783*O$35)/O$33)*O$10</f>
        <v>0</v>
      </c>
      <c r="P792" s="63">
        <f t="shared" si="426"/>
        <v>0</v>
      </c>
      <c r="Q792" s="63">
        <f t="shared" si="426"/>
        <v>0</v>
      </c>
      <c r="R792" s="63">
        <f t="shared" si="426"/>
        <v>0</v>
      </c>
      <c r="S792" s="63">
        <f t="shared" si="426"/>
        <v>0</v>
      </c>
      <c r="T792" s="63">
        <f t="shared" si="426"/>
        <v>0</v>
      </c>
      <c r="U792" s="63">
        <f t="shared" si="426"/>
        <v>0</v>
      </c>
      <c r="V792" s="63">
        <f t="shared" si="426"/>
        <v>0</v>
      </c>
      <c r="W792" s="63">
        <f t="shared" si="426"/>
        <v>0</v>
      </c>
      <c r="X792" s="63">
        <f t="shared" si="426"/>
        <v>0</v>
      </c>
      <c r="Y792" s="63">
        <f t="shared" si="426"/>
        <v>0</v>
      </c>
      <c r="Z792" s="63">
        <f t="shared" si="426"/>
        <v>0</v>
      </c>
    </row>
    <row r="793" spans="1:26" x14ac:dyDescent="0.2">
      <c r="A793" t="str">
        <f t="shared" si="424"/>
        <v>PSEG</v>
      </c>
      <c r="C793" s="115"/>
      <c r="D793" s="115"/>
      <c r="E793" s="115"/>
      <c r="F793" s="115"/>
      <c r="G793" s="115"/>
      <c r="H793" s="115"/>
      <c r="I793" s="115"/>
      <c r="J793" s="115"/>
      <c r="K793" s="115"/>
      <c r="L793" s="115"/>
      <c r="M793" s="115"/>
      <c r="N793" s="115"/>
      <c r="O793" s="115"/>
      <c r="P793" s="115"/>
      <c r="Q793" s="115"/>
      <c r="R793" s="115"/>
      <c r="S793" s="115"/>
      <c r="T793" s="115"/>
      <c r="U793" s="115"/>
      <c r="V793" s="115"/>
      <c r="W793" s="115"/>
      <c r="X793" s="115"/>
      <c r="Y793" s="115"/>
      <c r="Z793" s="115"/>
    </row>
    <row r="794" spans="1:26" x14ac:dyDescent="0.2">
      <c r="A794" t="str">
        <f t="shared" si="424"/>
        <v>HQUS</v>
      </c>
      <c r="C794" s="63">
        <v>105306.23891779847</v>
      </c>
      <c r="D794" s="63">
        <v>59384.224715590295</v>
      </c>
      <c r="E794" s="63">
        <v>18562.269851579269</v>
      </c>
      <c r="F794" s="63">
        <v>19145.145670906848</v>
      </c>
      <c r="G794" s="63">
        <v>7846.4210912760173</v>
      </c>
      <c r="H794" s="63">
        <v>26774.32904372031</v>
      </c>
      <c r="I794" s="63">
        <v>48543.781139053317</v>
      </c>
      <c r="J794" s="63">
        <v>34152.800854663386</v>
      </c>
      <c r="K794" s="63">
        <v>28065.648421977286</v>
      </c>
      <c r="L794" s="63">
        <v>31921.405094572761</v>
      </c>
      <c r="M794" s="63">
        <v>40955.600647741165</v>
      </c>
      <c r="N794" s="63">
        <v>66548.929131596306</v>
      </c>
      <c r="O794" s="63">
        <f t="shared" ref="O794:Z794" si="427">+O$685*O$766*O$11</f>
        <v>51369.111982163151</v>
      </c>
      <c r="P794" s="63">
        <f t="shared" si="427"/>
        <v>9287.4345337959876</v>
      </c>
      <c r="Q794" s="63">
        <f t="shared" si="427"/>
        <v>7980.3582686517093</v>
      </c>
      <c r="R794" s="63">
        <f t="shared" si="427"/>
        <v>1287.8008194138035</v>
      </c>
      <c r="S794" s="63">
        <f t="shared" si="427"/>
        <v>-721.92030578548611</v>
      </c>
      <c r="T794" s="63">
        <f t="shared" si="427"/>
        <v>23623.879566083651</v>
      </c>
      <c r="U794" s="63">
        <f t="shared" si="427"/>
        <v>29959.019904635003</v>
      </c>
      <c r="V794" s="63">
        <f t="shared" si="427"/>
        <v>20521.926545210688</v>
      </c>
      <c r="W794" s="63">
        <f t="shared" si="427"/>
        <v>23273.436348406616</v>
      </c>
      <c r="X794" s="63">
        <f t="shared" si="427"/>
        <v>8399.2918856417182</v>
      </c>
      <c r="Y794" s="63">
        <f t="shared" si="427"/>
        <v>29685.91564443503</v>
      </c>
      <c r="Z794" s="63">
        <f t="shared" si="427"/>
        <v>53845.247206817759</v>
      </c>
    </row>
    <row r="795" spans="1:26" x14ac:dyDescent="0.2">
      <c r="A795" t="s">
        <v>600</v>
      </c>
      <c r="C795" s="63">
        <v>0</v>
      </c>
      <c r="D795" s="63">
        <v>0</v>
      </c>
      <c r="E795" s="63">
        <v>0</v>
      </c>
      <c r="F795" s="63">
        <v>0</v>
      </c>
      <c r="G795" s="63">
        <v>0</v>
      </c>
      <c r="H795" s="63">
        <v>0</v>
      </c>
      <c r="I795" s="63">
        <v>0</v>
      </c>
      <c r="J795" s="63">
        <v>0</v>
      </c>
      <c r="K795" s="63">
        <v>0</v>
      </c>
      <c r="L795" s="63">
        <v>0</v>
      </c>
      <c r="M795" s="63">
        <v>0</v>
      </c>
      <c r="N795" s="63">
        <v>0</v>
      </c>
      <c r="O795" s="63">
        <f t="shared" ref="O795:Z795" si="428">O686*O765*O12</f>
        <v>0</v>
      </c>
      <c r="P795" s="63">
        <f t="shared" si="428"/>
        <v>0</v>
      </c>
      <c r="Q795" s="63">
        <f t="shared" si="428"/>
        <v>0</v>
      </c>
      <c r="R795" s="63">
        <f t="shared" si="428"/>
        <v>0</v>
      </c>
      <c r="S795" s="63">
        <f t="shared" si="428"/>
        <v>0</v>
      </c>
      <c r="T795" s="63">
        <f t="shared" si="428"/>
        <v>0</v>
      </c>
      <c r="U795" s="63">
        <f t="shared" si="428"/>
        <v>0</v>
      </c>
      <c r="V795" s="63">
        <f t="shared" si="428"/>
        <v>0</v>
      </c>
      <c r="W795" s="63">
        <f t="shared" si="428"/>
        <v>0</v>
      </c>
      <c r="X795" s="63">
        <f t="shared" si="428"/>
        <v>0</v>
      </c>
      <c r="Y795" s="63">
        <f t="shared" si="428"/>
        <v>0</v>
      </c>
      <c r="Z795" s="63">
        <f t="shared" si="428"/>
        <v>0</v>
      </c>
    </row>
    <row r="796" spans="1:26" x14ac:dyDescent="0.2">
      <c r="A796" t="str">
        <f>+A687</f>
        <v>ASE</v>
      </c>
      <c r="C796" s="115"/>
      <c r="D796" s="115"/>
      <c r="E796" s="115"/>
      <c r="F796" s="115"/>
      <c r="G796" s="115"/>
      <c r="H796" s="115"/>
      <c r="I796" s="115"/>
      <c r="J796" s="115"/>
      <c r="K796" s="115"/>
      <c r="L796" s="115"/>
      <c r="M796" s="115"/>
      <c r="N796" s="115"/>
      <c r="O796" s="115"/>
      <c r="P796" s="115"/>
      <c r="Q796" s="115"/>
      <c r="R796" s="115"/>
      <c r="S796" s="115"/>
      <c r="T796" s="115"/>
      <c r="U796" s="115"/>
      <c r="V796" s="115"/>
      <c r="W796" s="115"/>
      <c r="X796" s="115"/>
      <c r="Y796" s="115"/>
      <c r="Z796" s="115"/>
    </row>
    <row r="797" spans="1:26" x14ac:dyDescent="0.2">
      <c r="A797" t="str">
        <f>+A688</f>
        <v>NextEraEnergy</v>
      </c>
      <c r="C797" s="63">
        <v>0</v>
      </c>
      <c r="D797" s="63">
        <v>0</v>
      </c>
      <c r="E797" s="63">
        <v>0</v>
      </c>
      <c r="F797" s="63">
        <v>0</v>
      </c>
      <c r="G797" s="63">
        <v>0</v>
      </c>
      <c r="H797" s="63">
        <v>0</v>
      </c>
      <c r="I797" s="63">
        <v>0</v>
      </c>
      <c r="J797" s="63">
        <v>0</v>
      </c>
      <c r="K797" s="63">
        <v>0</v>
      </c>
      <c r="L797" s="63">
        <v>0</v>
      </c>
      <c r="M797" s="63">
        <v>0</v>
      </c>
      <c r="N797" s="63">
        <v>0</v>
      </c>
      <c r="O797" s="63">
        <f t="shared" ref="O797:Z797" si="429">+O$688*AVERAGE(O$772:O$773)*O$10</f>
        <v>0</v>
      </c>
      <c r="P797" s="63">
        <f t="shared" si="429"/>
        <v>0</v>
      </c>
      <c r="Q797" s="63">
        <f t="shared" si="429"/>
        <v>0</v>
      </c>
      <c r="R797" s="63">
        <f t="shared" si="429"/>
        <v>0</v>
      </c>
      <c r="S797" s="63">
        <f t="shared" si="429"/>
        <v>0</v>
      </c>
      <c r="T797" s="63">
        <f t="shared" si="429"/>
        <v>0</v>
      </c>
      <c r="U797" s="63">
        <f t="shared" si="429"/>
        <v>0</v>
      </c>
      <c r="V797" s="63">
        <f t="shared" si="429"/>
        <v>0</v>
      </c>
      <c r="W797" s="63">
        <f t="shared" si="429"/>
        <v>0</v>
      </c>
      <c r="X797" s="63">
        <f t="shared" si="429"/>
        <v>0</v>
      </c>
      <c r="Y797" s="63">
        <f t="shared" si="429"/>
        <v>0</v>
      </c>
      <c r="Z797" s="63">
        <f t="shared" si="429"/>
        <v>0</v>
      </c>
    </row>
    <row r="798" spans="1:26" x14ac:dyDescent="0.2">
      <c r="A798" t="str">
        <f>+A689</f>
        <v>NextEraEnergy - Seabrook LT Contract</v>
      </c>
      <c r="C798" s="63">
        <v>-13778.048471942602</v>
      </c>
      <c r="D798" s="63">
        <v>-1732.406012186533</v>
      </c>
      <c r="E798" s="63">
        <v>-937.59856939642111</v>
      </c>
      <c r="F798" s="63">
        <v>-3028.2668166161311</v>
      </c>
      <c r="G798" s="63">
        <v>1306.1602819066447</v>
      </c>
      <c r="H798" s="63">
        <v>846.48307223433164</v>
      </c>
      <c r="I798" s="63">
        <v>672.05126820718726</v>
      </c>
      <c r="J798" s="63">
        <v>3535.8355725189749</v>
      </c>
      <c r="K798" s="63">
        <v>709.41069227729372</v>
      </c>
      <c r="L798" s="63">
        <v>0</v>
      </c>
      <c r="M798" s="63">
        <v>-520.25394694344209</v>
      </c>
      <c r="N798" s="63">
        <v>-1095.2997534742822</v>
      </c>
      <c r="O798" s="63">
        <f t="shared" ref="O798:Z798" si="430">+O$689*((O$780*O$34+O$781*O$35)/O$33)*O$10</f>
        <v>6155.5219360435713</v>
      </c>
      <c r="P798" s="63">
        <f t="shared" si="430"/>
        <v>1859.7676503597431</v>
      </c>
      <c r="Q798" s="63">
        <f t="shared" si="430"/>
        <v>2742.9885256577682</v>
      </c>
      <c r="R798" s="63">
        <f t="shared" si="430"/>
        <v>2627.8132155473691</v>
      </c>
      <c r="S798" s="63">
        <f t="shared" si="430"/>
        <v>2579.6952031398887</v>
      </c>
      <c r="T798" s="63">
        <f t="shared" si="430"/>
        <v>2857.362382046073</v>
      </c>
      <c r="U798" s="63">
        <f t="shared" si="430"/>
        <v>2223.8671729496346</v>
      </c>
      <c r="V798" s="63">
        <f t="shared" si="430"/>
        <v>3123.4438412680765</v>
      </c>
      <c r="W798" s="63">
        <f t="shared" si="430"/>
        <v>3755.0190129930461</v>
      </c>
      <c r="X798" s="63">
        <f t="shared" si="430"/>
        <v>7117.4451156632358</v>
      </c>
      <c r="Y798" s="63">
        <f t="shared" si="430"/>
        <v>1837.528818411236</v>
      </c>
      <c r="Z798" s="63">
        <f t="shared" si="430"/>
        <v>1147.7738227837795</v>
      </c>
    </row>
    <row r="799" spans="1:26" x14ac:dyDescent="0.2">
      <c r="A799" t="str">
        <f>+A693</f>
        <v>Excelon - Energy</v>
      </c>
      <c r="C799" s="63">
        <v>0</v>
      </c>
      <c r="D799" s="63">
        <v>0</v>
      </c>
      <c r="E799" s="63">
        <v>0</v>
      </c>
      <c r="F799" s="63">
        <v>0</v>
      </c>
      <c r="G799" s="63">
        <v>0</v>
      </c>
      <c r="H799" s="63">
        <v>0</v>
      </c>
      <c r="I799" s="63">
        <v>0</v>
      </c>
      <c r="J799" s="63">
        <v>0</v>
      </c>
      <c r="K799" s="63">
        <v>0</v>
      </c>
      <c r="L799" s="63">
        <v>0</v>
      </c>
      <c r="M799" s="63">
        <v>0</v>
      </c>
      <c r="N799" s="63">
        <v>0</v>
      </c>
      <c r="O799" s="63">
        <f t="shared" ref="O799:Z799" si="431">+O$693*((O$772*O$34+O$773*O$35)/O$33)*O$10</f>
        <v>0</v>
      </c>
      <c r="P799" s="63">
        <f t="shared" si="431"/>
        <v>0</v>
      </c>
      <c r="Q799" s="63">
        <f t="shared" si="431"/>
        <v>0</v>
      </c>
      <c r="R799" s="63">
        <f t="shared" si="431"/>
        <v>0</v>
      </c>
      <c r="S799" s="63">
        <f t="shared" si="431"/>
        <v>0</v>
      </c>
      <c r="T799" s="63">
        <f t="shared" si="431"/>
        <v>0</v>
      </c>
      <c r="U799" s="63">
        <f t="shared" si="431"/>
        <v>0</v>
      </c>
      <c r="V799" s="63">
        <f t="shared" si="431"/>
        <v>0</v>
      </c>
      <c r="W799" s="63">
        <f t="shared" si="431"/>
        <v>0</v>
      </c>
      <c r="X799" s="63">
        <f t="shared" si="431"/>
        <v>0</v>
      </c>
      <c r="Y799" s="63">
        <f t="shared" si="431"/>
        <v>0</v>
      </c>
      <c r="Z799" s="63">
        <f t="shared" si="431"/>
        <v>0</v>
      </c>
    </row>
    <row r="800" spans="1:26" x14ac:dyDescent="0.2">
      <c r="A800" t="str">
        <f>+A322</f>
        <v>Boltonville Hydro</v>
      </c>
      <c r="C800" s="63">
        <v>0</v>
      </c>
      <c r="D800" s="63">
        <v>0</v>
      </c>
      <c r="E800" s="63">
        <v>0</v>
      </c>
      <c r="F800" s="63">
        <v>0</v>
      </c>
      <c r="G800" s="63">
        <v>0</v>
      </c>
      <c r="H800" s="63">
        <v>0</v>
      </c>
      <c r="I800" s="63">
        <v>0</v>
      </c>
      <c r="J800" s="63">
        <v>0</v>
      </c>
      <c r="K800" s="63">
        <v>0</v>
      </c>
      <c r="L800" s="63">
        <v>0</v>
      </c>
      <c r="M800" s="63">
        <v>0</v>
      </c>
      <c r="N800" s="63">
        <v>0</v>
      </c>
      <c r="O800" s="63">
        <f t="shared" ref="O800:Z800" si="432">+O768*O$11*O324+O769*O$12*O325</f>
        <v>0</v>
      </c>
      <c r="P800" s="63">
        <f t="shared" si="432"/>
        <v>0</v>
      </c>
      <c r="Q800" s="63">
        <f t="shared" si="432"/>
        <v>0</v>
      </c>
      <c r="R800" s="63">
        <f t="shared" si="432"/>
        <v>0</v>
      </c>
      <c r="S800" s="63">
        <f t="shared" si="432"/>
        <v>0</v>
      </c>
      <c r="T800" s="63">
        <f t="shared" si="432"/>
        <v>0</v>
      </c>
      <c r="U800" s="63">
        <f t="shared" si="432"/>
        <v>0</v>
      </c>
      <c r="V800" s="63">
        <f t="shared" si="432"/>
        <v>0</v>
      </c>
      <c r="W800" s="63">
        <f t="shared" si="432"/>
        <v>0</v>
      </c>
      <c r="X800" s="63">
        <f t="shared" si="432"/>
        <v>0</v>
      </c>
      <c r="Y800" s="63">
        <f t="shared" si="432"/>
        <v>0</v>
      </c>
      <c r="Z800" s="63">
        <f t="shared" si="432"/>
        <v>0</v>
      </c>
    </row>
    <row r="801" spans="1:26" x14ac:dyDescent="0.2">
      <c r="A801" t="str">
        <f>+A303</f>
        <v>Newport Hydro</v>
      </c>
      <c r="C801" s="63">
        <v>3525.1092636899093</v>
      </c>
      <c r="D801" s="63">
        <v>1017.5926817190344</v>
      </c>
      <c r="E801" s="63">
        <v>523.1868787698852</v>
      </c>
      <c r="F801" s="63">
        <v>2890.8666296984002</v>
      </c>
      <c r="G801" s="63">
        <v>790.59539964213241</v>
      </c>
      <c r="H801" s="63">
        <v>498.43827815707311</v>
      </c>
      <c r="I801" s="63">
        <v>456.85271332607294</v>
      </c>
      <c r="J801" s="63">
        <v>109.8513960814074</v>
      </c>
      <c r="K801" s="63">
        <v>645.54144356104166</v>
      </c>
      <c r="L801" s="63">
        <v>1209.9055482930225</v>
      </c>
      <c r="M801" s="63">
        <v>2211.9675364419763</v>
      </c>
      <c r="N801" s="63">
        <v>5839.0558109351823</v>
      </c>
      <c r="O801" s="63">
        <f t="shared" ref="O801:Z801" si="433">+O770*O$11*O308+O771*O$12*O309</f>
        <v>0</v>
      </c>
      <c r="P801" s="63">
        <f t="shared" si="433"/>
        <v>0</v>
      </c>
      <c r="Q801" s="63">
        <f t="shared" si="433"/>
        <v>0</v>
      </c>
      <c r="R801" s="63">
        <f t="shared" si="433"/>
        <v>0</v>
      </c>
      <c r="S801" s="63">
        <f t="shared" si="433"/>
        <v>0</v>
      </c>
      <c r="T801" s="63">
        <f t="shared" si="433"/>
        <v>0</v>
      </c>
      <c r="U801" s="63">
        <f t="shared" si="433"/>
        <v>0</v>
      </c>
      <c r="V801" s="63">
        <f t="shared" si="433"/>
        <v>0</v>
      </c>
      <c r="W801" s="63">
        <f t="shared" si="433"/>
        <v>0</v>
      </c>
      <c r="X801" s="63">
        <f t="shared" si="433"/>
        <v>0</v>
      </c>
      <c r="Y801" s="63">
        <f t="shared" si="433"/>
        <v>0</v>
      </c>
      <c r="Z801" s="63">
        <f t="shared" si="433"/>
        <v>0</v>
      </c>
    </row>
    <row r="802" spans="1:26" x14ac:dyDescent="0.2">
      <c r="A802" t="str">
        <f>+A694</f>
        <v>Howard Wind</v>
      </c>
      <c r="C802" s="63">
        <v>9305.8538094809392</v>
      </c>
      <c r="D802" s="63">
        <v>17642.36452613238</v>
      </c>
      <c r="E802" s="63">
        <v>1106.1172117707918</v>
      </c>
      <c r="F802" s="63">
        <v>-1204.0068807878276</v>
      </c>
      <c r="G802" s="63">
        <v>600.04527222471381</v>
      </c>
      <c r="H802" s="63">
        <v>1263.9979918506231</v>
      </c>
      <c r="I802" s="63">
        <v>2039.4756370521379</v>
      </c>
      <c r="J802" s="63">
        <v>1975.2161566870736</v>
      </c>
      <c r="K802" s="63">
        <v>722.69736815308454</v>
      </c>
      <c r="L802" s="63">
        <v>1513.4250127785551</v>
      </c>
      <c r="M802" s="63">
        <v>2538.1995638583426</v>
      </c>
      <c r="N802" s="63">
        <v>5417.3717667425326</v>
      </c>
      <c r="O802" s="63">
        <f t="shared" ref="O802:Z802" si="434">+O$694*((O$774*O$34+O$775*O$35)/O$33)*O$10</f>
        <v>8449.1469933474964</v>
      </c>
      <c r="P802" s="63">
        <f t="shared" si="434"/>
        <v>15074.738175070974</v>
      </c>
      <c r="Q802" s="63">
        <f t="shared" si="434"/>
        <v>4200.3899227342281</v>
      </c>
      <c r="R802" s="63">
        <f t="shared" si="434"/>
        <v>3693.0982732056436</v>
      </c>
      <c r="S802" s="63">
        <f t="shared" si="434"/>
        <v>2380.2955723494156</v>
      </c>
      <c r="T802" s="63">
        <f t="shared" si="434"/>
        <v>3212.9961654121494</v>
      </c>
      <c r="U802" s="63">
        <f t="shared" si="434"/>
        <v>1809.9145531669101</v>
      </c>
      <c r="V802" s="63">
        <f t="shared" si="434"/>
        <v>2588.3083142428363</v>
      </c>
      <c r="W802" s="63">
        <f t="shared" si="434"/>
        <v>1404.5062585729559</v>
      </c>
      <c r="X802" s="63">
        <f t="shared" si="434"/>
        <v>2866.5892210849356</v>
      </c>
      <c r="Y802" s="63">
        <f t="shared" si="434"/>
        <v>6011.9205503216172</v>
      </c>
      <c r="Z802" s="63">
        <f t="shared" si="434"/>
        <v>6840.9487995774416</v>
      </c>
    </row>
    <row r="803" spans="1:26" x14ac:dyDescent="0.2">
      <c r="A803" t="str">
        <f>+A695</f>
        <v>Merrill Lynch</v>
      </c>
      <c r="C803" s="63">
        <v>0</v>
      </c>
      <c r="D803" s="63">
        <v>0</v>
      </c>
      <c r="E803" s="63">
        <v>0</v>
      </c>
      <c r="F803" s="63">
        <v>0</v>
      </c>
      <c r="G803" s="63">
        <v>0</v>
      </c>
      <c r="H803" s="63">
        <v>0</v>
      </c>
      <c r="I803" s="63">
        <v>0</v>
      </c>
      <c r="J803" s="63">
        <v>0</v>
      </c>
      <c r="K803" s="63">
        <v>0</v>
      </c>
      <c r="L803" s="63">
        <v>0</v>
      </c>
      <c r="M803" s="63">
        <v>0</v>
      </c>
      <c r="N803" s="63">
        <v>0</v>
      </c>
      <c r="O803" s="63">
        <f t="shared" ref="O803:Z803" si="435">+O$695*((O$772*O$34+O$773*O$35)/O$33)*O$10</f>
        <v>0</v>
      </c>
      <c r="P803" s="63">
        <f t="shared" si="435"/>
        <v>0</v>
      </c>
      <c r="Q803" s="63">
        <f t="shared" si="435"/>
        <v>0</v>
      </c>
      <c r="R803" s="63">
        <f t="shared" si="435"/>
        <v>0</v>
      </c>
      <c r="S803" s="63">
        <f t="shared" si="435"/>
        <v>0</v>
      </c>
      <c r="T803" s="63">
        <f t="shared" si="435"/>
        <v>0</v>
      </c>
      <c r="U803" s="63">
        <f t="shared" si="435"/>
        <v>0</v>
      </c>
      <c r="V803" s="63">
        <f t="shared" si="435"/>
        <v>0</v>
      </c>
      <c r="W803" s="63">
        <f t="shared" si="435"/>
        <v>0</v>
      </c>
      <c r="X803" s="63">
        <f t="shared" si="435"/>
        <v>0</v>
      </c>
      <c r="Y803" s="63">
        <f t="shared" si="435"/>
        <v>0</v>
      </c>
      <c r="Z803" s="63">
        <f t="shared" si="435"/>
        <v>0</v>
      </c>
    </row>
    <row r="804" spans="1:26" x14ac:dyDescent="0.2">
      <c r="A804" t="str">
        <f t="shared" ref="A804:A812" si="436">+A697</f>
        <v>Proxy Purchase - October 2021</v>
      </c>
      <c r="C804" s="63">
        <v>-23004.835300838851</v>
      </c>
      <c r="D804" s="63">
        <v>-9626.0605171151619</v>
      </c>
      <c r="E804" s="63">
        <v>-1324.5736426482879</v>
      </c>
      <c r="F804" s="63">
        <v>-1569.8065167648531</v>
      </c>
      <c r="G804" s="63">
        <v>-4.0105917007619025</v>
      </c>
      <c r="H804" s="63">
        <v>-1644.9351319333164</v>
      </c>
      <c r="I804" s="63">
        <v>-2623.996436203568</v>
      </c>
      <c r="J804" s="63">
        <v>-492.14666274705093</v>
      </c>
      <c r="K804" s="63">
        <v>-978.49565435042791</v>
      </c>
      <c r="L804" s="63">
        <v>-1604.1340144476881</v>
      </c>
      <c r="M804" s="63">
        <v>-2705.1439659590947</v>
      </c>
      <c r="N804" s="63">
        <v>-10859.454561012044</v>
      </c>
      <c r="O804" s="63">
        <f t="shared" ref="O804:Z804" si="437">((O609+O611)*O773*O12)+(O607*O772*O11)</f>
        <v>-9622.9679720056592</v>
      </c>
      <c r="P804" s="63">
        <f t="shared" si="437"/>
        <v>-2239.2811321152485</v>
      </c>
      <c r="Q804" s="63">
        <f t="shared" si="437"/>
        <v>-1846.8526738469409</v>
      </c>
      <c r="R804" s="63">
        <f t="shared" si="437"/>
        <v>-569.05261595214779</v>
      </c>
      <c r="S804" s="63">
        <f t="shared" si="437"/>
        <v>-1.5494321130502384</v>
      </c>
      <c r="T804" s="63">
        <f t="shared" si="437"/>
        <v>-207.82516972427823</v>
      </c>
      <c r="U804" s="63">
        <f t="shared" si="437"/>
        <v>-2544.9558303717949</v>
      </c>
      <c r="V804" s="63">
        <f t="shared" si="437"/>
        <v>122.71825432628901</v>
      </c>
      <c r="W804" s="63">
        <f t="shared" si="437"/>
        <v>597.70330045891092</v>
      </c>
      <c r="X804" s="63">
        <f t="shared" si="437"/>
        <v>1584.3169182195643</v>
      </c>
      <c r="Y804" s="63">
        <f t="shared" si="437"/>
        <v>-1451.7507064760289</v>
      </c>
      <c r="Z804" s="63">
        <f t="shared" si="437"/>
        <v>-5445.5985218180922</v>
      </c>
    </row>
    <row r="805" spans="1:26" x14ac:dyDescent="0.2">
      <c r="A805" t="str">
        <f t="shared" si="436"/>
        <v>EDF</v>
      </c>
      <c r="C805" s="63">
        <v>0</v>
      </c>
      <c r="D805" s="63">
        <v>0</v>
      </c>
      <c r="E805" s="63">
        <v>0</v>
      </c>
      <c r="F805" s="63">
        <v>0</v>
      </c>
      <c r="G805" s="63">
        <v>0</v>
      </c>
      <c r="H805" s="63">
        <v>0</v>
      </c>
      <c r="I805" s="63">
        <v>0</v>
      </c>
      <c r="J805" s="63">
        <v>0</v>
      </c>
      <c r="K805" s="63">
        <v>0</v>
      </c>
      <c r="L805" s="63">
        <v>0</v>
      </c>
      <c r="M805" s="63">
        <v>0</v>
      </c>
      <c r="N805" s="63">
        <v>0</v>
      </c>
      <c r="O805" s="63">
        <f t="shared" ref="O805:Z805" si="438">+O$698*((O$772*O$34+O$773*O$35)/O$33)*O$10</f>
        <v>0</v>
      </c>
      <c r="P805" s="63">
        <f t="shared" si="438"/>
        <v>0</v>
      </c>
      <c r="Q805" s="63">
        <f t="shared" si="438"/>
        <v>0</v>
      </c>
      <c r="R805" s="63">
        <f t="shared" si="438"/>
        <v>0</v>
      </c>
      <c r="S805" s="63">
        <f t="shared" si="438"/>
        <v>0</v>
      </c>
      <c r="T805" s="63">
        <f t="shared" si="438"/>
        <v>0</v>
      </c>
      <c r="U805" s="63">
        <f t="shared" si="438"/>
        <v>0</v>
      </c>
      <c r="V805" s="63">
        <f t="shared" si="438"/>
        <v>0</v>
      </c>
      <c r="W805" s="63">
        <f t="shared" si="438"/>
        <v>0</v>
      </c>
      <c r="X805" s="63">
        <f t="shared" si="438"/>
        <v>0</v>
      </c>
      <c r="Y805" s="63">
        <f t="shared" si="438"/>
        <v>0</v>
      </c>
      <c r="Z805" s="63">
        <f t="shared" si="438"/>
        <v>0</v>
      </c>
    </row>
    <row r="806" spans="1:26" x14ac:dyDescent="0.2">
      <c r="A806" t="str">
        <f t="shared" si="436"/>
        <v>JP Morgan</v>
      </c>
      <c r="C806" s="63">
        <v>0</v>
      </c>
      <c r="D806" s="63">
        <v>0</v>
      </c>
      <c r="E806" s="63">
        <v>0</v>
      </c>
      <c r="F806" s="63">
        <v>0</v>
      </c>
      <c r="G806" s="63">
        <v>0</v>
      </c>
      <c r="H806" s="63">
        <v>0</v>
      </c>
      <c r="I806" s="63">
        <v>0</v>
      </c>
      <c r="J806" s="63">
        <v>0</v>
      </c>
      <c r="K806" s="63">
        <v>0</v>
      </c>
      <c r="L806" s="63">
        <v>0</v>
      </c>
      <c r="M806" s="63">
        <v>0</v>
      </c>
      <c r="N806" s="63">
        <v>0</v>
      </c>
      <c r="O806" s="63">
        <f t="shared" ref="O806:Z806" si="439">+O$634*O$773*O$12</f>
        <v>0</v>
      </c>
      <c r="P806" s="63">
        <f t="shared" si="439"/>
        <v>0</v>
      </c>
      <c r="Q806" s="63">
        <f t="shared" si="439"/>
        <v>0</v>
      </c>
      <c r="R806" s="63">
        <f t="shared" si="439"/>
        <v>0</v>
      </c>
      <c r="S806" s="63">
        <f t="shared" si="439"/>
        <v>0</v>
      </c>
      <c r="T806" s="63">
        <f t="shared" si="439"/>
        <v>0</v>
      </c>
      <c r="U806" s="63">
        <f t="shared" si="439"/>
        <v>0</v>
      </c>
      <c r="V806" s="63">
        <f t="shared" si="439"/>
        <v>0</v>
      </c>
      <c r="W806" s="63">
        <f t="shared" si="439"/>
        <v>0</v>
      </c>
      <c r="X806" s="63">
        <f t="shared" si="439"/>
        <v>0</v>
      </c>
      <c r="Y806" s="63">
        <f t="shared" si="439"/>
        <v>0</v>
      </c>
      <c r="Z806" s="63">
        <f t="shared" si="439"/>
        <v>0</v>
      </c>
    </row>
    <row r="807" spans="1:26" x14ac:dyDescent="0.2">
      <c r="A807" t="str">
        <f t="shared" si="436"/>
        <v>BP Energy</v>
      </c>
      <c r="C807" s="63">
        <v>0</v>
      </c>
      <c r="D807" s="63">
        <v>0</v>
      </c>
      <c r="E807" s="63">
        <v>0</v>
      </c>
      <c r="F807" s="63">
        <v>0</v>
      </c>
      <c r="G807" s="63">
        <v>0</v>
      </c>
      <c r="H807" s="63">
        <v>0</v>
      </c>
      <c r="I807" s="63">
        <v>0</v>
      </c>
      <c r="J807" s="63">
        <v>0</v>
      </c>
      <c r="K807" s="63">
        <v>0</v>
      </c>
      <c r="L807" s="63">
        <v>0</v>
      </c>
      <c r="M807" s="63">
        <v>0</v>
      </c>
      <c r="N807" s="63">
        <v>0</v>
      </c>
      <c r="O807" s="63">
        <f t="shared" ref="O807:Z807" si="440">+O$700*AVERAGE(O$772:O$773)*O$10</f>
        <v>0</v>
      </c>
      <c r="P807" s="63">
        <f t="shared" si="440"/>
        <v>0</v>
      </c>
      <c r="Q807" s="63">
        <f t="shared" si="440"/>
        <v>0</v>
      </c>
      <c r="R807" s="63">
        <f t="shared" si="440"/>
        <v>0</v>
      </c>
      <c r="S807" s="63">
        <f t="shared" si="440"/>
        <v>0</v>
      </c>
      <c r="T807" s="63">
        <f t="shared" si="440"/>
        <v>0</v>
      </c>
      <c r="U807" s="63">
        <f t="shared" si="440"/>
        <v>0</v>
      </c>
      <c r="V807" s="63">
        <f t="shared" si="440"/>
        <v>0</v>
      </c>
      <c r="W807" s="63">
        <f t="shared" si="440"/>
        <v>0</v>
      </c>
      <c r="X807" s="63">
        <f t="shared" si="440"/>
        <v>0</v>
      </c>
      <c r="Y807" s="63">
        <f t="shared" si="440"/>
        <v>0</v>
      </c>
      <c r="Z807" s="63">
        <f t="shared" si="440"/>
        <v>0</v>
      </c>
    </row>
    <row r="808" spans="1:26" x14ac:dyDescent="0.2">
      <c r="A808" t="str">
        <f t="shared" si="436"/>
        <v>NYPA</v>
      </c>
      <c r="C808" s="63">
        <v>11182.920034147317</v>
      </c>
      <c r="D808" s="63">
        <v>9249.3368327532862</v>
      </c>
      <c r="E808" s="63">
        <v>700.90986813634015</v>
      </c>
      <c r="F808" s="63">
        <v>-879.28177513710807</v>
      </c>
      <c r="G808" s="63">
        <v>952.79576957674772</v>
      </c>
      <c r="H808" s="63">
        <v>2111.1478401138334</v>
      </c>
      <c r="I808" s="63">
        <v>2910.9358322919966</v>
      </c>
      <c r="J808" s="63">
        <v>2592.1505596432344</v>
      </c>
      <c r="K808" s="63">
        <v>841.04776855971079</v>
      </c>
      <c r="L808" s="63">
        <v>1029.4029454507534</v>
      </c>
      <c r="M808" s="63">
        <v>1452.5823945449119</v>
      </c>
      <c r="N808" s="63">
        <v>3427.0102186155241</v>
      </c>
      <c r="O808" s="63">
        <f t="shared" ref="O808:Z808" si="441">+O$701*AVERAGE(O$774:O$775)*O$10</f>
        <v>5793.7493518866286</v>
      </c>
      <c r="P808" s="63">
        <f t="shared" si="441"/>
        <v>11245.52346583347</v>
      </c>
      <c r="Q808" s="63">
        <f t="shared" si="441"/>
        <v>2459.9821332367851</v>
      </c>
      <c r="R808" s="63">
        <f t="shared" si="441"/>
        <v>2624.0969458729091</v>
      </c>
      <c r="S808" s="63">
        <f t="shared" si="441"/>
        <v>3191.2538157529898</v>
      </c>
      <c r="T808" s="63">
        <f t="shared" si="441"/>
        <v>3329.8215479460359</v>
      </c>
      <c r="U808" s="63">
        <f t="shared" si="441"/>
        <v>3659.1701401765995</v>
      </c>
      <c r="V808" s="63">
        <f t="shared" si="441"/>
        <v>3028.2635745307025</v>
      </c>
      <c r="W808" s="63">
        <f t="shared" si="441"/>
        <v>2990.2308097662171</v>
      </c>
      <c r="X808" s="63">
        <f t="shared" si="441"/>
        <v>3033.9676317068543</v>
      </c>
      <c r="Y808" s="63">
        <f t="shared" si="441"/>
        <v>4351.5525267979656</v>
      </c>
      <c r="Z808" s="63">
        <f t="shared" si="441"/>
        <v>6640.7080427173723</v>
      </c>
    </row>
    <row r="809" spans="1:26" x14ac:dyDescent="0.2">
      <c r="A809" t="str">
        <f t="shared" si="436"/>
        <v>Swanton Peaker</v>
      </c>
      <c r="C809" s="63">
        <v>11.522695130851483</v>
      </c>
      <c r="D809" s="63">
        <v>0</v>
      </c>
      <c r="E809" s="63">
        <v>0</v>
      </c>
      <c r="F809" s="63">
        <v>1.8546859868691006</v>
      </c>
      <c r="G809" s="63">
        <v>3.583812565883401</v>
      </c>
      <c r="H809" s="63">
        <v>0</v>
      </c>
      <c r="I809" s="63">
        <v>163.98651579433499</v>
      </c>
      <c r="J809" s="63">
        <v>40.553321176124776</v>
      </c>
      <c r="K809" s="63">
        <v>0</v>
      </c>
      <c r="L809" s="63">
        <v>0</v>
      </c>
      <c r="M809" s="63">
        <v>0</v>
      </c>
      <c r="N809" s="63">
        <v>55.266348587841428</v>
      </c>
      <c r="O809" s="63">
        <f t="shared" ref="O809:Z809" si="442">+O$702*O$766*O$11</f>
        <v>6.1198538835055079</v>
      </c>
      <c r="P809" s="63">
        <f t="shared" si="442"/>
        <v>0.81227359660431631</v>
      </c>
      <c r="Q809" s="63">
        <f t="shared" si="442"/>
        <v>0</v>
      </c>
      <c r="R809" s="63">
        <f t="shared" si="442"/>
        <v>9.756066813740935E-4</v>
      </c>
      <c r="S809" s="63">
        <f t="shared" si="442"/>
        <v>-0.13456615670524913</v>
      </c>
      <c r="T809" s="63">
        <f t="shared" si="442"/>
        <v>0</v>
      </c>
      <c r="U809" s="63">
        <f t="shared" si="442"/>
        <v>17.908970567992498</v>
      </c>
      <c r="V809" s="63">
        <f t="shared" si="442"/>
        <v>19.12458495585113</v>
      </c>
      <c r="W809" s="63">
        <f t="shared" si="442"/>
        <v>27.324248470411483</v>
      </c>
      <c r="X809" s="63">
        <f t="shared" si="442"/>
        <v>10.150427244864126</v>
      </c>
      <c r="Y809" s="63">
        <f t="shared" si="442"/>
        <v>31.428838722043903</v>
      </c>
      <c r="Z809" s="63">
        <f t="shared" si="442"/>
        <v>96.518789897851477</v>
      </c>
    </row>
    <row r="810" spans="1:26" x14ac:dyDescent="0.2">
      <c r="A810" t="str">
        <f t="shared" si="436"/>
        <v>SPEED FIT</v>
      </c>
      <c r="C810" s="63">
        <v>-1599.0715035445558</v>
      </c>
      <c r="D810" s="63">
        <v>-1028.9312806369783</v>
      </c>
      <c r="E810" s="63">
        <v>-269.75424858591833</v>
      </c>
      <c r="F810" s="63">
        <v>345.21670635913461</v>
      </c>
      <c r="G810" s="63">
        <v>203.20269241537363</v>
      </c>
      <c r="H810" s="63">
        <v>-396.5565582529718</v>
      </c>
      <c r="I810" s="63">
        <v>-1534.5300733178042</v>
      </c>
      <c r="J810" s="63">
        <v>-1141.0018880321118</v>
      </c>
      <c r="K810" s="63">
        <v>-533.70010610049144</v>
      </c>
      <c r="L810" s="63">
        <v>-498.75012508295788</v>
      </c>
      <c r="M810" s="63">
        <v>-696.83247732594418</v>
      </c>
      <c r="N810" s="63">
        <v>-652.27590220611023</v>
      </c>
      <c r="O810" s="63">
        <f t="shared" ref="O810:Z810" si="443">+O$703*AVERAGE(O$768:O$769)*O$10</f>
        <v>-252.95438200322545</v>
      </c>
      <c r="P810" s="63">
        <f t="shared" si="443"/>
        <v>-868.21050863014887</v>
      </c>
      <c r="Q810" s="63">
        <f t="shared" si="443"/>
        <v>726.53765456438282</v>
      </c>
      <c r="R810" s="63">
        <f t="shared" si="443"/>
        <v>384.59176069577205</v>
      </c>
      <c r="S810" s="63">
        <f t="shared" si="443"/>
        <v>515.42350472084365</v>
      </c>
      <c r="T810" s="63">
        <f t="shared" si="443"/>
        <v>-430.69058474835543</v>
      </c>
      <c r="U810" s="63">
        <f t="shared" si="443"/>
        <v>134.7405239835328</v>
      </c>
      <c r="V810" s="63">
        <f t="shared" si="443"/>
        <v>445.58034757189449</v>
      </c>
      <c r="W810" s="63">
        <f t="shared" si="443"/>
        <v>-635.84060404378124</v>
      </c>
      <c r="X810" s="63">
        <f t="shared" si="443"/>
        <v>-298.23396020420222</v>
      </c>
      <c r="Y810" s="63">
        <f t="shared" si="443"/>
        <v>-509.30298024341346</v>
      </c>
      <c r="Z810" s="63">
        <f t="shared" si="443"/>
        <v>-408.45473270170601</v>
      </c>
    </row>
    <row r="811" spans="1:26" x14ac:dyDescent="0.2">
      <c r="A811" t="str">
        <f t="shared" si="436"/>
        <v>Ryegate</v>
      </c>
      <c r="C811" s="63">
        <v>-2475.7958139805773</v>
      </c>
      <c r="D811" s="63">
        <v>-1343.3517785780218</v>
      </c>
      <c r="E811" s="63">
        <v>-236.36414517430802</v>
      </c>
      <c r="F811" s="63">
        <v>204.12940694523536</v>
      </c>
      <c r="G811" s="63">
        <v>132.58252922063451</v>
      </c>
      <c r="H811" s="63">
        <v>-238.16478148455502</v>
      </c>
      <c r="I811" s="63">
        <v>-1003.2670551017478</v>
      </c>
      <c r="J811" s="63">
        <v>-742.90745220922963</v>
      </c>
      <c r="K811" s="63">
        <v>-267.28905867640225</v>
      </c>
      <c r="L811" s="63">
        <v>-281.62630794089722</v>
      </c>
      <c r="M811" s="63">
        <v>-468.92610061679198</v>
      </c>
      <c r="N811" s="63">
        <v>-747.00927667688529</v>
      </c>
      <c r="O811" s="63">
        <f t="shared" ref="O811:Z811" si="444">+O$704*((O$768*O$34+O$769*O$35)/O$33)*O$10</f>
        <v>-229.23726728437651</v>
      </c>
      <c r="P811" s="63">
        <f t="shared" si="444"/>
        <v>-1013.3695161325862</v>
      </c>
      <c r="Q811" s="63">
        <f t="shared" si="444"/>
        <v>493.46674703528134</v>
      </c>
      <c r="R811" s="63">
        <f t="shared" si="444"/>
        <v>160.1525659420665</v>
      </c>
      <c r="S811" s="63">
        <f t="shared" si="444"/>
        <v>242.22160152406624</v>
      </c>
      <c r="T811" s="63">
        <f t="shared" si="444"/>
        <v>-197.83600508421429</v>
      </c>
      <c r="U811" s="63">
        <f t="shared" si="444"/>
        <v>83.324086790780939</v>
      </c>
      <c r="V811" s="63">
        <f t="shared" si="444"/>
        <v>268.56448381806661</v>
      </c>
      <c r="W811" s="63">
        <f t="shared" si="444"/>
        <v>-245.44739351359868</v>
      </c>
      <c r="X811" s="63">
        <f t="shared" si="444"/>
        <v>-146.46151833002892</v>
      </c>
      <c r="Y811" s="63">
        <f t="shared" si="444"/>
        <v>-291.22897547636455</v>
      </c>
      <c r="Z811" s="63">
        <f t="shared" si="444"/>
        <v>-417.74059498396406</v>
      </c>
    </row>
    <row r="812" spans="1:26" x14ac:dyDescent="0.2">
      <c r="A812" t="str">
        <f t="shared" si="436"/>
        <v>VEPPI</v>
      </c>
      <c r="C812" s="63">
        <v>0</v>
      </c>
      <c r="D812" s="63">
        <v>0</v>
      </c>
      <c r="E812" s="63">
        <v>0</v>
      </c>
      <c r="F812" s="63">
        <v>0</v>
      </c>
      <c r="G812" s="63">
        <v>0</v>
      </c>
      <c r="H812" s="63">
        <v>0</v>
      </c>
      <c r="I812" s="63">
        <v>0</v>
      </c>
      <c r="J812" s="63">
        <v>0</v>
      </c>
      <c r="K812" s="63">
        <v>0</v>
      </c>
      <c r="L812" s="63">
        <v>0</v>
      </c>
      <c r="M812" s="63">
        <v>0</v>
      </c>
      <c r="N812" s="63">
        <v>0</v>
      </c>
      <c r="O812" s="63">
        <f t="shared" ref="O812:Z812" si="445">+O$705*((O$768*O$34+O$769*O$35)/O$33)*O$10</f>
        <v>0</v>
      </c>
      <c r="P812" s="63">
        <f t="shared" si="445"/>
        <v>0</v>
      </c>
      <c r="Q812" s="63">
        <f t="shared" si="445"/>
        <v>0</v>
      </c>
      <c r="R812" s="63">
        <f t="shared" si="445"/>
        <v>0</v>
      </c>
      <c r="S812" s="63">
        <f t="shared" si="445"/>
        <v>0</v>
      </c>
      <c r="T812" s="63">
        <f t="shared" si="445"/>
        <v>0</v>
      </c>
      <c r="U812" s="63">
        <f t="shared" si="445"/>
        <v>0</v>
      </c>
      <c r="V812" s="63">
        <f t="shared" si="445"/>
        <v>0</v>
      </c>
      <c r="W812" s="63">
        <f t="shared" si="445"/>
        <v>0</v>
      </c>
      <c r="X812" s="63">
        <f t="shared" si="445"/>
        <v>0</v>
      </c>
      <c r="Y812" s="63">
        <f t="shared" si="445"/>
        <v>0</v>
      </c>
      <c r="Z812" s="63">
        <f t="shared" si="445"/>
        <v>0</v>
      </c>
    </row>
    <row r="813" spans="1:26" x14ac:dyDescent="0.2">
      <c r="A813" s="112"/>
      <c r="B813" s="112"/>
      <c r="C813" s="115"/>
      <c r="D813" s="115"/>
      <c r="E813" s="115"/>
      <c r="F813" s="115"/>
      <c r="G813" s="115"/>
      <c r="H813" s="115"/>
      <c r="I813" s="115"/>
      <c r="J813" s="115"/>
      <c r="K813" s="115"/>
      <c r="L813" s="115"/>
      <c r="M813" s="115"/>
      <c r="N813" s="115"/>
      <c r="O813" s="115"/>
      <c r="P813" s="115"/>
      <c r="Q813" s="115"/>
      <c r="R813" s="115"/>
      <c r="S813" s="115"/>
      <c r="T813" s="115"/>
      <c r="U813" s="115"/>
      <c r="V813" s="115"/>
      <c r="W813" s="115"/>
      <c r="X813" s="115"/>
      <c r="Y813" s="115"/>
      <c r="Z813" s="115"/>
    </row>
    <row r="814" spans="1:26" x14ac:dyDescent="0.2">
      <c r="A814" t="s">
        <v>62</v>
      </c>
      <c r="C814" s="63">
        <v>88769.065511862165</v>
      </c>
      <c r="D814" s="63">
        <v>74271.921692367323</v>
      </c>
      <c r="E814" s="63">
        <v>18842.2346410518</v>
      </c>
      <c r="F814" s="63">
        <v>17761.565605485732</v>
      </c>
      <c r="G814" s="63">
        <v>12757.155150544166</v>
      </c>
      <c r="H814" s="63">
        <v>29569.520244571569</v>
      </c>
      <c r="I814" s="63">
        <v>50375.226238493051</v>
      </c>
      <c r="J814" s="63">
        <v>40327.116606226708</v>
      </c>
      <c r="K814" s="63">
        <v>29876.577006645555</v>
      </c>
      <c r="L814" s="63">
        <v>34011.479796457381</v>
      </c>
      <c r="M814" s="63">
        <v>44290.652257958391</v>
      </c>
      <c r="N814" s="63">
        <v>70527.064795588623</v>
      </c>
      <c r="O814" s="63">
        <f t="shared" ref="O814:Z814" si="446">+SUM(O788:O813)</f>
        <v>63363.909501631126</v>
      </c>
      <c r="P814" s="63">
        <f t="shared" si="446"/>
        <v>33657.168943283446</v>
      </c>
      <c r="Q814" s="63">
        <f t="shared" si="446"/>
        <v>19911.518202257084</v>
      </c>
      <c r="R814" s="63">
        <f t="shared" si="446"/>
        <v>11853.024283836861</v>
      </c>
      <c r="S814" s="63">
        <f t="shared" si="446"/>
        <v>9022.2137065391798</v>
      </c>
      <c r="T814" s="63">
        <f t="shared" si="446"/>
        <v>32961.067235870927</v>
      </c>
      <c r="U814" s="63">
        <f t="shared" si="446"/>
        <v>35887.475149985075</v>
      </c>
      <c r="V814" s="63">
        <f t="shared" si="446"/>
        <v>31280.758440108752</v>
      </c>
      <c r="W814" s="63">
        <f t="shared" si="446"/>
        <v>31358.333391238677</v>
      </c>
      <c r="X814" s="63">
        <f t="shared" si="446"/>
        <v>23901.496353097074</v>
      </c>
      <c r="Y814" s="63">
        <f t="shared" si="446"/>
        <v>41132.56481392197</v>
      </c>
      <c r="Z814" s="63">
        <f t="shared" si="446"/>
        <v>63877.533323076146</v>
      </c>
    </row>
    <row r="816" spans="1:26" x14ac:dyDescent="0.2">
      <c r="A816" s="14" t="s">
        <v>63</v>
      </c>
    </row>
    <row r="817" spans="1:26" x14ac:dyDescent="0.2">
      <c r="A817" s="54" t="s">
        <v>144</v>
      </c>
    </row>
    <row r="818" spans="1:26" x14ac:dyDescent="0.2">
      <c r="A818" s="54"/>
    </row>
    <row r="819" spans="1:26" x14ac:dyDescent="0.2">
      <c r="A819" s="54"/>
    </row>
    <row r="820" spans="1:26" x14ac:dyDescent="0.2">
      <c r="A820" s="54"/>
    </row>
    <row r="821" spans="1:26" x14ac:dyDescent="0.2">
      <c r="A821" s="14" t="s">
        <v>148</v>
      </c>
      <c r="C821" s="33">
        <v>45307</v>
      </c>
      <c r="D821" s="33">
        <v>45338</v>
      </c>
      <c r="E821" s="33">
        <v>45366</v>
      </c>
      <c r="F821" s="33">
        <v>45397</v>
      </c>
      <c r="G821" s="33">
        <v>45427</v>
      </c>
      <c r="H821" s="33">
        <v>45458</v>
      </c>
      <c r="I821" s="33">
        <v>45488</v>
      </c>
      <c r="J821" s="33">
        <v>45519</v>
      </c>
      <c r="K821" s="33">
        <v>45550</v>
      </c>
      <c r="L821" s="33">
        <v>45580</v>
      </c>
      <c r="M821" s="33">
        <v>45611</v>
      </c>
      <c r="N821" s="33">
        <v>45641</v>
      </c>
      <c r="O821" s="33">
        <f t="shared" ref="O821:Z821" si="447">+O2</f>
        <v>45673</v>
      </c>
      <c r="P821" s="33">
        <f t="shared" si="447"/>
        <v>45704</v>
      </c>
      <c r="Q821" s="33">
        <f t="shared" si="447"/>
        <v>45732</v>
      </c>
      <c r="R821" s="33">
        <f t="shared" si="447"/>
        <v>45763</v>
      </c>
      <c r="S821" s="33">
        <f t="shared" si="447"/>
        <v>45793</v>
      </c>
      <c r="T821" s="33">
        <f t="shared" si="447"/>
        <v>45824</v>
      </c>
      <c r="U821" s="33">
        <f t="shared" si="447"/>
        <v>45854</v>
      </c>
      <c r="V821" s="33">
        <f t="shared" si="447"/>
        <v>45885</v>
      </c>
      <c r="W821" s="33">
        <f t="shared" si="447"/>
        <v>45916</v>
      </c>
      <c r="X821" s="33">
        <f t="shared" si="447"/>
        <v>45946</v>
      </c>
      <c r="Y821" s="33">
        <f t="shared" si="447"/>
        <v>45977</v>
      </c>
      <c r="Z821" s="33">
        <f t="shared" si="447"/>
        <v>46007</v>
      </c>
    </row>
    <row r="822" spans="1:26" x14ac:dyDescent="0.2">
      <c r="A822" t="s">
        <v>77</v>
      </c>
      <c r="C822" s="215">
        <v>4.0120324862684478E-3</v>
      </c>
      <c r="D822" s="215">
        <v>-4.6590493431453387E-3</v>
      </c>
      <c r="E822" s="215">
        <v>-4.2230944151839681E-3</v>
      </c>
      <c r="F822" s="215">
        <v>-3.4942078848521191E-3</v>
      </c>
      <c r="G822" s="215">
        <v>-2.6120778184498563E-4</v>
      </c>
      <c r="H822" s="215">
        <v>-1.1861895900001583E-4</v>
      </c>
      <c r="I822" s="215">
        <v>-2.8441124585843288E-4</v>
      </c>
      <c r="J822" s="215">
        <v>-3.4379058340402543E-6</v>
      </c>
      <c r="K822" s="215">
        <v>-2.7454179128409985E-3</v>
      </c>
      <c r="L822" s="215">
        <v>-2.4305131234130376E-3</v>
      </c>
      <c r="M822" s="215">
        <v>-1.6358769291780957E-3</v>
      </c>
      <c r="N822" s="215">
        <v>-8.089042813720043E-4</v>
      </c>
      <c r="O822" s="231">
        <v>-1.649292786762155E-5</v>
      </c>
      <c r="P822" s="231">
        <v>-8.5229955795598544E-5</v>
      </c>
      <c r="Q822" s="231">
        <v>-7.9405117671145302E-4</v>
      </c>
      <c r="R822" s="231">
        <v>-1.3838719322488524E-4</v>
      </c>
      <c r="S822" s="231">
        <v>-5.3074128774682616E-5</v>
      </c>
      <c r="T822" s="231">
        <v>-1.6244188620765999E-3</v>
      </c>
      <c r="U822" s="231">
        <v>-1.900955648423573E-5</v>
      </c>
      <c r="V822" s="231">
        <v>-5.2438433739428528E-4</v>
      </c>
      <c r="W822" s="231">
        <v>-2.5553532434479871E-5</v>
      </c>
      <c r="X822" s="231">
        <v>-1.192915024060251E-4</v>
      </c>
      <c r="Y822" s="231">
        <v>-2.1283543079347387E-3</v>
      </c>
      <c r="Z822" s="231">
        <v>-5.0019493563075378E-4</v>
      </c>
    </row>
    <row r="823" spans="1:26" x14ac:dyDescent="0.2">
      <c r="A823" t="s">
        <v>137</v>
      </c>
      <c r="C823" s="215">
        <v>-3.4919570121713086E-4</v>
      </c>
      <c r="D823" s="215">
        <v>-1.7343298033775288E-2</v>
      </c>
      <c r="E823" s="215">
        <v>-5.6729480891445708E-3</v>
      </c>
      <c r="F823" s="215">
        <v>-1.9570580656861226E-3</v>
      </c>
      <c r="G823" s="215">
        <v>-1.8494877821032736E-4</v>
      </c>
      <c r="H823" s="215">
        <v>0</v>
      </c>
      <c r="I823" s="215">
        <v>-8.1197354829778382E-5</v>
      </c>
      <c r="J823" s="215">
        <v>-1.4559876590004706E-4</v>
      </c>
      <c r="K823" s="215">
        <v>-7.2019727623570153E-3</v>
      </c>
      <c r="L823" s="215">
        <v>-5.1996023344134642E-4</v>
      </c>
      <c r="M823" s="215">
        <v>-2.6355493592559345E-3</v>
      </c>
      <c r="N823" s="215">
        <v>-7.1668235501821852E-5</v>
      </c>
      <c r="O823" s="231">
        <v>-2.9154009894209764E-4</v>
      </c>
      <c r="P823" s="231">
        <v>-1.9775603175993989E-4</v>
      </c>
      <c r="Q823" s="231">
        <v>-9.9427038035758769E-5</v>
      </c>
      <c r="R823" s="231">
        <v>-1.3918705324494573E-4</v>
      </c>
      <c r="S823" s="231">
        <v>-4.8950684351475361E-4</v>
      </c>
      <c r="T823" s="231">
        <v>-3.8081503638489391E-4</v>
      </c>
      <c r="U823" s="231">
        <v>0</v>
      </c>
      <c r="V823" s="231">
        <v>-7.4659734232830914E-4</v>
      </c>
      <c r="W823" s="231">
        <v>1.8986168955639231E-5</v>
      </c>
      <c r="X823" s="231">
        <v>-6.1516642488762007E-5</v>
      </c>
      <c r="Y823" s="231">
        <v>-5.6980755965716336E-4</v>
      </c>
      <c r="Z823" s="231">
        <v>-1.288474461591688E-4</v>
      </c>
    </row>
    <row r="824" spans="1:26" x14ac:dyDescent="0.2">
      <c r="A824" t="s">
        <v>145</v>
      </c>
      <c r="C824" s="215">
        <v>4.3496787846177736E-3</v>
      </c>
      <c r="D824" s="215">
        <v>1.2585322909627462E-3</v>
      </c>
      <c r="E824" s="215">
        <v>1.1465727964553699E-2</v>
      </c>
      <c r="F824" s="215">
        <v>2.5510558378839053E-2</v>
      </c>
      <c r="G824" s="215">
        <v>3.9252731052595797E-3</v>
      </c>
      <c r="H824" s="215">
        <v>8.0133696746677362E-4</v>
      </c>
      <c r="I824" s="215">
        <v>3.4403701187119742E-3</v>
      </c>
      <c r="J824" s="215">
        <v>4.4692775842523281E-5</v>
      </c>
      <c r="K824" s="215">
        <v>5.5284824908149108E-3</v>
      </c>
      <c r="L824" s="215">
        <v>5.646869526253615E-3</v>
      </c>
      <c r="M824" s="215">
        <v>1.7450856093904444E-2</v>
      </c>
      <c r="N824" s="215">
        <v>1.4399352191788208E-2</v>
      </c>
      <c r="O824" s="231">
        <v>8.8430166439162683E-5</v>
      </c>
      <c r="P824" s="231">
        <v>9.7361787341278619E-4</v>
      </c>
      <c r="Q824" s="231">
        <v>8.6361548920112913E-3</v>
      </c>
      <c r="R824" s="231">
        <v>-9.0911294819269554E-6</v>
      </c>
      <c r="S824" s="231">
        <v>-1.4392984074490082E-5</v>
      </c>
      <c r="T824" s="231">
        <v>2.5601892849236207E-2</v>
      </c>
      <c r="U824" s="231">
        <v>-9.2332131494859201E-6</v>
      </c>
      <c r="V824" s="231">
        <v>4.4186133154502467E-3</v>
      </c>
      <c r="W824" s="231">
        <v>3.35390113202548E-4</v>
      </c>
      <c r="X824" s="231">
        <v>4.2738294169087661E-4</v>
      </c>
      <c r="Y824" s="231">
        <v>2.0530103054027759E-2</v>
      </c>
      <c r="Z824" s="231">
        <v>4.5474641406430538E-3</v>
      </c>
    </row>
    <row r="825" spans="1:26" x14ac:dyDescent="0.2">
      <c r="A825" t="s">
        <v>139</v>
      </c>
      <c r="C825" s="215">
        <v>1.0418437533024266E-2</v>
      </c>
      <c r="D825" s="215">
        <v>4.2310649671889054E-4</v>
      </c>
      <c r="E825" s="215">
        <v>5.3410529680028521E-3</v>
      </c>
      <c r="F825" s="215">
        <v>1.1572333697290721E-2</v>
      </c>
      <c r="G825" s="215">
        <v>2.9005381558351341E-3</v>
      </c>
      <c r="H825" s="215">
        <v>0</v>
      </c>
      <c r="I825" s="215">
        <v>5.5906375456568738E-5</v>
      </c>
      <c r="J825" s="215">
        <v>0</v>
      </c>
      <c r="K825" s="215">
        <v>3.6175735086197759E-3</v>
      </c>
      <c r="L825" s="215">
        <v>1.3456570841462046E-3</v>
      </c>
      <c r="M825" s="215">
        <v>3.1925218457179272E-2</v>
      </c>
      <c r="N825" s="215">
        <v>5.0342565425669987E-4</v>
      </c>
      <c r="O825" s="231">
        <v>2.3546832423079044E-3</v>
      </c>
      <c r="P825" s="231">
        <v>2.1536114190442227E-3</v>
      </c>
      <c r="Q825" s="231">
        <v>1.1537906831402341E-3</v>
      </c>
      <c r="R825" s="231">
        <v>-5.0720705843497375E-5</v>
      </c>
      <c r="S825" s="231">
        <v>-4.7651108660728176E-5</v>
      </c>
      <c r="T825" s="231">
        <v>2.0829568212917095E-3</v>
      </c>
      <c r="U825" s="231">
        <v>0</v>
      </c>
      <c r="V825" s="231">
        <v>9.9904392570550812E-5</v>
      </c>
      <c r="W825" s="231">
        <v>1.3712233134628326E-5</v>
      </c>
      <c r="X825" s="231">
        <v>5.9279673670988866E-4</v>
      </c>
      <c r="Y825" s="231">
        <v>6.8639664268055969E-3</v>
      </c>
      <c r="Z825" s="231">
        <v>1.6034348855363241E-3</v>
      </c>
    </row>
    <row r="826" spans="1:26" x14ac:dyDescent="0.2">
      <c r="A826" t="s">
        <v>146</v>
      </c>
      <c r="C826" s="215">
        <v>4.2395374787391159E-3</v>
      </c>
      <c r="D826" s="215">
        <v>-3.448564467231663E-3</v>
      </c>
      <c r="E826" s="215">
        <v>-3.6932105635940501E-3</v>
      </c>
      <c r="F826" s="215">
        <v>-4.9083046621003126E-3</v>
      </c>
      <c r="G826" s="215">
        <v>-2.5762959305258859E-4</v>
      </c>
      <c r="H826" s="215">
        <v>-1.7634685238002352E-3</v>
      </c>
      <c r="I826" s="215">
        <v>-1.338836218446127E-3</v>
      </c>
      <c r="J826" s="215">
        <v>-1.1860775127438871E-4</v>
      </c>
      <c r="K826" s="215">
        <v>-1.7777591868320332E-3</v>
      </c>
      <c r="L826" s="215">
        <v>-2.5391394082583136E-3</v>
      </c>
      <c r="M826" s="215">
        <v>-6.125900934057185E-3</v>
      </c>
      <c r="N826" s="215">
        <v>-1.1444497610522432E-3</v>
      </c>
      <c r="O826" s="231">
        <v>2.0598614166582793E-4</v>
      </c>
      <c r="P826" s="231">
        <v>-8.5229955795598544E-5</v>
      </c>
      <c r="Q826" s="231">
        <v>-7.9405117671145302E-4</v>
      </c>
      <c r="R826" s="231">
        <v>-6.1617655377503951E-5</v>
      </c>
      <c r="S826" s="231">
        <v>-3.058509115829175E-5</v>
      </c>
      <c r="T826" s="231">
        <v>-1.5663050697365521E-3</v>
      </c>
      <c r="U826" s="231">
        <v>-2.661337907793002E-5</v>
      </c>
      <c r="V826" s="231">
        <v>-3.6325025148094367E-4</v>
      </c>
      <c r="W826" s="231">
        <v>-2.7150628211634869E-5</v>
      </c>
      <c r="X826" s="231">
        <v>-3.5693520404952155E-5</v>
      </c>
      <c r="Y826" s="231">
        <v>-1.9222796849612167E-3</v>
      </c>
      <c r="Z826" s="231">
        <v>-4.5056723966738866E-4</v>
      </c>
    </row>
    <row r="827" spans="1:26" x14ac:dyDescent="0.2">
      <c r="A827" t="s">
        <v>141</v>
      </c>
      <c r="C827" s="215">
        <v>-4.7784674903396845E-4</v>
      </c>
      <c r="D827" s="215">
        <v>-1.232026449580487E-2</v>
      </c>
      <c r="E827" s="215">
        <v>-4.1056655726420081E-3</v>
      </c>
      <c r="F827" s="215">
        <v>-1.8739397694600714E-3</v>
      </c>
      <c r="G827" s="215">
        <v>-6.4506525083114178E-4</v>
      </c>
      <c r="H827" s="215">
        <v>-2.526054200930544E-4</v>
      </c>
      <c r="I827" s="215">
        <v>-2.5823421044224602E-4</v>
      </c>
      <c r="J827" s="215">
        <v>-1.8290092906452193E-4</v>
      </c>
      <c r="K827" s="215">
        <v>-4.9792976852268724E-3</v>
      </c>
      <c r="L827" s="215">
        <v>-4.887626194348656E-4</v>
      </c>
      <c r="M827" s="215">
        <v>-6.0263450764014154E-3</v>
      </c>
      <c r="N827" s="215">
        <v>-1.4639548105555074E-3</v>
      </c>
      <c r="O827" s="231">
        <v>-8.1167413910015505E-5</v>
      </c>
      <c r="P827" s="231">
        <v>-1.9775603175993989E-4</v>
      </c>
      <c r="Q827" s="231">
        <v>-9.8334433222179007E-5</v>
      </c>
      <c r="R827" s="231">
        <v>-6.1336667531671171E-5</v>
      </c>
      <c r="S827" s="231">
        <v>-1.1912777165182062E-4</v>
      </c>
      <c r="T827" s="231">
        <v>-1.5398574110478771E-4</v>
      </c>
      <c r="U827" s="231">
        <v>0</v>
      </c>
      <c r="V827" s="231">
        <v>-4.2969631213140291E-6</v>
      </c>
      <c r="W827" s="231">
        <v>1.4767020298830511E-5</v>
      </c>
      <c r="X827" s="231">
        <v>-5.4805736035442577E-5</v>
      </c>
      <c r="Y827" s="231">
        <v>-5.7055829425486709E-4</v>
      </c>
      <c r="Z827" s="231">
        <v>-1.3035443383354505E-4</v>
      </c>
    </row>
    <row r="828" spans="1:26" x14ac:dyDescent="0.2">
      <c r="A828" t="s">
        <v>78</v>
      </c>
      <c r="C828" s="215">
        <v>4.2810661678409053E-3</v>
      </c>
      <c r="D828" s="215">
        <v>3.8205444547083369E-3</v>
      </c>
      <c r="E828" s="215">
        <v>3.3670257805801559E-2</v>
      </c>
      <c r="F828" s="215">
        <v>1.1416937596666772E-2</v>
      </c>
      <c r="G828" s="215">
        <v>-9.6611097394720653E-5</v>
      </c>
      <c r="H828" s="215">
        <v>-1.7634685238002352E-3</v>
      </c>
      <c r="I828" s="215">
        <v>3.5894345337438857E-3</v>
      </c>
      <c r="J828" s="215">
        <v>4.8130681676563535E-4</v>
      </c>
      <c r="K828" s="215">
        <v>6.1531382678351081E-3</v>
      </c>
      <c r="L828" s="215">
        <v>1.3160753323285401E-2</v>
      </c>
      <c r="M828" s="215">
        <v>-5.7473509008589482E-3</v>
      </c>
      <c r="N828" s="215">
        <v>1.1384578774865246E-4</v>
      </c>
      <c r="O828" s="231">
        <v>1.9405508746371899E-4</v>
      </c>
      <c r="P828" s="231">
        <v>9.7361787341278619E-4</v>
      </c>
      <c r="Q828" s="231">
        <v>8.6361548920112913E-3</v>
      </c>
      <c r="R828" s="231">
        <v>-9.8992298803202969E-5</v>
      </c>
      <c r="S828" s="231">
        <v>-3.058509115829175E-5</v>
      </c>
      <c r="T828" s="231">
        <v>2.5571452291343801E-2</v>
      </c>
      <c r="U828" s="231">
        <v>-1.575077537265246E-5</v>
      </c>
      <c r="V828" s="231">
        <v>4.4186133154502467E-3</v>
      </c>
      <c r="W828" s="231">
        <v>3.35390113202548E-4</v>
      </c>
      <c r="X828" s="231">
        <v>4.0953618148840038E-4</v>
      </c>
      <c r="Y828" s="231">
        <v>2.0421540082303541E-2</v>
      </c>
      <c r="Z828" s="231">
        <v>4.5102433686705313E-3</v>
      </c>
    </row>
    <row r="829" spans="1:26" x14ac:dyDescent="0.2">
      <c r="A829" t="s">
        <v>142</v>
      </c>
      <c r="C829" s="215">
        <v>-2.8487017730871204E-4</v>
      </c>
      <c r="D829" s="215">
        <v>-1.0368821390745629E-2</v>
      </c>
      <c r="E829" s="215">
        <v>2.0568278201865988E-2</v>
      </c>
      <c r="F829" s="215">
        <v>1.1387206582969062E-2</v>
      </c>
      <c r="G829" s="215">
        <v>3.8794133966068667E-4</v>
      </c>
      <c r="H829" s="215">
        <v>-2.526054200930544E-4</v>
      </c>
      <c r="I829" s="215">
        <v>1.211304801558989E-4</v>
      </c>
      <c r="J829" s="215">
        <v>-5.6554892539687701E-5</v>
      </c>
      <c r="K829" s="215">
        <v>9.509953066327969E-4</v>
      </c>
      <c r="L829" s="215">
        <v>3.8955420689425675E-3</v>
      </c>
      <c r="M829" s="215">
        <v>-5.9447437457788681E-3</v>
      </c>
      <c r="N829" s="215">
        <v>9.5091512470709978E-4</v>
      </c>
      <c r="O829" s="231">
        <v>2.4234270724561822E-3</v>
      </c>
      <c r="P829" s="231">
        <v>2.1536114190442227E-3</v>
      </c>
      <c r="Q829" s="231">
        <v>1.1537906831402341E-3</v>
      </c>
      <c r="R829" s="231">
        <v>-1.0144141168699456E-4</v>
      </c>
      <c r="S829" s="231">
        <v>-9.9634136290613562E-5</v>
      </c>
      <c r="T829" s="231">
        <v>2.0635933448653588E-3</v>
      </c>
      <c r="U829" s="231">
        <v>0</v>
      </c>
      <c r="V829" s="231">
        <v>1.0205287413120758E-4</v>
      </c>
      <c r="W829" s="231">
        <v>1.4767020298830511E-5</v>
      </c>
      <c r="X829" s="231">
        <v>5.8944128348322887E-4</v>
      </c>
      <c r="Y829" s="231">
        <v>6.8632156922078941E-3</v>
      </c>
      <c r="Z829" s="231">
        <v>1.6041883793735125E-3</v>
      </c>
    </row>
    <row r="830" spans="1:26" x14ac:dyDescent="0.2">
      <c r="A830" t="s">
        <v>79</v>
      </c>
      <c r="C830" s="215">
        <v>3.905502370746469E-3</v>
      </c>
      <c r="D830" s="215">
        <v>-2.6209089950960641E-3</v>
      </c>
      <c r="E830" s="215">
        <v>-2.8171714320710207E-3</v>
      </c>
      <c r="F830" s="215">
        <v>-3.4342350304598966E-3</v>
      </c>
      <c r="G830" s="215">
        <v>-2.5762959305258859E-4</v>
      </c>
      <c r="H830" s="215">
        <v>-1.1334700526668178E-4</v>
      </c>
      <c r="I830" s="215">
        <v>-2.8441124585843288E-4</v>
      </c>
      <c r="J830" s="215">
        <v>-3.4379058340402543E-6</v>
      </c>
      <c r="K830" s="215">
        <v>-1.7763648659011844E-3</v>
      </c>
      <c r="L830" s="215">
        <v>-1.5733838445557864E-3</v>
      </c>
      <c r="M830" s="215">
        <v>-1.8912479833197637E-3</v>
      </c>
      <c r="N830" s="215">
        <v>-1.5493298934215109E-3</v>
      </c>
      <c r="O830" s="231">
        <v>-5.2286090473949653E-4</v>
      </c>
      <c r="P830" s="231">
        <v>-8.5229955795598544E-5</v>
      </c>
      <c r="Q830" s="231">
        <v>-7.9405117671145302E-4</v>
      </c>
      <c r="R830" s="231">
        <v>4.5455647409634099E-5</v>
      </c>
      <c r="S830" s="231">
        <v>4.4978075232781947E-5</v>
      </c>
      <c r="T830" s="231">
        <v>-1.463914102280276E-3</v>
      </c>
      <c r="U830" s="231">
        <v>-6.7891273157984775E-5</v>
      </c>
      <c r="V830" s="231">
        <v>-4.5266569799932977E-4</v>
      </c>
      <c r="W830" s="231">
        <v>-1.2776766217239939E-5</v>
      </c>
      <c r="X830" s="231">
        <v>-1.1459498656326823E-4</v>
      </c>
      <c r="Y830" s="231">
        <v>-1.5185814487891111E-3</v>
      </c>
      <c r="Z830" s="231">
        <v>-2.7164633579946815E-4</v>
      </c>
    </row>
    <row r="831" spans="1:26" x14ac:dyDescent="0.2">
      <c r="A831" t="s">
        <v>80</v>
      </c>
      <c r="C831" s="215">
        <v>-3.8825048359009947E-4</v>
      </c>
      <c r="D831" s="215">
        <v>-9.7111077660383786E-3</v>
      </c>
      <c r="E831" s="215">
        <v>-3.5002642868557244E-3</v>
      </c>
      <c r="F831" s="215">
        <v>-1.628362985155828E-3</v>
      </c>
      <c r="G831" s="215">
        <v>-1.8494877821032736E-4</v>
      </c>
      <c r="H831" s="215">
        <v>0</v>
      </c>
      <c r="I831" s="215">
        <v>-4.6588646213807266E-5</v>
      </c>
      <c r="J831" s="215">
        <v>-8.302739543060535E-5</v>
      </c>
      <c r="K831" s="215">
        <v>-4.1515210395863646E-3</v>
      </c>
      <c r="L831" s="215">
        <v>-3.473334359388194E-4</v>
      </c>
      <c r="M831" s="215">
        <v>-2.6754819253052677E-3</v>
      </c>
      <c r="N831" s="215">
        <v>-2.3947678692072189E-4</v>
      </c>
      <c r="O831" s="231">
        <v>-6.8371122635426469E-4</v>
      </c>
      <c r="P831" s="231">
        <v>-1.9775603175993989E-4</v>
      </c>
      <c r="Q831" s="231">
        <v>-9.9427038035758769E-5</v>
      </c>
      <c r="R831" s="231">
        <v>4.9541154544811341E-5</v>
      </c>
      <c r="S831" s="231">
        <v>-2.4367044201508757E-4</v>
      </c>
      <c r="T831" s="231">
        <v>-1.7980370967325498E-4</v>
      </c>
      <c r="U831" s="231">
        <v>0</v>
      </c>
      <c r="V831" s="231">
        <v>-4.2110238588877289E-4</v>
      </c>
      <c r="W831" s="231">
        <v>3.5862763582874071E-5</v>
      </c>
      <c r="X831" s="231">
        <v>-6.0398158079875402E-5</v>
      </c>
      <c r="Y831" s="231">
        <v>-5.7581343643879363E-4</v>
      </c>
      <c r="Z831" s="231">
        <v>-1.3261491534510939E-4</v>
      </c>
    </row>
    <row r="832" spans="1:26" x14ac:dyDescent="0.2">
      <c r="A832" t="s">
        <v>147</v>
      </c>
      <c r="C832" s="215">
        <v>4.798369186434924E-2</v>
      </c>
      <c r="D832" s="215">
        <v>3.223826558131173E-2</v>
      </c>
      <c r="E832" s="215">
        <v>-3.4375882030280597E-3</v>
      </c>
      <c r="F832" s="215">
        <v>-3.2858811274896625E-3</v>
      </c>
      <c r="G832" s="215">
        <v>2.4689502667539753E-4</v>
      </c>
      <c r="H832" s="215">
        <v>7.0414850039276056E-2</v>
      </c>
      <c r="I832" s="215">
        <v>3.1897955805601716E-3</v>
      </c>
      <c r="J832" s="215">
        <v>-3.4379058340402543E-6</v>
      </c>
      <c r="K832" s="215">
        <v>-3.9598714436101754E-4</v>
      </c>
      <c r="L832" s="215">
        <v>-1.0862628484527549E-4</v>
      </c>
      <c r="M832" s="215">
        <v>4.2707053348515394E-3</v>
      </c>
      <c r="N832" s="215">
        <v>9.6238209899105233E-3</v>
      </c>
      <c r="O832" s="231">
        <v>3.4122464104673747E-2</v>
      </c>
      <c r="P832" s="231">
        <v>6.5062705444504973E-2</v>
      </c>
      <c r="Q832" s="231">
        <v>-7.9405117671145302E-4</v>
      </c>
      <c r="R832" s="231">
        <v>1.0530558316565249E-2</v>
      </c>
      <c r="S832" s="231">
        <v>1.439298407449023E-4</v>
      </c>
      <c r="T832" s="231">
        <v>2.2119908124861618E-2</v>
      </c>
      <c r="U832" s="231">
        <v>2.4090539367379326E-2</v>
      </c>
      <c r="V832" s="231">
        <v>-3.9678104392533849E-4</v>
      </c>
      <c r="W832" s="231">
        <v>7.1677658478716006E-3</v>
      </c>
      <c r="X832" s="231">
        <v>3.3627053434139302E-4</v>
      </c>
      <c r="Y832" s="231">
        <v>2.1299795021222322E-2</v>
      </c>
      <c r="Z832" s="231">
        <v>4.4506248339145509E-2</v>
      </c>
    </row>
    <row r="833" spans="1:26" x14ac:dyDescent="0.2">
      <c r="A833" t="s">
        <v>143</v>
      </c>
      <c r="C833" s="215">
        <v>3.1969785382484163E-2</v>
      </c>
      <c r="D833" s="215">
        <v>0.13100299293602005</v>
      </c>
      <c r="E833" s="215">
        <v>8.9181448291969362E-3</v>
      </c>
      <c r="F833" s="215">
        <v>-6.0449669982582939E-4</v>
      </c>
      <c r="G833" s="215">
        <v>5.8191200949103011E-4</v>
      </c>
      <c r="H833" s="215">
        <v>5.4456949550601305E-2</v>
      </c>
      <c r="I833" s="215">
        <v>2.3693654360164844E-2</v>
      </c>
      <c r="J833" s="215">
        <v>3.9949413453566632E-4</v>
      </c>
      <c r="K833" s="215">
        <v>-1.442290224178977E-3</v>
      </c>
      <c r="L833" s="215">
        <v>-4.3676659609073103E-4</v>
      </c>
      <c r="M833" s="215">
        <v>2.2292789046670755E-3</v>
      </c>
      <c r="N833" s="215">
        <v>8.5529921051320582E-3</v>
      </c>
      <c r="O833" s="231">
        <v>3.5787789503518623E-2</v>
      </c>
      <c r="P833" s="231">
        <v>5.7424814523331577E-2</v>
      </c>
      <c r="Q833" s="231">
        <v>-9.9427038035758769E-5</v>
      </c>
      <c r="R833" s="231">
        <v>4.4233173700724393E-4</v>
      </c>
      <c r="S833" s="231">
        <v>6.7902829841537718E-4</v>
      </c>
      <c r="T833" s="231">
        <v>3.0419099395490689E-3</v>
      </c>
      <c r="U833" s="231">
        <v>1.4992097719035313E-2</v>
      </c>
      <c r="V833" s="231">
        <v>-3.9746908872154541E-5</v>
      </c>
      <c r="W833" s="231">
        <v>-3.6179199732134636E-4</v>
      </c>
      <c r="X833" s="231">
        <v>4.3620891946576391E-5</v>
      </c>
      <c r="Y833" s="231">
        <v>1.9343427644435474E-2</v>
      </c>
      <c r="Z833" s="231">
        <v>2.5031065271389451E-2</v>
      </c>
    </row>
    <row r="834" spans="1:26" x14ac:dyDescent="0.2">
      <c r="A834" t="s">
        <v>262</v>
      </c>
      <c r="C834" s="215">
        <v>0</v>
      </c>
      <c r="D834" s="215">
        <v>0</v>
      </c>
      <c r="E834" s="215">
        <v>0</v>
      </c>
      <c r="F834" s="215">
        <v>0</v>
      </c>
      <c r="G834" s="215">
        <v>0</v>
      </c>
      <c r="H834" s="215">
        <v>0</v>
      </c>
      <c r="I834" s="215">
        <v>0</v>
      </c>
      <c r="J834" s="215">
        <v>0</v>
      </c>
      <c r="K834" s="215">
        <v>0</v>
      </c>
      <c r="L834" s="215">
        <v>0</v>
      </c>
      <c r="M834" s="215">
        <v>0</v>
      </c>
      <c r="N834" s="215">
        <v>0</v>
      </c>
      <c r="O834" s="231">
        <v>0</v>
      </c>
      <c r="P834" s="231">
        <v>0</v>
      </c>
      <c r="Q834" s="231">
        <v>0</v>
      </c>
      <c r="R834" s="231">
        <v>0</v>
      </c>
      <c r="S834" s="231">
        <v>0</v>
      </c>
      <c r="T834" s="231">
        <v>0</v>
      </c>
      <c r="U834" s="231">
        <v>0</v>
      </c>
      <c r="V834" s="231">
        <v>0</v>
      </c>
      <c r="W834" s="231">
        <v>0</v>
      </c>
      <c r="X834" s="231">
        <v>0</v>
      </c>
      <c r="Y834" s="231">
        <v>0</v>
      </c>
      <c r="Z834" s="231">
        <v>0</v>
      </c>
    </row>
    <row r="835" spans="1:26" x14ac:dyDescent="0.2">
      <c r="A835" t="s">
        <v>263</v>
      </c>
      <c r="C835" s="215">
        <v>0</v>
      </c>
      <c r="D835" s="215">
        <v>0</v>
      </c>
      <c r="E835" s="215">
        <v>0</v>
      </c>
      <c r="F835" s="215">
        <v>0</v>
      </c>
      <c r="G835" s="215">
        <v>0</v>
      </c>
      <c r="H835" s="215">
        <v>0</v>
      </c>
      <c r="I835" s="215">
        <v>0</v>
      </c>
      <c r="J835" s="215">
        <v>0</v>
      </c>
      <c r="K835" s="215">
        <v>0</v>
      </c>
      <c r="L835" s="215">
        <v>0</v>
      </c>
      <c r="M835" s="215">
        <v>0</v>
      </c>
      <c r="N835" s="215">
        <v>0</v>
      </c>
      <c r="O835" s="231">
        <v>0</v>
      </c>
      <c r="P835" s="231">
        <v>0</v>
      </c>
      <c r="Q835" s="231">
        <v>0</v>
      </c>
      <c r="R835" s="231">
        <v>0</v>
      </c>
      <c r="S835" s="231">
        <v>0</v>
      </c>
      <c r="T835" s="231">
        <v>0</v>
      </c>
      <c r="U835" s="231">
        <v>0</v>
      </c>
      <c r="V835" s="231">
        <v>0</v>
      </c>
      <c r="W835" s="231">
        <v>0</v>
      </c>
      <c r="X835" s="231">
        <v>0</v>
      </c>
      <c r="Y835" s="231">
        <v>0</v>
      </c>
      <c r="Z835" s="231">
        <v>0</v>
      </c>
    </row>
    <row r="836" spans="1:26" x14ac:dyDescent="0.2">
      <c r="A836" t="s">
        <v>327</v>
      </c>
      <c r="C836" s="215">
        <v>4.2575934305225027E-3</v>
      </c>
      <c r="D836" s="215">
        <v>1.1100502792949739E-2</v>
      </c>
      <c r="E836" s="215">
        <v>7.1041714373964851E-2</v>
      </c>
      <c r="F836" s="215">
        <v>2.7805309175846723E-2</v>
      </c>
      <c r="G836" s="215">
        <v>0.45850195548017508</v>
      </c>
      <c r="H836" s="215">
        <v>-1.7634685238002352E-3</v>
      </c>
      <c r="I836" s="215">
        <v>8.5186197915475912E-3</v>
      </c>
      <c r="J836" s="215">
        <v>1.0820808612641696E-3</v>
      </c>
      <c r="K836" s="215">
        <v>7.065581884982465E-2</v>
      </c>
      <c r="L836" s="215">
        <v>3.2445313454723207E-2</v>
      </c>
      <c r="M836" s="215">
        <v>-3.7870025146537916E-3</v>
      </c>
      <c r="N836" s="215">
        <v>1.3635815028842358E-3</v>
      </c>
      <c r="O836" s="231">
        <v>2.38621084042186E-4</v>
      </c>
      <c r="P836" s="231">
        <v>6.0273703333719932E-2</v>
      </c>
      <c r="Q836" s="231">
        <v>1.8066360960734048E-2</v>
      </c>
      <c r="R836" s="231">
        <v>0.28853022699540043</v>
      </c>
      <c r="S836" s="231">
        <v>-3.7781583195536734E-5</v>
      </c>
      <c r="T836" s="231">
        <v>0.17998879234004861</v>
      </c>
      <c r="U836" s="231">
        <v>-1.846642629897185E-5</v>
      </c>
      <c r="V836" s="231">
        <v>1.9086472188070504E-2</v>
      </c>
      <c r="W836" s="231">
        <v>8.4166947456068043E-4</v>
      </c>
      <c r="X836" s="231">
        <v>8.3034400099941876E-4</v>
      </c>
      <c r="Y836" s="231">
        <v>8.0234536880949781E-2</v>
      </c>
      <c r="Z836" s="231">
        <v>9.4455871330272612E-3</v>
      </c>
    </row>
    <row r="837" spans="1:26" x14ac:dyDescent="0.2">
      <c r="A837" t="s">
        <v>328</v>
      </c>
      <c r="C837" s="215">
        <v>-9.1893605583455489E-5</v>
      </c>
      <c r="D837" s="215">
        <v>-8.4133099539871695E-3</v>
      </c>
      <c r="E837" s="215">
        <v>4.5245295079347526E-2</v>
      </c>
      <c r="F837" s="215">
        <v>2.4655909144146018E-2</v>
      </c>
      <c r="G837" s="215">
        <v>2.9510607489072235E-2</v>
      </c>
      <c r="H837" s="215">
        <v>-2.526054200930544E-4</v>
      </c>
      <c r="I837" s="215">
        <v>5.0315737910911851E-4</v>
      </c>
      <c r="J837" s="215">
        <v>6.7384552813244905E-5</v>
      </c>
      <c r="K837" s="215">
        <v>1.1167086084031969E-2</v>
      </c>
      <c r="L837" s="215">
        <v>8.2715273935849397E-3</v>
      </c>
      <c r="M837" s="215">
        <v>-4.7467667642988971E-3</v>
      </c>
      <c r="N837" s="215">
        <v>3.3570450312499726E-3</v>
      </c>
      <c r="O837" s="231">
        <v>4.9536969652633029E-3</v>
      </c>
      <c r="P837" s="231">
        <v>9.594383085588961E-3</v>
      </c>
      <c r="Q837" s="231">
        <v>2.4059157995026449E-3</v>
      </c>
      <c r="R837" s="231">
        <v>0.20871334544339365</v>
      </c>
      <c r="S837" s="231">
        <v>-1.2237671087868848E-4</v>
      </c>
      <c r="T837" s="231">
        <v>4.4994264722696568E-2</v>
      </c>
      <c r="U837" s="231">
        <v>0</v>
      </c>
      <c r="V837" s="231">
        <v>2.073284706034009E-4</v>
      </c>
      <c r="W837" s="231">
        <v>1.4767020298830511E-5</v>
      </c>
      <c r="X837" s="231">
        <v>1.23704375622856E-3</v>
      </c>
      <c r="Y837" s="231">
        <v>1.4297740413268352E-2</v>
      </c>
      <c r="Z837" s="231">
        <v>3.338731192580574E-3</v>
      </c>
    </row>
    <row r="838" spans="1:26" x14ac:dyDescent="0.2">
      <c r="A838" t="s">
        <v>329</v>
      </c>
      <c r="C838" s="215">
        <v>3.9849485585933689E-3</v>
      </c>
      <c r="D838" s="215">
        <v>-4.6838480089771177E-3</v>
      </c>
      <c r="E838" s="215">
        <v>-4.1964670859583452E-3</v>
      </c>
      <c r="F838" s="215">
        <v>-3.4815820207695462E-3</v>
      </c>
      <c r="G838" s="215">
        <v>-2.6478597063738266E-4</v>
      </c>
      <c r="H838" s="215">
        <v>-1.2125493586668283E-4</v>
      </c>
      <c r="I838" s="215">
        <v>-2.8441124585843288E-4</v>
      </c>
      <c r="J838" s="215">
        <v>-3.4379058340402543E-6</v>
      </c>
      <c r="K838" s="215">
        <v>-2.7454179128409985E-3</v>
      </c>
      <c r="L838" s="215">
        <v>-2.4305131234130376E-3</v>
      </c>
      <c r="M838" s="215">
        <v>-1.6268638331495664E-3</v>
      </c>
      <c r="N838" s="215">
        <v>-6.7280292609354008E-4</v>
      </c>
      <c r="O838" s="231">
        <v>6.0041275705320673E-4</v>
      </c>
      <c r="P838" s="231">
        <v>-8.5229955795598544E-5</v>
      </c>
      <c r="Q838" s="231">
        <v>-7.9405117671145302E-4</v>
      </c>
      <c r="R838" s="231">
        <v>-1.6667070716865718E-4</v>
      </c>
      <c r="S838" s="231">
        <v>-7.1964920372450986E-5</v>
      </c>
      <c r="T838" s="231">
        <v>-8.7482012397608992E-3</v>
      </c>
      <c r="U838" s="231">
        <v>-3.041529037477716E-5</v>
      </c>
      <c r="V838" s="231">
        <v>-5.2717857009798488E-4</v>
      </c>
      <c r="W838" s="231">
        <v>6.4362959819346151E-4</v>
      </c>
      <c r="X838" s="231">
        <v>1.485977612648282E-3</v>
      </c>
      <c r="Y838" s="231">
        <v>-2.2265160368590341E-3</v>
      </c>
      <c r="Z838" s="231">
        <v>-5.3937469560183125E-4</v>
      </c>
    </row>
    <row r="839" spans="1:26" x14ac:dyDescent="0.2">
      <c r="A839" t="s">
        <v>330</v>
      </c>
      <c r="C839" s="215">
        <v>-3.5838506177547635E-4</v>
      </c>
      <c r="D839" s="215">
        <v>-1.7390761903599523E-2</v>
      </c>
      <c r="E839" s="215">
        <v>-5.6053398237268142E-3</v>
      </c>
      <c r="F839" s="215">
        <v>-1.9570580656861226E-3</v>
      </c>
      <c r="G839" s="215">
        <v>-1.8494877821032736E-4</v>
      </c>
      <c r="H839" s="215">
        <v>0</v>
      </c>
      <c r="I839" s="215">
        <v>-8.1197354829778382E-5</v>
      </c>
      <c r="J839" s="215">
        <v>-1.4680206148599787E-4</v>
      </c>
      <c r="K839" s="215">
        <v>-7.2035524887799933E-3</v>
      </c>
      <c r="L839" s="215">
        <v>-5.1996023344134642E-4</v>
      </c>
      <c r="M839" s="215">
        <v>-2.6372855577798189E-3</v>
      </c>
      <c r="N839" s="215">
        <v>2.6220086159203141E-5</v>
      </c>
      <c r="O839" s="231">
        <v>2.0457501260993691E-4</v>
      </c>
      <c r="P839" s="231">
        <v>-1.9775603175993989E-4</v>
      </c>
      <c r="Q839" s="231">
        <v>-9.9427038035758769E-5</v>
      </c>
      <c r="R839" s="231">
        <v>-1.7103493830946702E-4</v>
      </c>
      <c r="S839" s="231">
        <v>-4.4618765382318241E-4</v>
      </c>
      <c r="T839" s="231">
        <v>-3.9925644250522784E-4</v>
      </c>
      <c r="U839" s="231">
        <v>0</v>
      </c>
      <c r="V839" s="231">
        <v>-7.4767158310863754E-4</v>
      </c>
      <c r="W839" s="231">
        <v>1.8986168955639231E-5</v>
      </c>
      <c r="X839" s="231">
        <v>-6.0398158079875402E-5</v>
      </c>
      <c r="Y839" s="231">
        <v>-5.7055829425486709E-4</v>
      </c>
      <c r="Z839" s="231">
        <v>-1.2658696464760446E-4</v>
      </c>
    </row>
    <row r="840" spans="1:26" x14ac:dyDescent="0.2">
      <c r="A840" s="54" t="s">
        <v>361</v>
      </c>
      <c r="C840" s="215">
        <v>1.1254274746584716E-2</v>
      </c>
      <c r="D840" s="215">
        <v>2.5682118302035352E-3</v>
      </c>
      <c r="E840" s="215">
        <v>2.3860749719081677E-2</v>
      </c>
      <c r="F840" s="215">
        <v>5.3173826583756828E-2</v>
      </c>
      <c r="G840" s="215">
        <v>0.1960131820475112</v>
      </c>
      <c r="H840" s="215">
        <v>1.6843892178002246E-3</v>
      </c>
      <c r="I840" s="215">
        <v>7.1633224720549938E-3</v>
      </c>
      <c r="J840" s="215">
        <v>9.1104504602066688E-5</v>
      </c>
      <c r="K840" s="215">
        <v>5.8820822788781292E-2</v>
      </c>
      <c r="L840" s="215">
        <v>1.3394978749983027E-2</v>
      </c>
      <c r="M840" s="215">
        <v>3.6074916854189135E-2</v>
      </c>
      <c r="N840" s="215">
        <v>3.0003072980285841E-2</v>
      </c>
      <c r="O840" s="231">
        <v>1.7019297905949998E-4</v>
      </c>
      <c r="P840" s="231">
        <v>6.0853420600617943E-2</v>
      </c>
      <c r="Q840" s="231">
        <v>2.5609847139492836E-2</v>
      </c>
      <c r="R840" s="231">
        <v>0.33697483575359244</v>
      </c>
      <c r="S840" s="231">
        <v>9.5182602807613228E-3</v>
      </c>
      <c r="T840" s="231">
        <v>0.3207549258357314</v>
      </c>
      <c r="U840" s="231">
        <v>-1.4121384816860822E-5</v>
      </c>
      <c r="V840" s="231">
        <v>3.8070489177005354E-2</v>
      </c>
      <c r="W840" s="231">
        <v>3.7706632750740751E-2</v>
      </c>
      <c r="X840" s="231">
        <v>8.4349424535913825E-4</v>
      </c>
      <c r="Y840" s="231">
        <v>5.7277043788489343E-2</v>
      </c>
      <c r="Z840" s="231">
        <v>9.4717069730079831E-3</v>
      </c>
    </row>
    <row r="841" spans="1:26" x14ac:dyDescent="0.2">
      <c r="A841" s="54" t="s">
        <v>362</v>
      </c>
      <c r="C841" s="215">
        <v>2.1946490353468753E-2</v>
      </c>
      <c r="D841" s="215">
        <v>8.5841798853544154E-4</v>
      </c>
      <c r="E841" s="215">
        <v>1.1096974837432853E-2</v>
      </c>
      <c r="F841" s="215">
        <v>2.4168533679911442E-2</v>
      </c>
      <c r="G841" s="215">
        <v>2.6380011096926694E-2</v>
      </c>
      <c r="H841" s="215">
        <v>0</v>
      </c>
      <c r="I841" s="215">
        <v>1.1713716762328687E-4</v>
      </c>
      <c r="J841" s="215">
        <v>0</v>
      </c>
      <c r="K841" s="215">
        <v>1.3148063018446465E-2</v>
      </c>
      <c r="L841" s="215">
        <v>2.7973860559144439E-3</v>
      </c>
      <c r="M841" s="215">
        <v>6.6430427920850188E-2</v>
      </c>
      <c r="N841" s="215">
        <v>0.13403708044584633</v>
      </c>
      <c r="O841" s="231">
        <v>4.9073155858861527E-3</v>
      </c>
      <c r="P841" s="231">
        <v>1.0672394624573006E-2</v>
      </c>
      <c r="Q841" s="231">
        <v>2.9347365292752515E-3</v>
      </c>
      <c r="R841" s="231">
        <v>0.22024699804194514</v>
      </c>
      <c r="S841" s="231">
        <v>-8.7721359125431496E-5</v>
      </c>
      <c r="T841" s="231">
        <v>0.12766247800862315</v>
      </c>
      <c r="U841" s="231">
        <v>0</v>
      </c>
      <c r="V841" s="231">
        <v>5.340050919012981E-3</v>
      </c>
      <c r="W841" s="231">
        <v>1.4767020298830511E-5</v>
      </c>
      <c r="X841" s="231">
        <v>1.23704375622856E-3</v>
      </c>
      <c r="Y841" s="231">
        <v>1.4297740413268352E-2</v>
      </c>
      <c r="Z841" s="231">
        <v>3.338731192580574E-3</v>
      </c>
    </row>
    <row r="843" spans="1:26" x14ac:dyDescent="0.2">
      <c r="C843" s="74">
        <v>45307</v>
      </c>
      <c r="D843" s="74">
        <v>45338</v>
      </c>
      <c r="E843" s="74">
        <v>45366</v>
      </c>
      <c r="F843" s="74">
        <v>45397</v>
      </c>
      <c r="G843" s="74">
        <v>45427</v>
      </c>
      <c r="H843" s="74">
        <v>45458</v>
      </c>
      <c r="I843" s="74">
        <v>45488</v>
      </c>
      <c r="J843" s="74">
        <v>45519</v>
      </c>
      <c r="K843" s="74">
        <v>45550</v>
      </c>
      <c r="L843" s="74">
        <v>45580</v>
      </c>
      <c r="M843" s="74">
        <v>45611</v>
      </c>
      <c r="N843" s="74">
        <v>45641</v>
      </c>
      <c r="O843" s="74">
        <f t="shared" ref="O843:Z843" si="448">+O2</f>
        <v>45673</v>
      </c>
      <c r="P843" s="74">
        <f t="shared" si="448"/>
        <v>45704</v>
      </c>
      <c r="Q843" s="74">
        <f t="shared" si="448"/>
        <v>45732</v>
      </c>
      <c r="R843" s="74">
        <f t="shared" si="448"/>
        <v>45763</v>
      </c>
      <c r="S843" s="74">
        <f t="shared" si="448"/>
        <v>45793</v>
      </c>
      <c r="T843" s="74">
        <f t="shared" si="448"/>
        <v>45824</v>
      </c>
      <c r="U843" s="74">
        <f t="shared" si="448"/>
        <v>45854</v>
      </c>
      <c r="V843" s="74">
        <f t="shared" si="448"/>
        <v>45885</v>
      </c>
      <c r="W843" s="74">
        <f t="shared" si="448"/>
        <v>45916</v>
      </c>
      <c r="X843" s="74">
        <f t="shared" si="448"/>
        <v>45946</v>
      </c>
      <c r="Y843" s="74">
        <f t="shared" si="448"/>
        <v>45977</v>
      </c>
      <c r="Z843" s="74">
        <f t="shared" si="448"/>
        <v>46007</v>
      </c>
    </row>
    <row r="844" spans="1:26" x14ac:dyDescent="0.2">
      <c r="A844" t="str">
        <f t="shared" ref="A844:A850" si="449">+A679</f>
        <v>Delvin Warner</v>
      </c>
      <c r="C844" s="63">
        <v>0</v>
      </c>
      <c r="D844" s="63">
        <v>0</v>
      </c>
      <c r="E844" s="63">
        <v>0</v>
      </c>
      <c r="F844" s="63">
        <v>0</v>
      </c>
      <c r="G844" s="63">
        <v>0</v>
      </c>
      <c r="H844" s="63">
        <v>0</v>
      </c>
      <c r="I844" s="63">
        <v>0</v>
      </c>
      <c r="J844" s="63">
        <v>0</v>
      </c>
      <c r="K844" s="63">
        <v>0</v>
      </c>
      <c r="L844" s="63">
        <v>0</v>
      </c>
      <c r="M844" s="63">
        <v>0</v>
      </c>
      <c r="N844" s="63">
        <v>0</v>
      </c>
      <c r="O844" s="63">
        <v>0</v>
      </c>
      <c r="P844" s="63">
        <v>0</v>
      </c>
      <c r="Q844" s="63">
        <v>0</v>
      </c>
      <c r="R844" s="63">
        <v>0</v>
      </c>
      <c r="S844" s="63">
        <v>0</v>
      </c>
      <c r="T844" s="63">
        <v>0</v>
      </c>
      <c r="U844" s="63">
        <v>0</v>
      </c>
      <c r="V844" s="63">
        <v>0</v>
      </c>
      <c r="W844" s="63">
        <v>0</v>
      </c>
      <c r="X844" s="63">
        <v>0</v>
      </c>
      <c r="Y844" s="63">
        <v>0</v>
      </c>
      <c r="Z844" s="63">
        <v>0</v>
      </c>
    </row>
    <row r="845" spans="1:26" x14ac:dyDescent="0.2">
      <c r="A845" t="str">
        <f t="shared" si="449"/>
        <v>Arlon Warner</v>
      </c>
      <c r="C845" s="63">
        <v>0</v>
      </c>
      <c r="D845" s="63">
        <v>0</v>
      </c>
      <c r="E845" s="63">
        <v>0</v>
      </c>
      <c r="F845" s="63">
        <v>0</v>
      </c>
      <c r="G845" s="63">
        <v>0</v>
      </c>
      <c r="H845" s="63">
        <v>0</v>
      </c>
      <c r="I845" s="63">
        <v>0</v>
      </c>
      <c r="J845" s="63">
        <v>0</v>
      </c>
      <c r="K845" s="63">
        <v>0</v>
      </c>
      <c r="L845" s="63">
        <v>0</v>
      </c>
      <c r="M845" s="63">
        <v>0</v>
      </c>
      <c r="N845" s="63">
        <v>0</v>
      </c>
      <c r="O845" s="63">
        <v>0</v>
      </c>
      <c r="P845" s="63">
        <v>0</v>
      </c>
      <c r="Q845" s="63">
        <v>0</v>
      </c>
      <c r="R845" s="63">
        <v>0</v>
      </c>
      <c r="S845" s="63">
        <v>0</v>
      </c>
      <c r="T845" s="63">
        <v>0</v>
      </c>
      <c r="U845" s="63">
        <v>0</v>
      </c>
      <c r="V845" s="63">
        <v>0</v>
      </c>
      <c r="W845" s="63">
        <v>0</v>
      </c>
      <c r="X845" s="63">
        <v>0</v>
      </c>
      <c r="Y845" s="63">
        <v>0</v>
      </c>
      <c r="Z845" s="63">
        <v>0</v>
      </c>
    </row>
    <row r="846" spans="1:26" x14ac:dyDescent="0.2">
      <c r="A846" t="str">
        <f t="shared" si="449"/>
        <v>First Wind - Indexed Price</v>
      </c>
      <c r="C846" s="63"/>
      <c r="D846" s="63"/>
      <c r="E846" s="63"/>
      <c r="F846" s="63"/>
      <c r="G846" s="63"/>
      <c r="H846" s="63"/>
      <c r="I846" s="63"/>
      <c r="J846" s="63"/>
      <c r="K846" s="63"/>
      <c r="L846" s="63"/>
      <c r="M846" s="63"/>
      <c r="N846" s="63"/>
      <c r="O846" s="63"/>
      <c r="P846" s="63"/>
      <c r="Q846" s="63"/>
      <c r="R846" s="63"/>
      <c r="S846" s="63"/>
      <c r="T846" s="63"/>
      <c r="U846" s="63"/>
      <c r="V846" s="63"/>
      <c r="W846" s="63"/>
      <c r="X846" s="63"/>
      <c r="Y846" s="63"/>
      <c r="Z846" s="63"/>
    </row>
    <row r="847" spans="1:26" x14ac:dyDescent="0.2">
      <c r="A847" t="str">
        <f t="shared" si="449"/>
        <v>Frist Wind - Fixd Price</v>
      </c>
      <c r="C847" s="63">
        <v>63.055251315497379</v>
      </c>
      <c r="D847" s="63">
        <v>61.243337163925887</v>
      </c>
      <c r="E847" s="63">
        <v>1348.7132655922273</v>
      </c>
      <c r="F847" s="63">
        <v>703.06105038926228</v>
      </c>
      <c r="G847" s="63">
        <v>5385.7415653718535</v>
      </c>
      <c r="H847" s="63">
        <v>-12.367253224433522</v>
      </c>
      <c r="I847" s="63">
        <v>125.90753490507581</v>
      </c>
      <c r="J847" s="63">
        <v>8.8323552937093233</v>
      </c>
      <c r="K847" s="63">
        <v>798.46085306646194</v>
      </c>
      <c r="L847" s="63">
        <v>435.62737256039372</v>
      </c>
      <c r="M847" s="63">
        <v>-154.46286512609504</v>
      </c>
      <c r="N847" s="63">
        <v>162.03019952214245</v>
      </c>
      <c r="O847" s="63">
        <f t="shared" ref="O847:Z847" si="450">+O$682*((O$836*O$34+O$837*O$35)/O$33)*O$10</f>
        <v>112.3551929072301</v>
      </c>
      <c r="P847" s="63">
        <f t="shared" si="450"/>
        <v>2165.0189690559755</v>
      </c>
      <c r="Q847" s="63">
        <f t="shared" si="450"/>
        <v>550.69562230349186</v>
      </c>
      <c r="R847" s="63">
        <f t="shared" si="450"/>
        <v>8866.668281027416</v>
      </c>
      <c r="S847" s="63">
        <f t="shared" si="450"/>
        <v>-1.6252205456577447</v>
      </c>
      <c r="T847" s="63">
        <f t="shared" si="450"/>
        <v>2275.1512658783222</v>
      </c>
      <c r="U847" s="63">
        <f t="shared" si="450"/>
        <v>-0.16954128842348271</v>
      </c>
      <c r="V847" s="63">
        <f t="shared" si="450"/>
        <v>271.36849204176508</v>
      </c>
      <c r="W847" s="63">
        <f t="shared" si="450"/>
        <v>4.2713017476188533</v>
      </c>
      <c r="X847" s="63">
        <f t="shared" si="450"/>
        <v>28.697479827806891</v>
      </c>
      <c r="Y847" s="63">
        <f t="shared" si="450"/>
        <v>1755.0111690020262</v>
      </c>
      <c r="Z847" s="63">
        <f t="shared" si="450"/>
        <v>327.64070026007676</v>
      </c>
    </row>
    <row r="848" spans="1:26" x14ac:dyDescent="0.2">
      <c r="A848" t="str">
        <f t="shared" si="449"/>
        <v>Kingdom Community Wind</v>
      </c>
      <c r="C848" s="63">
        <v>1444.2433623819406</v>
      </c>
      <c r="D848" s="63">
        <v>318.47768555326007</v>
      </c>
      <c r="E848" s="63">
        <v>888.35149483618761</v>
      </c>
      <c r="F848" s="63">
        <v>2534.8647316489387</v>
      </c>
      <c r="G848" s="63">
        <v>6450.6407403857811</v>
      </c>
      <c r="H848" s="63">
        <v>35.673593919584995</v>
      </c>
      <c r="I848" s="63">
        <v>323.98197858223307</v>
      </c>
      <c r="J848" s="63">
        <v>2.1424432622223195</v>
      </c>
      <c r="K848" s="63">
        <v>2060.9014017321524</v>
      </c>
      <c r="L848" s="63">
        <v>496.49837704010679</v>
      </c>
      <c r="M848" s="63">
        <v>6234.5621309649987</v>
      </c>
      <c r="N848" s="63">
        <v>16964.779745016218</v>
      </c>
      <c r="O848" s="63">
        <f t="shared" ref="O848:Z848" si="451">+O$683*((O$840*O$34+O$841*O$35)/O$33)*O$10</f>
        <v>265.00335864538812</v>
      </c>
      <c r="P848" s="63">
        <f t="shared" si="451"/>
        <v>5061.8438688278011</v>
      </c>
      <c r="Q848" s="63">
        <f t="shared" si="451"/>
        <v>1496.1112862989007</v>
      </c>
      <c r="R848" s="63">
        <f t="shared" si="451"/>
        <v>23377.298724331707</v>
      </c>
      <c r="S848" s="63">
        <f t="shared" si="451"/>
        <v>230.06099751076889</v>
      </c>
      <c r="T848" s="63">
        <f t="shared" si="451"/>
        <v>13416.167600624349</v>
      </c>
      <c r="U848" s="63">
        <f t="shared" si="451"/>
        <v>-0.3756202863884901</v>
      </c>
      <c r="V848" s="63">
        <f t="shared" si="451"/>
        <v>2025.4573847238014</v>
      </c>
      <c r="W848" s="63">
        <f t="shared" si="451"/>
        <v>641.7032474546055</v>
      </c>
      <c r="X848" s="63">
        <f t="shared" si="451"/>
        <v>78.718332454092163</v>
      </c>
      <c r="Y848" s="63">
        <f t="shared" si="451"/>
        <v>2944.6827729639767</v>
      </c>
      <c r="Z848" s="63">
        <f t="shared" si="451"/>
        <v>667.72361026951285</v>
      </c>
    </row>
    <row r="849" spans="1:26" x14ac:dyDescent="0.2">
      <c r="A849" t="str">
        <f t="shared" si="449"/>
        <v>PSEG</v>
      </c>
      <c r="C849" s="115"/>
      <c r="D849" s="115"/>
      <c r="E849" s="115"/>
      <c r="F849" s="115"/>
      <c r="G849" s="115"/>
      <c r="H849" s="115"/>
      <c r="I849" s="115"/>
      <c r="J849" s="115"/>
      <c r="K849" s="115"/>
      <c r="L849" s="115"/>
      <c r="M849" s="115"/>
      <c r="N849" s="115"/>
      <c r="O849" s="115"/>
      <c r="P849" s="115"/>
      <c r="Q849" s="115"/>
      <c r="R849" s="115"/>
      <c r="S849" s="115"/>
      <c r="T849" s="115"/>
      <c r="U849" s="115"/>
      <c r="V849" s="115"/>
      <c r="W849" s="115"/>
      <c r="X849" s="115"/>
      <c r="Y849" s="115"/>
      <c r="Z849" s="115"/>
    </row>
    <row r="850" spans="1:26" x14ac:dyDescent="0.2">
      <c r="A850" t="str">
        <f t="shared" si="449"/>
        <v>HQUS</v>
      </c>
      <c r="C850" s="63">
        <v>6319.7909756352983</v>
      </c>
      <c r="D850" s="63">
        <v>1497.3292283275159</v>
      </c>
      <c r="E850" s="63">
        <v>3245.4577708665065</v>
      </c>
      <c r="F850" s="63">
        <v>7529.4923266311043</v>
      </c>
      <c r="G850" s="63">
        <v>1229.2950495758057</v>
      </c>
      <c r="H850" s="63">
        <v>364.71730202495752</v>
      </c>
      <c r="I850" s="63">
        <v>2413.9067946852592</v>
      </c>
      <c r="J850" s="63">
        <v>26.018131859159311</v>
      </c>
      <c r="K850" s="63">
        <v>2428.6402442850272</v>
      </c>
      <c r="L850" s="63">
        <v>2480.1502708867979</v>
      </c>
      <c r="M850" s="63">
        <v>10024.888595128723</v>
      </c>
      <c r="N850" s="63">
        <v>12813.603372574464</v>
      </c>
      <c r="O850" s="63">
        <f t="shared" ref="O850:Z850" si="452">+O$685*O$824*O$11</f>
        <v>94.565097666046043</v>
      </c>
      <c r="P850" s="63">
        <f t="shared" si="452"/>
        <v>814.69851185426023</v>
      </c>
      <c r="Q850" s="63">
        <f t="shared" si="452"/>
        <v>4971.0398450808352</v>
      </c>
      <c r="R850" s="63">
        <f t="shared" si="452"/>
        <v>-4.1857014715508809</v>
      </c>
      <c r="S850" s="63">
        <f t="shared" si="452"/>
        <v>-6.1801631313898877</v>
      </c>
      <c r="T850" s="63">
        <f t="shared" si="452"/>
        <v>13247.443435908783</v>
      </c>
      <c r="U850" s="63">
        <f t="shared" si="452"/>
        <v>-7.0123964033484478</v>
      </c>
      <c r="V850" s="63">
        <f t="shared" si="452"/>
        <v>2748.3067843970066</v>
      </c>
      <c r="W850" s="63">
        <f t="shared" si="452"/>
        <v>162.03367149041497</v>
      </c>
      <c r="X850" s="63">
        <f t="shared" si="452"/>
        <v>194.70541104376281</v>
      </c>
      <c r="Y850" s="63">
        <f t="shared" si="452"/>
        <v>12314.120052630282</v>
      </c>
      <c r="Z850" s="63">
        <f t="shared" si="452"/>
        <v>4200.4962646833019</v>
      </c>
    </row>
    <row r="851" spans="1:26" x14ac:dyDescent="0.2">
      <c r="A851" t="s">
        <v>600</v>
      </c>
      <c r="C851" s="63">
        <v>0</v>
      </c>
      <c r="D851" s="63">
        <v>0</v>
      </c>
      <c r="E851" s="63">
        <v>0</v>
      </c>
      <c r="F851" s="63">
        <v>0</v>
      </c>
      <c r="G851" s="63">
        <v>0</v>
      </c>
      <c r="H851" s="63">
        <v>0</v>
      </c>
      <c r="I851" s="63">
        <v>0</v>
      </c>
      <c r="J851" s="63">
        <v>0</v>
      </c>
      <c r="K851" s="63">
        <v>0</v>
      </c>
      <c r="L851" s="63">
        <v>0</v>
      </c>
      <c r="M851" s="63">
        <v>0</v>
      </c>
      <c r="N851" s="63">
        <v>0</v>
      </c>
      <c r="O851" s="63">
        <f t="shared" ref="O851:Z851" si="453">O686*O823*O12</f>
        <v>0</v>
      </c>
      <c r="P851" s="63">
        <f t="shared" si="453"/>
        <v>0</v>
      </c>
      <c r="Q851" s="63">
        <f t="shared" si="453"/>
        <v>0</v>
      </c>
      <c r="R851" s="63">
        <f t="shared" si="453"/>
        <v>0</v>
      </c>
      <c r="S851" s="63">
        <f t="shared" si="453"/>
        <v>0</v>
      </c>
      <c r="T851" s="63">
        <f t="shared" si="453"/>
        <v>0</v>
      </c>
      <c r="U851" s="63">
        <f t="shared" si="453"/>
        <v>0</v>
      </c>
      <c r="V851" s="63">
        <f t="shared" si="453"/>
        <v>0</v>
      </c>
      <c r="W851" s="63">
        <f t="shared" si="453"/>
        <v>0</v>
      </c>
      <c r="X851" s="63">
        <f t="shared" si="453"/>
        <v>0</v>
      </c>
      <c r="Y851" s="63">
        <f t="shared" si="453"/>
        <v>0</v>
      </c>
      <c r="Z851" s="63">
        <f t="shared" si="453"/>
        <v>0</v>
      </c>
    </row>
    <row r="852" spans="1:26" x14ac:dyDescent="0.2">
      <c r="A852" t="str">
        <f>+A687</f>
        <v>ASE</v>
      </c>
      <c r="C852" s="115"/>
      <c r="D852" s="115"/>
      <c r="E852" s="115"/>
      <c r="F852" s="115"/>
      <c r="G852" s="115"/>
      <c r="H852" s="115"/>
      <c r="I852" s="115"/>
      <c r="J852" s="115"/>
      <c r="K852" s="115"/>
      <c r="L852" s="115"/>
      <c r="M852" s="115"/>
      <c r="N852" s="115"/>
      <c r="O852" s="115"/>
      <c r="P852" s="115"/>
      <c r="Q852" s="115"/>
      <c r="R852" s="115"/>
      <c r="S852" s="115"/>
      <c r="T852" s="115"/>
      <c r="U852" s="115"/>
      <c r="V852" s="115"/>
      <c r="W852" s="115"/>
      <c r="X852" s="115"/>
      <c r="Y852" s="115"/>
      <c r="Z852" s="115"/>
    </row>
    <row r="853" spans="1:26" x14ac:dyDescent="0.2">
      <c r="A853" t="str">
        <f>+A688</f>
        <v>NextEraEnergy</v>
      </c>
      <c r="C853" s="63">
        <v>0</v>
      </c>
      <c r="D853" s="63">
        <v>0</v>
      </c>
      <c r="E853" s="63">
        <v>0</v>
      </c>
      <c r="F853" s="63">
        <v>0</v>
      </c>
      <c r="G853" s="63">
        <v>0</v>
      </c>
      <c r="H853" s="63">
        <v>0</v>
      </c>
      <c r="I853" s="63">
        <v>0</v>
      </c>
      <c r="J853" s="63">
        <v>0</v>
      </c>
      <c r="K853" s="63">
        <v>0</v>
      </c>
      <c r="L853" s="63">
        <v>0</v>
      </c>
      <c r="M853" s="63">
        <v>0</v>
      </c>
      <c r="N853" s="63">
        <v>0</v>
      </c>
      <c r="O853" s="63">
        <f t="shared" ref="O853:Z853" si="454">+O$688*AVERAGE(O$830:O$831)*O$10</f>
        <v>0</v>
      </c>
      <c r="P853" s="63">
        <f t="shared" si="454"/>
        <v>0</v>
      </c>
      <c r="Q853" s="63">
        <f t="shared" si="454"/>
        <v>0</v>
      </c>
      <c r="R853" s="63">
        <f t="shared" si="454"/>
        <v>0</v>
      </c>
      <c r="S853" s="63">
        <f t="shared" si="454"/>
        <v>0</v>
      </c>
      <c r="T853" s="63">
        <f t="shared" si="454"/>
        <v>0</v>
      </c>
      <c r="U853" s="63">
        <f t="shared" si="454"/>
        <v>0</v>
      </c>
      <c r="V853" s="63">
        <f t="shared" si="454"/>
        <v>0</v>
      </c>
      <c r="W853" s="63">
        <f t="shared" si="454"/>
        <v>0</v>
      </c>
      <c r="X853" s="63">
        <f t="shared" si="454"/>
        <v>0</v>
      </c>
      <c r="Y853" s="63">
        <f t="shared" si="454"/>
        <v>0</v>
      </c>
      <c r="Z853" s="63">
        <f t="shared" si="454"/>
        <v>0</v>
      </c>
    </row>
    <row r="854" spans="1:26" x14ac:dyDescent="0.2">
      <c r="A854" t="str">
        <f>+A689</f>
        <v>NextEraEnergy - Seabrook LT Contract</v>
      </c>
      <c r="C854" s="63">
        <v>1473.2785821081361</v>
      </c>
      <c r="D854" s="63">
        <v>-4763.5930445969807</v>
      </c>
      <c r="E854" s="63">
        <v>-560.20755495154401</v>
      </c>
      <c r="F854" s="63">
        <v>-460.26530557849509</v>
      </c>
      <c r="G854" s="63">
        <v>-42.996611852093636</v>
      </c>
      <c r="H854" s="63">
        <v>-14.09253200515637</v>
      </c>
      <c r="I854" s="63">
        <v>-66.318379458003434</v>
      </c>
      <c r="J854" s="63">
        <v>-15.866605181431719</v>
      </c>
      <c r="K854" s="63">
        <v>-856.67349920653942</v>
      </c>
      <c r="L854" s="63">
        <v>0</v>
      </c>
      <c r="M854" s="63">
        <v>-843.4375423553829</v>
      </c>
      <c r="N854" s="63">
        <v>-461.86680614922125</v>
      </c>
      <c r="O854" s="63">
        <f t="shared" ref="O854:Z854" si="455">+O$689*((O$830*O$34+O$831*O$35)/O$33)*O$10</f>
        <v>-393.10631326109086</v>
      </c>
      <c r="P854" s="63">
        <f t="shared" si="455"/>
        <v>-75.696305562055443</v>
      </c>
      <c r="Q854" s="63">
        <f t="shared" si="455"/>
        <v>-145.45015313282616</v>
      </c>
      <c r="R854" s="63">
        <f t="shared" si="455"/>
        <v>13.206593209974303</v>
      </c>
      <c r="S854" s="63">
        <f t="shared" si="455"/>
        <v>-29.157176342587384</v>
      </c>
      <c r="T854" s="63">
        <f t="shared" si="455"/>
        <v>-208.46436093209326</v>
      </c>
      <c r="U854" s="63">
        <f t="shared" si="455"/>
        <v>-12.52935844460783</v>
      </c>
      <c r="V854" s="63">
        <f t="shared" si="455"/>
        <v>-166.23653738096368</v>
      </c>
      <c r="W854" s="63">
        <f t="shared" si="455"/>
        <v>3.4350336901547545</v>
      </c>
      <c r="X854" s="63">
        <f t="shared" si="455"/>
        <v>-22.988821372102269</v>
      </c>
      <c r="Y854" s="63">
        <f t="shared" si="455"/>
        <v>-352.53305759504269</v>
      </c>
      <c r="Z854" s="63">
        <f t="shared" si="455"/>
        <v>-101.94615730988031</v>
      </c>
    </row>
    <row r="855" spans="1:26" x14ac:dyDescent="0.2">
      <c r="A855" t="str">
        <f>+A693</f>
        <v>Excelon - Energy</v>
      </c>
      <c r="C855" s="63">
        <v>0</v>
      </c>
      <c r="D855" s="63">
        <v>0</v>
      </c>
      <c r="E855" s="63">
        <v>0</v>
      </c>
      <c r="F855" s="63">
        <v>0</v>
      </c>
      <c r="G855" s="63">
        <v>0</v>
      </c>
      <c r="H855" s="63">
        <v>0</v>
      </c>
      <c r="I855" s="63">
        <v>0</v>
      </c>
      <c r="J855" s="63">
        <v>0</v>
      </c>
      <c r="K855" s="63">
        <v>0</v>
      </c>
      <c r="L855" s="63">
        <v>0</v>
      </c>
      <c r="M855" s="63">
        <v>0</v>
      </c>
      <c r="N855" s="63">
        <v>0</v>
      </c>
      <c r="O855" s="63">
        <f t="shared" ref="O855:Z855" si="456">+O$693*((O$830*O$34+O$831*O$35)/O$33)*O$10</f>
        <v>0</v>
      </c>
      <c r="P855" s="63">
        <f t="shared" si="456"/>
        <v>0</v>
      </c>
      <c r="Q855" s="63">
        <f t="shared" si="456"/>
        <v>0</v>
      </c>
      <c r="R855" s="63">
        <f t="shared" si="456"/>
        <v>0</v>
      </c>
      <c r="S855" s="63">
        <f t="shared" si="456"/>
        <v>0</v>
      </c>
      <c r="T855" s="63">
        <f t="shared" si="456"/>
        <v>0</v>
      </c>
      <c r="U855" s="63">
        <f t="shared" si="456"/>
        <v>0</v>
      </c>
      <c r="V855" s="63">
        <f t="shared" si="456"/>
        <v>0</v>
      </c>
      <c r="W855" s="63">
        <f t="shared" si="456"/>
        <v>0</v>
      </c>
      <c r="X855" s="63">
        <f t="shared" si="456"/>
        <v>0</v>
      </c>
      <c r="Y855" s="63">
        <f t="shared" si="456"/>
        <v>0</v>
      </c>
      <c r="Z855" s="63">
        <f t="shared" si="456"/>
        <v>0</v>
      </c>
    </row>
    <row r="856" spans="1:26" x14ac:dyDescent="0.2">
      <c r="A856" t="str">
        <f>+A694</f>
        <v>Howard Wind</v>
      </c>
      <c r="C856" s="63">
        <v>13011.569352229018</v>
      </c>
      <c r="D856" s="63">
        <v>51958.792959820537</v>
      </c>
      <c r="E856" s="63">
        <v>452.35756753048503</v>
      </c>
      <c r="F856" s="63">
        <v>-205.43429247104703</v>
      </c>
      <c r="G856" s="63">
        <v>23.685291941461074</v>
      </c>
      <c r="H856" s="63">
        <v>4544.8889297854103</v>
      </c>
      <c r="I856" s="63">
        <v>1780.1348585918281</v>
      </c>
      <c r="J856" s="63">
        <v>22.259787630254298</v>
      </c>
      <c r="K856" s="63">
        <v>-99.709447306314829</v>
      </c>
      <c r="L856" s="63">
        <v>-46.681200769806821</v>
      </c>
      <c r="M856" s="63">
        <v>845.1288372592262</v>
      </c>
      <c r="N856" s="63">
        <v>3731.8091398171227</v>
      </c>
      <c r="O856" s="63">
        <f t="shared" ref="O856:Z856" si="457">+O$694*((O$832*O$34+O$833*O$35)/O$33)*O$10</f>
        <v>15461.178978233951</v>
      </c>
      <c r="P856" s="63">
        <f t="shared" si="457"/>
        <v>20673.612752962246</v>
      </c>
      <c r="Q856" s="63">
        <f t="shared" si="457"/>
        <v>-114.00296365920377</v>
      </c>
      <c r="R856" s="63">
        <f t="shared" si="457"/>
        <v>932.08935651845718</v>
      </c>
      <c r="S856" s="63">
        <f t="shared" si="457"/>
        <v>39.856761937569949</v>
      </c>
      <c r="T856" s="63">
        <f t="shared" si="457"/>
        <v>1428.7777327598085</v>
      </c>
      <c r="U856" s="63">
        <f t="shared" si="457"/>
        <v>1627.0373880909983</v>
      </c>
      <c r="V856" s="63">
        <f t="shared" si="457"/>
        <v>-27.814074518259687</v>
      </c>
      <c r="W856" s="63">
        <f t="shared" si="457"/>
        <v>169.64871666261291</v>
      </c>
      <c r="X856" s="63">
        <f t="shared" si="457"/>
        <v>21.645906831196783</v>
      </c>
      <c r="Y856" s="63">
        <f t="shared" si="457"/>
        <v>4845.5109280577508</v>
      </c>
      <c r="Z856" s="63">
        <f t="shared" si="457"/>
        <v>8286.7295460726</v>
      </c>
    </row>
    <row r="857" spans="1:26" x14ac:dyDescent="0.2">
      <c r="A857" t="str">
        <f>+A695</f>
        <v>Merrill Lynch</v>
      </c>
      <c r="C857" s="63">
        <v>0</v>
      </c>
      <c r="D857" s="63">
        <v>0</v>
      </c>
      <c r="E857" s="63">
        <v>0</v>
      </c>
      <c r="F857" s="63">
        <v>0</v>
      </c>
      <c r="G857" s="63">
        <v>0</v>
      </c>
      <c r="H857" s="63">
        <v>0</v>
      </c>
      <c r="I857" s="63">
        <v>0</v>
      </c>
      <c r="J857" s="63">
        <v>0</v>
      </c>
      <c r="K857" s="63">
        <v>0</v>
      </c>
      <c r="L857" s="63">
        <v>0</v>
      </c>
      <c r="M857" s="63">
        <v>0</v>
      </c>
      <c r="N857" s="63">
        <v>0</v>
      </c>
      <c r="O857" s="63">
        <f t="shared" ref="O857:Z857" si="458">+O$695*((O$830*O$34+O$831*O$35)/O$33)*O$10</f>
        <v>0</v>
      </c>
      <c r="P857" s="63">
        <f t="shared" si="458"/>
        <v>0</v>
      </c>
      <c r="Q857" s="63">
        <f t="shared" si="458"/>
        <v>0</v>
      </c>
      <c r="R857" s="63">
        <f t="shared" si="458"/>
        <v>0</v>
      </c>
      <c r="S857" s="63">
        <f t="shared" si="458"/>
        <v>0</v>
      </c>
      <c r="T857" s="63">
        <f t="shared" si="458"/>
        <v>0</v>
      </c>
      <c r="U857" s="63">
        <f t="shared" si="458"/>
        <v>0</v>
      </c>
      <c r="V857" s="63">
        <f t="shared" si="458"/>
        <v>0</v>
      </c>
      <c r="W857" s="63">
        <f t="shared" si="458"/>
        <v>0</v>
      </c>
      <c r="X857" s="63">
        <f t="shared" si="458"/>
        <v>0</v>
      </c>
      <c r="Y857" s="63">
        <f t="shared" si="458"/>
        <v>0</v>
      </c>
      <c r="Z857" s="63">
        <f t="shared" si="458"/>
        <v>0</v>
      </c>
    </row>
    <row r="858" spans="1:26" x14ac:dyDescent="0.2">
      <c r="A858" t="str">
        <f t="shared" ref="A858:A866" si="459">+A697</f>
        <v>Proxy Purchase - October 2021</v>
      </c>
      <c r="C858" s="63">
        <v>1503.4843603700294</v>
      </c>
      <c r="D858" s="63">
        <v>-6383.3003927320988</v>
      </c>
      <c r="E858" s="63">
        <v>-440.28240513724268</v>
      </c>
      <c r="F858" s="63">
        <v>-142.0374616472044</v>
      </c>
      <c r="G858" s="63">
        <v>-10.962283982082521</v>
      </c>
      <c r="H858" s="63">
        <v>-5.3151584485694556</v>
      </c>
      <c r="I858" s="63">
        <v>-50.647417369440689</v>
      </c>
      <c r="J858" s="63">
        <v>-9.9615004900051662</v>
      </c>
      <c r="K858" s="63">
        <v>-391.59122121088268</v>
      </c>
      <c r="L858" s="63">
        <v>-101.64710044610825</v>
      </c>
      <c r="M858" s="63">
        <v>-530.76284015759234</v>
      </c>
      <c r="N858" s="63">
        <v>-408.16780189364846</v>
      </c>
      <c r="O858" s="63">
        <f t="shared" ref="O858:Z858" si="460">((O609+O611)*O831*O12)+O607*O830*O11</f>
        <v>-472.09956221307357</v>
      </c>
      <c r="P858" s="63">
        <f t="shared" si="460"/>
        <v>-97.350664670599357</v>
      </c>
      <c r="Q858" s="63">
        <f t="shared" si="460"/>
        <v>-90.056686721495709</v>
      </c>
      <c r="R858" s="63">
        <f t="shared" si="460"/>
        <v>5.3869206618583654</v>
      </c>
      <c r="S858" s="63">
        <f t="shared" si="460"/>
        <v>-19.367901413127218</v>
      </c>
      <c r="T858" s="63">
        <f t="shared" si="460"/>
        <v>-101.77601421237736</v>
      </c>
      <c r="U858" s="63">
        <f t="shared" si="460"/>
        <v>-10.977660403723863</v>
      </c>
      <c r="V858" s="63">
        <f t="shared" si="460"/>
        <v>-83.195374612499947</v>
      </c>
      <c r="W858" s="63">
        <f t="shared" si="460"/>
        <v>2.8706348513138686</v>
      </c>
      <c r="X858" s="63">
        <f t="shared" si="460"/>
        <v>-10.666833807154578</v>
      </c>
      <c r="Y858" s="63">
        <f t="shared" si="460"/>
        <v>-202.23570742041616</v>
      </c>
      <c r="Z858" s="63">
        <f t="shared" si="460"/>
        <v>-105.60894525194615</v>
      </c>
    </row>
    <row r="859" spans="1:26" x14ac:dyDescent="0.2">
      <c r="A859" t="str">
        <f t="shared" si="459"/>
        <v>EDF</v>
      </c>
      <c r="C859" s="63">
        <v>0</v>
      </c>
      <c r="D859" s="63">
        <v>0</v>
      </c>
      <c r="E859" s="63">
        <v>0</v>
      </c>
      <c r="F859" s="63">
        <v>0</v>
      </c>
      <c r="G859" s="63">
        <v>0</v>
      </c>
      <c r="H859" s="63">
        <v>0</v>
      </c>
      <c r="I859" s="63">
        <v>0</v>
      </c>
      <c r="J859" s="63">
        <v>0</v>
      </c>
      <c r="K859" s="63">
        <v>0</v>
      </c>
      <c r="L859" s="63">
        <v>0</v>
      </c>
      <c r="M859" s="63">
        <v>0</v>
      </c>
      <c r="N859" s="63">
        <v>0</v>
      </c>
      <c r="O859" s="63">
        <f t="shared" ref="O859:Z859" si="461">+O$698*((O$830*O$34+O$831*O$35)/O$33)*O$10</f>
        <v>0</v>
      </c>
      <c r="P859" s="63">
        <f t="shared" si="461"/>
        <v>0</v>
      </c>
      <c r="Q859" s="63">
        <f t="shared" si="461"/>
        <v>0</v>
      </c>
      <c r="R859" s="63">
        <f t="shared" si="461"/>
        <v>0</v>
      </c>
      <c r="S859" s="63">
        <f t="shared" si="461"/>
        <v>0</v>
      </c>
      <c r="T859" s="63">
        <f t="shared" si="461"/>
        <v>0</v>
      </c>
      <c r="U859" s="63">
        <f t="shared" si="461"/>
        <v>0</v>
      </c>
      <c r="V859" s="63">
        <f t="shared" si="461"/>
        <v>0</v>
      </c>
      <c r="W859" s="63">
        <f t="shared" si="461"/>
        <v>0</v>
      </c>
      <c r="X859" s="63">
        <f t="shared" si="461"/>
        <v>0</v>
      </c>
      <c r="Y859" s="63">
        <f t="shared" si="461"/>
        <v>0</v>
      </c>
      <c r="Z859" s="63">
        <f t="shared" si="461"/>
        <v>0</v>
      </c>
    </row>
    <row r="860" spans="1:26" x14ac:dyDescent="0.2">
      <c r="A860" t="str">
        <f t="shared" si="459"/>
        <v>JP Morgan</v>
      </c>
      <c r="C860" s="63">
        <v>0</v>
      </c>
      <c r="D860" s="63">
        <v>0</v>
      </c>
      <c r="E860" s="63">
        <v>0</v>
      </c>
      <c r="F860" s="63">
        <v>0</v>
      </c>
      <c r="G860" s="63">
        <v>0</v>
      </c>
      <c r="H860" s="63">
        <v>0</v>
      </c>
      <c r="I860" s="63">
        <v>0</v>
      </c>
      <c r="J860" s="63">
        <v>0</v>
      </c>
      <c r="K860" s="63">
        <v>0</v>
      </c>
      <c r="L860" s="63">
        <v>0</v>
      </c>
      <c r="M860" s="63">
        <v>0</v>
      </c>
      <c r="N860" s="63">
        <v>0</v>
      </c>
      <c r="O860" s="63">
        <f t="shared" ref="O860:Z860" si="462">+O$634*O$831*O$12</f>
        <v>0</v>
      </c>
      <c r="P860" s="63">
        <f t="shared" si="462"/>
        <v>0</v>
      </c>
      <c r="Q860" s="63">
        <f t="shared" si="462"/>
        <v>0</v>
      </c>
      <c r="R860" s="63">
        <f t="shared" si="462"/>
        <v>0</v>
      </c>
      <c r="S860" s="63">
        <f t="shared" si="462"/>
        <v>0</v>
      </c>
      <c r="T860" s="63">
        <f t="shared" si="462"/>
        <v>0</v>
      </c>
      <c r="U860" s="63">
        <f t="shared" si="462"/>
        <v>0</v>
      </c>
      <c r="V860" s="63">
        <f t="shared" si="462"/>
        <v>0</v>
      </c>
      <c r="W860" s="63">
        <f t="shared" si="462"/>
        <v>0</v>
      </c>
      <c r="X860" s="63">
        <f t="shared" si="462"/>
        <v>0</v>
      </c>
      <c r="Y860" s="63">
        <f t="shared" si="462"/>
        <v>0</v>
      </c>
      <c r="Z860" s="63">
        <f t="shared" si="462"/>
        <v>0</v>
      </c>
    </row>
    <row r="861" spans="1:26" x14ac:dyDescent="0.2">
      <c r="A861" t="str">
        <f t="shared" si="459"/>
        <v>BP Energy</v>
      </c>
      <c r="C861" s="63">
        <v>0</v>
      </c>
      <c r="D861" s="63">
        <v>0</v>
      </c>
      <c r="E861" s="63">
        <v>0</v>
      </c>
      <c r="F861" s="63">
        <v>0</v>
      </c>
      <c r="G861" s="63">
        <v>0</v>
      </c>
      <c r="H861" s="63">
        <v>0</v>
      </c>
      <c r="I861" s="63">
        <v>0</v>
      </c>
      <c r="J861" s="63">
        <v>0</v>
      </c>
      <c r="K861" s="63">
        <v>0</v>
      </c>
      <c r="L861" s="63">
        <v>0</v>
      </c>
      <c r="M861" s="63">
        <v>0</v>
      </c>
      <c r="N861" s="63">
        <v>0</v>
      </c>
      <c r="O861" s="63">
        <f t="shared" ref="O861:Z861" si="463">+O$700*((O$830*O$34+O$831*O$35)/O$33)*O$10</f>
        <v>0</v>
      </c>
      <c r="P861" s="63">
        <f t="shared" si="463"/>
        <v>0</v>
      </c>
      <c r="Q861" s="63">
        <f t="shared" si="463"/>
        <v>0</v>
      </c>
      <c r="R861" s="63">
        <f t="shared" si="463"/>
        <v>0</v>
      </c>
      <c r="S861" s="63">
        <f t="shared" si="463"/>
        <v>0</v>
      </c>
      <c r="T861" s="63">
        <f t="shared" si="463"/>
        <v>0</v>
      </c>
      <c r="U861" s="63">
        <f t="shared" si="463"/>
        <v>0</v>
      </c>
      <c r="V861" s="63">
        <f t="shared" si="463"/>
        <v>0</v>
      </c>
      <c r="W861" s="63">
        <f t="shared" si="463"/>
        <v>0</v>
      </c>
      <c r="X861" s="63">
        <f t="shared" si="463"/>
        <v>0</v>
      </c>
      <c r="Y861" s="63">
        <f t="shared" si="463"/>
        <v>0</v>
      </c>
      <c r="Z861" s="63">
        <f t="shared" si="463"/>
        <v>0</v>
      </c>
    </row>
    <row r="862" spans="1:26" x14ac:dyDescent="0.2">
      <c r="A862" t="str">
        <f t="shared" si="459"/>
        <v>NYPA</v>
      </c>
      <c r="C862" s="63">
        <v>15743.005246145036</v>
      </c>
      <c r="D862" s="63">
        <v>26855.942869492454</v>
      </c>
      <c r="E862" s="63">
        <v>229.66433581411289</v>
      </c>
      <c r="F862" s="63">
        <v>-151.71368442504934</v>
      </c>
      <c r="G862" s="63">
        <v>37.191485917288105</v>
      </c>
      <c r="H862" s="63">
        <v>7735.6448800639091</v>
      </c>
      <c r="I862" s="63">
        <v>2422.2578603093712</v>
      </c>
      <c r="J862" s="63">
        <v>27.804384859234183</v>
      </c>
      <c r="K862" s="63">
        <v>-107.77846115458533</v>
      </c>
      <c r="L862" s="63">
        <v>-31.377349475594098</v>
      </c>
      <c r="M862" s="63">
        <v>483.26286998763629</v>
      </c>
      <c r="N862" s="63">
        <v>2330.131381358402</v>
      </c>
      <c r="O862" s="63">
        <f t="shared" ref="O862:Z862" si="464">+O$701*AVERAGE(O$832:O$833)*O$10</f>
        <v>10528.677017467191</v>
      </c>
      <c r="P862" s="63">
        <f t="shared" si="464"/>
        <v>15461.747383818396</v>
      </c>
      <c r="Q862" s="63">
        <f t="shared" si="464"/>
        <v>-72.013575634974202</v>
      </c>
      <c r="R862" s="63">
        <f t="shared" si="464"/>
        <v>676.04045822772775</v>
      </c>
      <c r="S862" s="63">
        <f t="shared" si="464"/>
        <v>50.160408406894462</v>
      </c>
      <c r="T862" s="63">
        <f t="shared" si="464"/>
        <v>1553.3834022114297</v>
      </c>
      <c r="U862" s="63">
        <f t="shared" si="464"/>
        <v>3365.7768545969461</v>
      </c>
      <c r="V862" s="63">
        <f t="shared" si="464"/>
        <v>-35.955892327571441</v>
      </c>
      <c r="W862" s="63">
        <f t="shared" si="464"/>
        <v>388.57736124230576</v>
      </c>
      <c r="X862" s="63">
        <f t="shared" si="464"/>
        <v>23.078572015397189</v>
      </c>
      <c r="Y862" s="63">
        <f t="shared" si="464"/>
        <v>3531.3887953976969</v>
      </c>
      <c r="Z862" s="63">
        <f t="shared" si="464"/>
        <v>8186.6088426491033</v>
      </c>
    </row>
    <row r="863" spans="1:26" x14ac:dyDescent="0.2">
      <c r="A863" t="str">
        <f t="shared" si="459"/>
        <v>Swanton Peaker</v>
      </c>
      <c r="C863" s="63">
        <v>0.69151671782519675</v>
      </c>
      <c r="D863" s="63">
        <v>0</v>
      </c>
      <c r="E863" s="63">
        <v>0</v>
      </c>
      <c r="F863" s="63">
        <v>0.72941956914238815</v>
      </c>
      <c r="G863" s="63">
        <v>0.5614742051948145</v>
      </c>
      <c r="H863" s="63">
        <v>0</v>
      </c>
      <c r="I863" s="63">
        <v>8.1544567692162779</v>
      </c>
      <c r="J863" s="63">
        <v>3.0894147223160487E-2</v>
      </c>
      <c r="K863" s="63">
        <v>0</v>
      </c>
      <c r="L863" s="63">
        <v>0</v>
      </c>
      <c r="M863" s="63">
        <v>0</v>
      </c>
      <c r="N863" s="63">
        <v>10.641209105779854</v>
      </c>
      <c r="O863" s="63">
        <f t="shared" ref="O863:Z863" si="465">+O$702*O$824*O$11</f>
        <v>1.1266003204349326E-2</v>
      </c>
      <c r="P863" s="63">
        <f t="shared" si="465"/>
        <v>7.125305572426667E-2</v>
      </c>
      <c r="Q863" s="63">
        <f t="shared" si="465"/>
        <v>0</v>
      </c>
      <c r="R863" s="63">
        <f t="shared" si="465"/>
        <v>-3.1709859632961221E-6</v>
      </c>
      <c r="S863" s="63">
        <f t="shared" si="465"/>
        <v>-1.1519842200556295E-3</v>
      </c>
      <c r="T863" s="63">
        <f t="shared" si="465"/>
        <v>0</v>
      </c>
      <c r="U863" s="63">
        <f t="shared" si="465"/>
        <v>-4.1918861564371268E-3</v>
      </c>
      <c r="V863" s="63">
        <f t="shared" si="465"/>
        <v>2.5611740918743728</v>
      </c>
      <c r="W863" s="63">
        <f t="shared" si="465"/>
        <v>0.19023612302444745</v>
      </c>
      <c r="X863" s="63">
        <f t="shared" si="465"/>
        <v>0.23529877707423935</v>
      </c>
      <c r="Y863" s="63">
        <f t="shared" si="465"/>
        <v>13.037108161780923</v>
      </c>
      <c r="Z863" s="63">
        <f t="shared" si="465"/>
        <v>7.5294819407262992</v>
      </c>
    </row>
    <row r="864" spans="1:26" x14ac:dyDescent="0.2">
      <c r="A864" t="str">
        <f t="shared" si="459"/>
        <v>SPEED FIT</v>
      </c>
      <c r="C864" s="63">
        <v>191.27602348954517</v>
      </c>
      <c r="D864" s="63">
        <v>-789.23155116850717</v>
      </c>
      <c r="E864" s="63">
        <v>-142.02276040572704</v>
      </c>
      <c r="F864" s="63">
        <v>-173.4175085399647</v>
      </c>
      <c r="G864" s="63">
        <v>-22.864856972016234</v>
      </c>
      <c r="H864" s="63">
        <v>-74.180940522559595</v>
      </c>
      <c r="I864" s="63">
        <v>-90.95228542772513</v>
      </c>
      <c r="J864" s="63">
        <v>-14.497083308362306</v>
      </c>
      <c r="K864" s="63">
        <v>-245.23637993815296</v>
      </c>
      <c r="L864" s="63">
        <v>-88.890717097167041</v>
      </c>
      <c r="M864" s="63">
        <v>-421.35758137469782</v>
      </c>
      <c r="N864" s="63">
        <v>-92.223083478292835</v>
      </c>
      <c r="O864" s="63">
        <f t="shared" ref="O864:Z864" si="466">+O$703*AVERAGE(O$826:O$827)*O$10</f>
        <v>5.1153201826855517</v>
      </c>
      <c r="P864" s="63">
        <f t="shared" si="466"/>
        <v>-11.792003146781081</v>
      </c>
      <c r="Q864" s="63">
        <f t="shared" si="466"/>
        <v>-43.238969349404755</v>
      </c>
      <c r="R864" s="63">
        <f t="shared" si="466"/>
        <v>-6.4123770683228214</v>
      </c>
      <c r="S864" s="63">
        <f t="shared" si="466"/>
        <v>-6.6515803760923804</v>
      </c>
      <c r="T864" s="63">
        <f t="shared" si="466"/>
        <v>-80.294744437066129</v>
      </c>
      <c r="U864" s="63">
        <f t="shared" si="466"/>
        <v>-1.6886888234667234</v>
      </c>
      <c r="V864" s="63">
        <f t="shared" si="466"/>
        <v>-22.22018912814514</v>
      </c>
      <c r="W864" s="63">
        <f t="shared" si="466"/>
        <v>-0.49252303781711548</v>
      </c>
      <c r="X864" s="63">
        <f t="shared" si="466"/>
        <v>-2.9961268887565131</v>
      </c>
      <c r="Y864" s="63">
        <f t="shared" si="466"/>
        <v>-102.81587526712129</v>
      </c>
      <c r="Z864" s="63">
        <f t="shared" si="466"/>
        <v>-21.25467088766101</v>
      </c>
    </row>
    <row r="865" spans="1:26" x14ac:dyDescent="0.2">
      <c r="A865" t="str">
        <f t="shared" si="459"/>
        <v>Ryegate</v>
      </c>
      <c r="C865" s="63">
        <v>277.38151465888177</v>
      </c>
      <c r="D865" s="63">
        <v>-1053.7591066691264</v>
      </c>
      <c r="E865" s="63">
        <v>-125.79585048050691</v>
      </c>
      <c r="F865" s="63">
        <v>-101.59791963878858</v>
      </c>
      <c r="G865" s="63">
        <v>-15.111278105088688</v>
      </c>
      <c r="H865" s="63">
        <v>-42.222816211129008</v>
      </c>
      <c r="I865" s="63">
        <v>-57.620944353248419</v>
      </c>
      <c r="J865" s="63">
        <v>-9.5467892009342421</v>
      </c>
      <c r="K865" s="63">
        <v>-131.20374472773454</v>
      </c>
      <c r="L865" s="63">
        <v>-50.030139605790964</v>
      </c>
      <c r="M865" s="63">
        <v>-289.01322394832869</v>
      </c>
      <c r="N865" s="63">
        <v>-108.3555963722351</v>
      </c>
      <c r="O865" s="63">
        <f t="shared" ref="O865:Z865" si="467">+O$704*((O$826*O$34+O$827*O$35)/O$33)*O$10</f>
        <v>4.1733194054752456</v>
      </c>
      <c r="P865" s="63">
        <f t="shared" si="467"/>
        <v>-14.056298617213022</v>
      </c>
      <c r="Q865" s="63">
        <f t="shared" si="467"/>
        <v>-26.927369638556289</v>
      </c>
      <c r="R865" s="63">
        <f t="shared" si="467"/>
        <v>-2.679758883117231</v>
      </c>
      <c r="S865" s="63">
        <f t="shared" si="467"/>
        <v>-3.3094050661612253</v>
      </c>
      <c r="T865" s="63">
        <f t="shared" si="467"/>
        <v>-38.040569095348729</v>
      </c>
      <c r="U865" s="63">
        <f t="shared" si="467"/>
        <v>-0.89782581465727962</v>
      </c>
      <c r="V865" s="63">
        <f t="shared" si="467"/>
        <v>-11.540824796810336</v>
      </c>
      <c r="W865" s="63">
        <f t="shared" si="467"/>
        <v>-0.15376059458567315</v>
      </c>
      <c r="X865" s="63">
        <f t="shared" si="467"/>
        <v>-1.4995115704606481</v>
      </c>
      <c r="Y865" s="63">
        <f t="shared" si="467"/>
        <v>-55.511753931205874</v>
      </c>
      <c r="Z865" s="63">
        <f t="shared" si="467"/>
        <v>-21.383088010515721</v>
      </c>
    </row>
    <row r="866" spans="1:26" x14ac:dyDescent="0.2">
      <c r="A866" t="str">
        <f t="shared" si="459"/>
        <v>VEPPI</v>
      </c>
      <c r="C866" s="63">
        <v>0</v>
      </c>
      <c r="D866" s="63">
        <v>0</v>
      </c>
      <c r="E866" s="63">
        <v>0</v>
      </c>
      <c r="F866" s="63">
        <v>0</v>
      </c>
      <c r="G866" s="63">
        <v>0</v>
      </c>
      <c r="H866" s="63">
        <v>0</v>
      </c>
      <c r="I866" s="63">
        <v>0</v>
      </c>
      <c r="J866" s="63">
        <v>0</v>
      </c>
      <c r="K866" s="63">
        <v>0</v>
      </c>
      <c r="L866" s="63">
        <v>0</v>
      </c>
      <c r="M866" s="63">
        <v>0</v>
      </c>
      <c r="N866" s="63">
        <v>0</v>
      </c>
      <c r="O866" s="63">
        <f t="shared" ref="O866:Z866" si="468">+O$705*((O$826*O$34+O$827*O$35)/O$33)*O$10</f>
        <v>0</v>
      </c>
      <c r="P866" s="63">
        <f t="shared" si="468"/>
        <v>0</v>
      </c>
      <c r="Q866" s="63">
        <f t="shared" si="468"/>
        <v>0</v>
      </c>
      <c r="R866" s="63">
        <f t="shared" si="468"/>
        <v>0</v>
      </c>
      <c r="S866" s="63">
        <f t="shared" si="468"/>
        <v>0</v>
      </c>
      <c r="T866" s="63">
        <f t="shared" si="468"/>
        <v>0</v>
      </c>
      <c r="U866" s="63">
        <f t="shared" si="468"/>
        <v>0</v>
      </c>
      <c r="V866" s="63">
        <f t="shared" si="468"/>
        <v>0</v>
      </c>
      <c r="W866" s="63">
        <f t="shared" si="468"/>
        <v>0</v>
      </c>
      <c r="X866" s="63">
        <f t="shared" si="468"/>
        <v>0</v>
      </c>
      <c r="Y866" s="63">
        <f t="shared" si="468"/>
        <v>0</v>
      </c>
      <c r="Z866" s="63">
        <f t="shared" si="468"/>
        <v>0</v>
      </c>
    </row>
    <row r="867" spans="1:26" x14ac:dyDescent="0.2">
      <c r="A867" t="s">
        <v>61</v>
      </c>
      <c r="C867" s="63">
        <v>40027.776185051203</v>
      </c>
      <c r="D867" s="63">
        <v>67701.901985190983</v>
      </c>
      <c r="E867" s="63">
        <v>4896.2358636644985</v>
      </c>
      <c r="F867" s="63">
        <v>9533.6813559379007</v>
      </c>
      <c r="G867" s="63">
        <v>13035.180576486104</v>
      </c>
      <c r="H867" s="63">
        <v>12532.746005382014</v>
      </c>
      <c r="I867" s="63">
        <v>6808.8044572345671</v>
      </c>
      <c r="J867" s="63">
        <v>37.21601887106916</v>
      </c>
      <c r="K867" s="63">
        <v>3455.8097455394309</v>
      </c>
      <c r="L867" s="63">
        <v>3093.6495130928315</v>
      </c>
      <c r="M867" s="63">
        <v>15348.808380378488</v>
      </c>
      <c r="N867" s="63">
        <v>34942.381759500728</v>
      </c>
      <c r="O867" s="63">
        <f t="shared" ref="O867:Z867" si="469">+SUM(O844:O866)</f>
        <v>25605.873675037004</v>
      </c>
      <c r="P867" s="63">
        <f t="shared" si="469"/>
        <v>43978.097467577747</v>
      </c>
      <c r="Q867" s="63">
        <f t="shared" si="469"/>
        <v>6526.1570355467666</v>
      </c>
      <c r="R867" s="63">
        <f t="shared" si="469"/>
        <v>33857.41249338317</v>
      </c>
      <c r="S867" s="63">
        <f t="shared" si="469"/>
        <v>253.78556899599744</v>
      </c>
      <c r="T867" s="63">
        <f t="shared" si="469"/>
        <v>31492.347748705812</v>
      </c>
      <c r="U867" s="63">
        <f t="shared" si="469"/>
        <v>4959.1589593371727</v>
      </c>
      <c r="V867" s="63">
        <f t="shared" si="469"/>
        <v>4700.7309424901978</v>
      </c>
      <c r="W867" s="63">
        <f t="shared" si="469"/>
        <v>1372.0839196296483</v>
      </c>
      <c r="X867" s="63">
        <f t="shared" si="469"/>
        <v>308.92970731085603</v>
      </c>
      <c r="Y867" s="63">
        <f t="shared" si="469"/>
        <v>24690.654431999727</v>
      </c>
      <c r="Z867" s="63">
        <f t="shared" si="469"/>
        <v>21426.535584415313</v>
      </c>
    </row>
    <row r="869" spans="1:26" x14ac:dyDescent="0.2">
      <c r="A869" t="s">
        <v>534</v>
      </c>
    </row>
    <row r="870" spans="1:26" x14ac:dyDescent="0.2">
      <c r="C870">
        <v>44011</v>
      </c>
    </row>
    <row r="872" spans="1:26" x14ac:dyDescent="0.2">
      <c r="A872" t="s">
        <v>24</v>
      </c>
      <c r="C872" s="64">
        <v>45307</v>
      </c>
      <c r="D872" s="64">
        <v>45338</v>
      </c>
      <c r="E872" s="64">
        <v>45366</v>
      </c>
      <c r="F872" s="64">
        <v>45397</v>
      </c>
      <c r="G872" s="64">
        <v>45427</v>
      </c>
      <c r="H872" s="64">
        <v>45458</v>
      </c>
      <c r="I872" s="64">
        <v>45488</v>
      </c>
      <c r="J872" s="64">
        <v>45519</v>
      </c>
      <c r="K872" s="64">
        <v>45550</v>
      </c>
      <c r="L872" s="64">
        <v>45580</v>
      </c>
      <c r="M872" s="64">
        <v>45611</v>
      </c>
      <c r="N872" s="64">
        <v>45641</v>
      </c>
      <c r="O872" s="64">
        <f t="shared" ref="O872:Z872" si="470">+O2</f>
        <v>45673</v>
      </c>
      <c r="P872" s="64">
        <f t="shared" si="470"/>
        <v>45704</v>
      </c>
      <c r="Q872" s="64">
        <f t="shared" si="470"/>
        <v>45732</v>
      </c>
      <c r="R872" s="64">
        <f t="shared" si="470"/>
        <v>45763</v>
      </c>
      <c r="S872" s="64">
        <f t="shared" si="470"/>
        <v>45793</v>
      </c>
      <c r="T872" s="64">
        <f t="shared" si="470"/>
        <v>45824</v>
      </c>
      <c r="U872" s="64">
        <f t="shared" si="470"/>
        <v>45854</v>
      </c>
      <c r="V872" s="64">
        <f t="shared" si="470"/>
        <v>45885</v>
      </c>
      <c r="W872" s="64">
        <f t="shared" si="470"/>
        <v>45916</v>
      </c>
      <c r="X872" s="64">
        <f t="shared" si="470"/>
        <v>45946</v>
      </c>
      <c r="Y872" s="64">
        <f t="shared" si="470"/>
        <v>45977</v>
      </c>
      <c r="Z872" s="64">
        <f t="shared" si="470"/>
        <v>46007</v>
      </c>
    </row>
    <row r="873" spans="1:26" x14ac:dyDescent="0.2">
      <c r="A873" t="s">
        <v>112</v>
      </c>
      <c r="C873" s="21">
        <v>13907.476000000001</v>
      </c>
      <c r="D873" s="21">
        <v>13801.374714285716</v>
      </c>
      <c r="E873" s="21">
        <v>7787.5199999999995</v>
      </c>
      <c r="F873" s="21">
        <v>7737.1779999999999</v>
      </c>
      <c r="G873" s="21">
        <v>12230.938</v>
      </c>
      <c r="H873" s="21">
        <v>22823.740600000001</v>
      </c>
      <c r="I873" s="21">
        <v>7399.7565599999998</v>
      </c>
      <c r="J873" s="21">
        <v>12150.576000000001</v>
      </c>
      <c r="K873" s="21">
        <v>5703.7759999999998</v>
      </c>
      <c r="L873" s="21">
        <v>4261.8360000000002</v>
      </c>
      <c r="M873" s="21">
        <v>5458.5029999999997</v>
      </c>
      <c r="N873" s="21">
        <v>6610.8440000000001</v>
      </c>
      <c r="O873" s="21">
        <f t="shared" ref="O873:Z873" si="471">+O874*(O670-O687)</f>
        <v>9253.0569999999989</v>
      </c>
      <c r="P873" s="21">
        <f t="shared" si="471"/>
        <v>5011.4101896551729</v>
      </c>
      <c r="Q873" s="21">
        <f t="shared" si="471"/>
        <v>4207.2560000000003</v>
      </c>
      <c r="R873" s="21">
        <f t="shared" si="471"/>
        <v>3480.5</v>
      </c>
      <c r="S873" s="21">
        <f t="shared" si="471"/>
        <v>2387.92</v>
      </c>
      <c r="T873" s="21">
        <f t="shared" si="471"/>
        <v>3100.23</v>
      </c>
      <c r="U873" s="21">
        <f t="shared" si="471"/>
        <v>7303.8689999999997</v>
      </c>
      <c r="V873" s="21">
        <f t="shared" si="471"/>
        <v>6113.1660000000002</v>
      </c>
      <c r="W873" s="21">
        <f t="shared" si="471"/>
        <v>6272.1</v>
      </c>
      <c r="X873" s="21">
        <f t="shared" si="471"/>
        <v>6145.2959999999994</v>
      </c>
      <c r="Y873" s="21">
        <f t="shared" si="471"/>
        <v>6607.9529999999995</v>
      </c>
      <c r="Z873" s="21">
        <f t="shared" si="471"/>
        <v>9971.4449999999997</v>
      </c>
    </row>
    <row r="874" spans="1:26" x14ac:dyDescent="0.2">
      <c r="A874" s="54" t="s">
        <v>112</v>
      </c>
      <c r="C874" s="198">
        <v>0.316</v>
      </c>
      <c r="D874" s="159">
        <v>0.32300000000000001</v>
      </c>
      <c r="E874" s="159">
        <v>0.18</v>
      </c>
      <c r="F874" s="159">
        <v>0.2455</v>
      </c>
      <c r="G874" s="159">
        <v>0.38900000000000001</v>
      </c>
      <c r="H874" s="159">
        <v>0.61909999999999998</v>
      </c>
      <c r="I874" s="159">
        <v>0.22811999999999999</v>
      </c>
      <c r="J874" s="159">
        <v>0.34200000000000003</v>
      </c>
      <c r="K874" s="159">
        <v>0.20799999999999999</v>
      </c>
      <c r="L874" s="159">
        <v>0.159</v>
      </c>
      <c r="M874" s="159">
        <v>0.17699999999999999</v>
      </c>
      <c r="N874" s="159">
        <v>0.18099999999999999</v>
      </c>
      <c r="O874" s="217">
        <v>0.20899999999999999</v>
      </c>
      <c r="P874" s="217">
        <v>0.13300000000000001</v>
      </c>
      <c r="Q874" s="217">
        <v>0.10100000000000001</v>
      </c>
      <c r="R874" s="217">
        <v>0.1</v>
      </c>
      <c r="S874" s="217">
        <v>7.5999999999999998E-2</v>
      </c>
      <c r="T874" s="217">
        <v>9.8000000000000004E-2</v>
      </c>
      <c r="U874" s="217">
        <v>0.219</v>
      </c>
      <c r="V874" s="217">
        <v>0.219</v>
      </c>
      <c r="W874" s="217">
        <v>0.20200000000000001</v>
      </c>
      <c r="X874" s="217">
        <v>0.20399999999999999</v>
      </c>
      <c r="Y874" s="217">
        <v>0.20899999999999999</v>
      </c>
      <c r="Z874" s="217">
        <v>0.223</v>
      </c>
    </row>
    <row r="875" spans="1:26" x14ac:dyDescent="0.2">
      <c r="A875" s="54" t="s">
        <v>358</v>
      </c>
      <c r="C875" s="20"/>
      <c r="D875" s="20"/>
      <c r="E875" s="20"/>
      <c r="F875" s="20"/>
      <c r="G875" s="20"/>
      <c r="H875" s="20"/>
      <c r="I875" s="20"/>
      <c r="J875" s="20"/>
      <c r="K875" s="20"/>
      <c r="L875" s="20"/>
      <c r="M875" s="20"/>
      <c r="N875" s="20"/>
      <c r="O875" s="20"/>
      <c r="P875" s="20"/>
      <c r="Q875" s="20"/>
      <c r="R875" s="20"/>
      <c r="S875" s="20"/>
      <c r="T875" s="20"/>
      <c r="U875" s="20"/>
      <c r="V875" s="20"/>
      <c r="W875" s="20"/>
      <c r="X875" s="20"/>
      <c r="Y875" s="20"/>
      <c r="Z875" s="20"/>
    </row>
    <row r="876" spans="1:26" x14ac:dyDescent="0.2">
      <c r="A876" s="20"/>
      <c r="B876" s="45"/>
      <c r="C876" s="20"/>
      <c r="D876" s="20"/>
      <c r="E876" s="20"/>
      <c r="F876" s="20"/>
      <c r="G876" s="20"/>
      <c r="H876" s="20"/>
      <c r="I876" s="20"/>
      <c r="J876" s="20"/>
      <c r="K876" s="20"/>
      <c r="L876" s="20"/>
      <c r="M876" s="20"/>
      <c r="N876" s="20"/>
      <c r="O876" s="20"/>
      <c r="P876" s="20"/>
      <c r="Q876" s="20"/>
      <c r="R876" s="20"/>
      <c r="S876" s="20"/>
      <c r="T876" s="20"/>
      <c r="U876" s="20"/>
      <c r="V876" s="20"/>
      <c r="W876" s="20"/>
      <c r="X876" s="20"/>
      <c r="Y876" s="20"/>
      <c r="Z876" s="20"/>
    </row>
    <row r="877" spans="1:26" s="20" customFormat="1" x14ac:dyDescent="0.2">
      <c r="A877"/>
    </row>
    <row r="878" spans="1:26" x14ac:dyDescent="0.2">
      <c r="A878" s="14" t="s">
        <v>66</v>
      </c>
      <c r="C878" s="20"/>
      <c r="D878" s="20"/>
      <c r="E878" s="20"/>
      <c r="F878" s="20"/>
      <c r="G878" s="20"/>
      <c r="H878" s="20"/>
      <c r="I878" s="20"/>
      <c r="J878" s="20"/>
      <c r="K878" s="20"/>
      <c r="L878" s="20"/>
      <c r="M878" s="20"/>
      <c r="N878" s="20"/>
      <c r="O878" s="20"/>
      <c r="P878" s="20"/>
      <c r="Q878" s="20"/>
      <c r="R878" s="20"/>
      <c r="S878" s="20"/>
      <c r="T878" s="20"/>
      <c r="U878" s="20"/>
      <c r="V878" s="20"/>
      <c r="W878" s="20"/>
      <c r="X878" s="20"/>
      <c r="Y878" s="20"/>
      <c r="Z878" s="20"/>
    </row>
    <row r="879" spans="1:26" x14ac:dyDescent="0.2">
      <c r="C879" s="20"/>
      <c r="D879" s="20"/>
      <c r="E879" s="20"/>
      <c r="F879" s="20"/>
      <c r="G879" s="20"/>
      <c r="H879" s="20"/>
      <c r="I879" s="20"/>
      <c r="J879" s="20"/>
      <c r="K879" s="20"/>
      <c r="L879" s="20"/>
      <c r="M879" s="20"/>
      <c r="N879" s="20"/>
      <c r="O879" s="20"/>
      <c r="P879" s="20"/>
      <c r="Q879" s="20"/>
      <c r="R879" s="20"/>
      <c r="S879" s="20"/>
      <c r="T879" s="20"/>
      <c r="U879" s="20"/>
      <c r="V879" s="20"/>
      <c r="W879" s="20"/>
      <c r="X879" s="20"/>
      <c r="Y879" s="20"/>
      <c r="Z879" s="20"/>
    </row>
    <row r="880" spans="1:26" x14ac:dyDescent="0.2">
      <c r="C880" s="64">
        <v>45307</v>
      </c>
      <c r="D880" s="64">
        <v>45338</v>
      </c>
      <c r="E880" s="64">
        <v>45366</v>
      </c>
      <c r="F880" s="64">
        <v>45397</v>
      </c>
      <c r="G880" s="64">
        <v>45427</v>
      </c>
      <c r="H880" s="64">
        <v>45458</v>
      </c>
      <c r="I880" s="64">
        <v>45488</v>
      </c>
      <c r="J880" s="64">
        <v>45519</v>
      </c>
      <c r="K880" s="64">
        <v>45550</v>
      </c>
      <c r="L880" s="64">
        <v>45580</v>
      </c>
      <c r="M880" s="64">
        <v>45611</v>
      </c>
      <c r="N880" s="64">
        <v>45641</v>
      </c>
      <c r="O880" s="64">
        <f t="shared" ref="O880:Z880" si="472">+O2</f>
        <v>45673</v>
      </c>
      <c r="P880" s="64">
        <f t="shared" si="472"/>
        <v>45704</v>
      </c>
      <c r="Q880" s="64">
        <f t="shared" si="472"/>
        <v>45732</v>
      </c>
      <c r="R880" s="64">
        <f t="shared" si="472"/>
        <v>45763</v>
      </c>
      <c r="S880" s="64">
        <f t="shared" si="472"/>
        <v>45793</v>
      </c>
      <c r="T880" s="64">
        <f t="shared" si="472"/>
        <v>45824</v>
      </c>
      <c r="U880" s="64">
        <f t="shared" si="472"/>
        <v>45854</v>
      </c>
      <c r="V880" s="64">
        <f t="shared" si="472"/>
        <v>45885</v>
      </c>
      <c r="W880" s="64">
        <f t="shared" si="472"/>
        <v>45916</v>
      </c>
      <c r="X880" s="64">
        <f t="shared" si="472"/>
        <v>45946</v>
      </c>
      <c r="Y880" s="64">
        <f t="shared" si="472"/>
        <v>45977</v>
      </c>
      <c r="Z880" s="64">
        <f t="shared" si="472"/>
        <v>46007</v>
      </c>
    </row>
    <row r="881" spans="1:26" x14ac:dyDescent="0.2">
      <c r="A881" t="s">
        <v>206</v>
      </c>
      <c r="C881" s="21">
        <v>22603.428510938036</v>
      </c>
      <c r="D881" s="21">
        <v>16347.208239028349</v>
      </c>
      <c r="E881" s="21">
        <v>3524.511342529257</v>
      </c>
      <c r="F881" s="21">
        <v>5772.917021336656</v>
      </c>
      <c r="G881" s="21">
        <v>7249.0581757986602</v>
      </c>
      <c r="H881" s="21">
        <v>18144.098955478894</v>
      </c>
      <c r="I881" s="21">
        <v>6288.3396891440825</v>
      </c>
      <c r="J881" s="21">
        <v>7200.6696809598016</v>
      </c>
      <c r="K881" s="21">
        <v>2016.1097537213559</v>
      </c>
      <c r="L881" s="21">
        <v>-2704.4369735864939</v>
      </c>
      <c r="M881" s="21">
        <v>2250.6103158693395</v>
      </c>
      <c r="N881" s="21">
        <v>5551.5561241785108</v>
      </c>
      <c r="O881" s="21">
        <f t="shared" ref="O881:Z881" si="473">+O882+O883</f>
        <v>8943.1460000000006</v>
      </c>
      <c r="P881" s="21">
        <f t="shared" si="473"/>
        <v>527.51686206896557</v>
      </c>
      <c r="Q881" s="21">
        <f t="shared" si="473"/>
        <v>4019.8040000000001</v>
      </c>
      <c r="R881" s="21">
        <f t="shared" si="473"/>
        <v>4385.4299999999994</v>
      </c>
      <c r="S881" s="21">
        <f t="shared" si="473"/>
        <v>4650.16</v>
      </c>
      <c r="T881" s="21">
        <f t="shared" si="473"/>
        <v>2435.895</v>
      </c>
      <c r="U881" s="21">
        <f t="shared" si="473"/>
        <v>4402.3320000000003</v>
      </c>
      <c r="V881" s="21">
        <f t="shared" si="473"/>
        <v>1786.4960000000001</v>
      </c>
      <c r="W881" s="21">
        <f t="shared" si="473"/>
        <v>2204.5500000000002</v>
      </c>
      <c r="X881" s="21">
        <f t="shared" si="473"/>
        <v>6838.1480000000001</v>
      </c>
      <c r="Y881" s="21">
        <f t="shared" si="473"/>
        <v>10560.078000000001</v>
      </c>
      <c r="Z881" s="21">
        <f t="shared" si="473"/>
        <v>8138.1299999999992</v>
      </c>
    </row>
    <row r="882" spans="1:26" x14ac:dyDescent="0.2">
      <c r="A882" t="s">
        <v>152</v>
      </c>
      <c r="C882" s="21">
        <v>3331.6254806685793</v>
      </c>
      <c r="D882" s="21">
        <v>4179.3306325609374</v>
      </c>
      <c r="E882" s="21">
        <v>1455.006597673078</v>
      </c>
      <c r="F882" s="21">
        <v>1316.8448843606034</v>
      </c>
      <c r="G882" s="21">
        <v>1377.8964080491378</v>
      </c>
      <c r="H882" s="21">
        <v>4489.2793971080018</v>
      </c>
      <c r="I882" s="21">
        <v>1154.0304985981907</v>
      </c>
      <c r="J882" s="21">
        <v>1504.3113022148978</v>
      </c>
      <c r="K882" s="21">
        <v>492.25408875914849</v>
      </c>
      <c r="L882" s="21">
        <v>801.16354494816846</v>
      </c>
      <c r="M882" s="21">
        <v>392.201004595933</v>
      </c>
      <c r="N882" s="21">
        <v>332.9825375530088</v>
      </c>
      <c r="O882" s="21">
        <f t="shared" ref="O882:Z882" si="474">+(O$670-O$687)*O$884</f>
        <v>1770.92</v>
      </c>
      <c r="P882" s="21">
        <f t="shared" si="474"/>
        <v>376.79775862068965</v>
      </c>
      <c r="Q882" s="21">
        <f t="shared" si="474"/>
        <v>728.98</v>
      </c>
      <c r="R882" s="21">
        <f t="shared" si="474"/>
        <v>835.32</v>
      </c>
      <c r="S882" s="21">
        <f t="shared" si="474"/>
        <v>691.24</v>
      </c>
      <c r="T882" s="21">
        <f t="shared" si="474"/>
        <v>601.06499999999994</v>
      </c>
      <c r="U882" s="21">
        <f t="shared" si="474"/>
        <v>700.37100000000009</v>
      </c>
      <c r="V882" s="21">
        <f t="shared" si="474"/>
        <v>446.62400000000002</v>
      </c>
      <c r="W882" s="21">
        <f t="shared" si="474"/>
        <v>527.85</v>
      </c>
      <c r="X882" s="21">
        <f t="shared" si="474"/>
        <v>1174.836</v>
      </c>
      <c r="Y882" s="21">
        <f t="shared" si="474"/>
        <v>2276.424</v>
      </c>
      <c r="Z882" s="21">
        <f t="shared" si="474"/>
        <v>1833.3150000000001</v>
      </c>
    </row>
    <row r="883" spans="1:26" x14ac:dyDescent="0.2">
      <c r="A883" t="s">
        <v>153</v>
      </c>
      <c r="C883" s="21">
        <v>19271.803030269457</v>
      </c>
      <c r="D883" s="21">
        <v>12167.877606467411</v>
      </c>
      <c r="E883" s="21">
        <v>2069.5047448561791</v>
      </c>
      <c r="F883" s="21">
        <v>4456.0721369760531</v>
      </c>
      <c r="G883" s="21">
        <v>5871.1617677495224</v>
      </c>
      <c r="H883" s="21">
        <v>13654.819558370891</v>
      </c>
      <c r="I883" s="21">
        <v>5134.3091905458923</v>
      </c>
      <c r="J883" s="21">
        <v>5696.3583787449043</v>
      </c>
      <c r="K883" s="21">
        <v>1523.8556649622074</v>
      </c>
      <c r="L883" s="21">
        <v>-3505.6005185346621</v>
      </c>
      <c r="M883" s="21">
        <v>1858.4093112734067</v>
      </c>
      <c r="N883" s="21">
        <v>5218.5735866255018</v>
      </c>
      <c r="O883" s="21">
        <f t="shared" ref="O883:Z883" si="475">+(O670-O687)*O885</f>
        <v>7172.2260000000006</v>
      </c>
      <c r="P883" s="21">
        <f t="shared" si="475"/>
        <v>150.71910344827586</v>
      </c>
      <c r="Q883" s="21">
        <f t="shared" si="475"/>
        <v>3290.8240000000001</v>
      </c>
      <c r="R883" s="21">
        <f t="shared" si="475"/>
        <v>3550.1099999999997</v>
      </c>
      <c r="S883" s="21">
        <f t="shared" si="475"/>
        <v>3958.92</v>
      </c>
      <c r="T883" s="21">
        <f t="shared" si="475"/>
        <v>1834.8300000000002</v>
      </c>
      <c r="U883" s="21">
        <f t="shared" si="475"/>
        <v>3701.9610000000002</v>
      </c>
      <c r="V883" s="21">
        <f t="shared" si="475"/>
        <v>1339.8720000000001</v>
      </c>
      <c r="W883" s="21">
        <f t="shared" si="475"/>
        <v>1676.7</v>
      </c>
      <c r="X883" s="21">
        <f t="shared" si="475"/>
        <v>5663.3119999999999</v>
      </c>
      <c r="Y883" s="21">
        <f t="shared" si="475"/>
        <v>8283.6540000000005</v>
      </c>
      <c r="Z883" s="21">
        <f t="shared" si="475"/>
        <v>6304.8149999999996</v>
      </c>
    </row>
    <row r="884" spans="1:26" x14ac:dyDescent="0.2">
      <c r="A884" t="s">
        <v>150</v>
      </c>
      <c r="C884" s="159">
        <v>7.5699835965294573E-2</v>
      </c>
      <c r="D884" s="159">
        <v>9.7810821187246308E-2</v>
      </c>
      <c r="E884" s="159">
        <v>3.3630884746511602E-2</v>
      </c>
      <c r="F884" s="159">
        <v>4.1783376201313727E-2</v>
      </c>
      <c r="G884" s="159">
        <v>4.3823433879814827E-2</v>
      </c>
      <c r="H884" s="159">
        <v>0.12177289093224114</v>
      </c>
      <c r="I884" s="159">
        <v>3.5576499740988678E-2</v>
      </c>
      <c r="J884" s="159">
        <v>4.2341570091615002E-2</v>
      </c>
      <c r="K884" s="159">
        <v>1.7951064428529957E-2</v>
      </c>
      <c r="L884" s="159">
        <v>2.9889700975532327E-2</v>
      </c>
      <c r="M884" s="159">
        <v>1.2717695275331009E-2</v>
      </c>
      <c r="N884" s="159">
        <v>9.1168146301886105E-3</v>
      </c>
      <c r="O884" s="102">
        <v>0.04</v>
      </c>
      <c r="P884" s="102">
        <v>0.01</v>
      </c>
      <c r="Q884" s="102">
        <v>1.7500000000000002E-2</v>
      </c>
      <c r="R884" s="102">
        <v>2.4E-2</v>
      </c>
      <c r="S884" s="102">
        <v>2.1999999999999999E-2</v>
      </c>
      <c r="T884" s="102">
        <v>1.9E-2</v>
      </c>
      <c r="U884" s="102">
        <v>2.1000000000000001E-2</v>
      </c>
      <c r="V884" s="102">
        <v>1.6E-2</v>
      </c>
      <c r="W884" s="102">
        <v>1.7000000000000001E-2</v>
      </c>
      <c r="X884" s="102">
        <v>3.9E-2</v>
      </c>
      <c r="Y884" s="102">
        <v>7.1999999999999995E-2</v>
      </c>
      <c r="Z884" s="102">
        <v>4.1000000000000002E-2</v>
      </c>
    </row>
    <row r="885" spans="1:26" x14ac:dyDescent="0.2">
      <c r="A885" t="s">
        <v>151</v>
      </c>
      <c r="C885" s="159">
        <v>0.43788605190223939</v>
      </c>
      <c r="D885" s="159">
        <v>0.28477050643519036</v>
      </c>
      <c r="E885" s="159">
        <v>4.7834336743162419E-2</v>
      </c>
      <c r="F885" s="159">
        <v>0.14139078997893303</v>
      </c>
      <c r="G885" s="159">
        <v>0.1867299080131519</v>
      </c>
      <c r="H885" s="159">
        <v>0.37039059182908074</v>
      </c>
      <c r="I885" s="159">
        <v>0.15828069518915755</v>
      </c>
      <c r="J885" s="159">
        <v>0.1603343385145492</v>
      </c>
      <c r="K885" s="159">
        <v>5.557055156305913E-2</v>
      </c>
      <c r="L885" s="159">
        <v>-0.1307864691290353</v>
      </c>
      <c r="M885" s="159">
        <v>6.026165930391409E-2</v>
      </c>
      <c r="N885" s="159">
        <v>0.14288066987803916</v>
      </c>
      <c r="O885" s="102">
        <v>0.16200000000000001</v>
      </c>
      <c r="P885" s="102">
        <v>4.0000000000000001E-3</v>
      </c>
      <c r="Q885" s="102">
        <v>7.9000000000000001E-2</v>
      </c>
      <c r="R885" s="102">
        <v>0.10199999999999999</v>
      </c>
      <c r="S885" s="102">
        <v>0.126</v>
      </c>
      <c r="T885" s="102">
        <v>5.8000000000000003E-2</v>
      </c>
      <c r="U885" s="102">
        <v>0.111</v>
      </c>
      <c r="V885" s="102">
        <v>4.8000000000000001E-2</v>
      </c>
      <c r="W885" s="102">
        <v>5.3999999999999999E-2</v>
      </c>
      <c r="X885" s="102">
        <v>0.188</v>
      </c>
      <c r="Y885" s="102">
        <v>0.26200000000000001</v>
      </c>
      <c r="Z885" s="102">
        <v>0.14099999999999999</v>
      </c>
    </row>
    <row r="886" spans="1:26" x14ac:dyDescent="0.2">
      <c r="A886" s="20"/>
      <c r="B886" s="20"/>
    </row>
    <row r="887" spans="1:26" x14ac:dyDescent="0.2">
      <c r="A887" s="20"/>
      <c r="B887" s="20"/>
    </row>
    <row r="888" spans="1:26" x14ac:dyDescent="0.2">
      <c r="B888" s="53"/>
    </row>
    <row r="890" spans="1:26" x14ac:dyDescent="0.2">
      <c r="A890" s="14" t="s">
        <v>65</v>
      </c>
    </row>
    <row r="891" spans="1:26" x14ac:dyDescent="0.2">
      <c r="A891" s="14"/>
    </row>
    <row r="892" spans="1:26" x14ac:dyDescent="0.2">
      <c r="A892" s="14"/>
    </row>
    <row r="893" spans="1:26" x14ac:dyDescent="0.2">
      <c r="A893" t="s">
        <v>67</v>
      </c>
      <c r="C893" s="64">
        <v>45307</v>
      </c>
      <c r="D893" s="64">
        <v>45338</v>
      </c>
      <c r="E893" s="64">
        <v>45366</v>
      </c>
      <c r="F893" s="64">
        <v>45397</v>
      </c>
      <c r="G893" s="64">
        <v>45427</v>
      </c>
      <c r="H893" s="64">
        <v>45458</v>
      </c>
      <c r="I893" s="64">
        <v>45488</v>
      </c>
      <c r="J893" s="64">
        <v>45519</v>
      </c>
      <c r="K893" s="64">
        <v>45550</v>
      </c>
      <c r="L893" s="64">
        <v>45580</v>
      </c>
      <c r="M893" s="64">
        <v>45611</v>
      </c>
      <c r="N893" s="64">
        <v>45641</v>
      </c>
      <c r="O893" s="64">
        <f t="shared" ref="O893:Z893" si="476">+O2</f>
        <v>45673</v>
      </c>
      <c r="P893" s="64">
        <f t="shared" si="476"/>
        <v>45704</v>
      </c>
      <c r="Q893" s="64">
        <f t="shared" si="476"/>
        <v>45732</v>
      </c>
      <c r="R893" s="64">
        <f t="shared" si="476"/>
        <v>45763</v>
      </c>
      <c r="S893" s="64">
        <f t="shared" si="476"/>
        <v>45793</v>
      </c>
      <c r="T893" s="64">
        <f t="shared" si="476"/>
        <v>45824</v>
      </c>
      <c r="U893" s="64">
        <f t="shared" si="476"/>
        <v>45854</v>
      </c>
      <c r="V893" s="64">
        <f t="shared" si="476"/>
        <v>45885</v>
      </c>
      <c r="W893" s="64">
        <f t="shared" si="476"/>
        <v>45916</v>
      </c>
      <c r="X893" s="64">
        <f t="shared" si="476"/>
        <v>45946</v>
      </c>
      <c r="Y893" s="64">
        <f t="shared" si="476"/>
        <v>45977</v>
      </c>
      <c r="Z893" s="64">
        <f t="shared" si="476"/>
        <v>46007</v>
      </c>
    </row>
    <row r="894" spans="1:26" x14ac:dyDescent="0.2">
      <c r="A894" t="s">
        <v>149</v>
      </c>
      <c r="C894" s="21">
        <v>30210.954038204189</v>
      </c>
      <c r="D894" s="21">
        <v>40558.394013509496</v>
      </c>
      <c r="E894" s="21">
        <v>50438.633754578463</v>
      </c>
      <c r="F894" s="21">
        <v>5849.8669815079438</v>
      </c>
      <c r="G894" s="21">
        <v>7902.1742257080587</v>
      </c>
      <c r="H894" s="21">
        <v>22410.324043322795</v>
      </c>
      <c r="I894" s="21">
        <v>8366.1706746052205</v>
      </c>
      <c r="J894" s="21">
        <v>10689.707373749501</v>
      </c>
      <c r="K894" s="21">
        <v>7696.4048981444876</v>
      </c>
      <c r="L894" s="21">
        <v>7524.7900093750677</v>
      </c>
      <c r="M894" s="21">
        <v>7205.1878955104112</v>
      </c>
      <c r="N894" s="21">
        <v>38821.765828358089</v>
      </c>
      <c r="O894" s="21">
        <f t="shared" ref="O894:Z894" si="477">+O895*(O670-O687)</f>
        <v>18196.202999999998</v>
      </c>
      <c r="P894" s="21">
        <f t="shared" si="477"/>
        <v>16277.663172413791</v>
      </c>
      <c r="Q894" s="21">
        <f t="shared" si="477"/>
        <v>17328.896000000001</v>
      </c>
      <c r="R894" s="21">
        <f t="shared" si="477"/>
        <v>13434.73</v>
      </c>
      <c r="S894" s="21">
        <f t="shared" si="477"/>
        <v>10619.960000000001</v>
      </c>
      <c r="T894" s="21">
        <f t="shared" si="477"/>
        <v>12009.224960688249</v>
      </c>
      <c r="U894" s="21">
        <f t="shared" si="477"/>
        <v>16508.744999999999</v>
      </c>
      <c r="V894" s="21">
        <f t="shared" si="477"/>
        <v>20070.165999999997</v>
      </c>
      <c r="W894" s="21">
        <f t="shared" si="477"/>
        <v>34403.4</v>
      </c>
      <c r="X894" s="21">
        <f t="shared" si="477"/>
        <v>18255.144</v>
      </c>
      <c r="Y894" s="21">
        <f t="shared" si="477"/>
        <v>19286.37</v>
      </c>
      <c r="Z894" s="21">
        <f t="shared" si="477"/>
        <v>23430.66</v>
      </c>
    </row>
    <row r="895" spans="1:26" x14ac:dyDescent="0.2">
      <c r="A895" s="100"/>
      <c r="C895" s="159">
        <v>0.68644098153198496</v>
      </c>
      <c r="D895" s="159">
        <v>0.94920698391033942</v>
      </c>
      <c r="E895" s="159">
        <v>1.1658338053480599</v>
      </c>
      <c r="F895" s="159">
        <v>0.18561578187295164</v>
      </c>
      <c r="G895" s="159">
        <v>0.25132543176986383</v>
      </c>
      <c r="H895" s="159">
        <v>0.60788596656330485</v>
      </c>
      <c r="I895" s="159">
        <v>0.25791265412803566</v>
      </c>
      <c r="J895" s="159">
        <v>0.30088120281888936</v>
      </c>
      <c r="K895" s="159">
        <v>0.28066533798207599</v>
      </c>
      <c r="L895" s="159">
        <v>0.28073384604443619</v>
      </c>
      <c r="M895" s="159">
        <v>0.23363883055580309</v>
      </c>
      <c r="N895" s="159">
        <v>1.0629111222308096</v>
      </c>
      <c r="O895" s="234">
        <v>0.41099999999999998</v>
      </c>
      <c r="P895" s="234">
        <v>0.432</v>
      </c>
      <c r="Q895" s="234">
        <v>0.41599999999999998</v>
      </c>
      <c r="R895" s="234">
        <v>0.38600000000000001</v>
      </c>
      <c r="S895" s="234">
        <v>0.33800000000000002</v>
      </c>
      <c r="T895" s="234">
        <v>0.37961830127037299</v>
      </c>
      <c r="U895" s="234">
        <v>0.495</v>
      </c>
      <c r="V895" s="234">
        <v>0.71899999999999997</v>
      </c>
      <c r="W895" s="234">
        <v>1.1080000000000001</v>
      </c>
      <c r="X895" s="234">
        <v>0.60599999999999998</v>
      </c>
      <c r="Y895" s="234">
        <v>0.61</v>
      </c>
      <c r="Z895" s="234">
        <v>0.52400000000000002</v>
      </c>
    </row>
    <row r="896" spans="1:26" s="6" customFormat="1" x14ac:dyDescent="0.2">
      <c r="C896" s="35"/>
      <c r="D896" s="35"/>
      <c r="E896" s="35"/>
      <c r="F896" s="35"/>
      <c r="G896" s="35"/>
      <c r="H896" s="35"/>
      <c r="I896" s="35"/>
      <c r="J896" s="35"/>
      <c r="K896" s="35"/>
      <c r="L896" s="35"/>
      <c r="M896" s="35"/>
      <c r="N896" s="35"/>
      <c r="O896" s="35"/>
      <c r="P896" s="35"/>
      <c r="Q896" s="35"/>
      <c r="R896" s="35"/>
      <c r="S896" s="35"/>
      <c r="T896" s="35"/>
      <c r="U896" s="35"/>
      <c r="V896" s="35"/>
      <c r="W896" s="35"/>
      <c r="X896" s="35"/>
      <c r="Y896" s="35"/>
      <c r="Z896" s="35"/>
    </row>
    <row r="897" spans="1:26" s="6" customFormat="1" x14ac:dyDescent="0.2">
      <c r="B897" s="53"/>
      <c r="C897" s="20"/>
      <c r="D897" s="20"/>
      <c r="E897" s="20"/>
      <c r="F897" s="20"/>
      <c r="G897" s="20"/>
      <c r="H897" s="20"/>
      <c r="I897" s="20"/>
      <c r="J897" s="20"/>
      <c r="K897" s="20"/>
      <c r="L897" s="20"/>
      <c r="M897" s="20"/>
      <c r="N897" s="20"/>
      <c r="O897" s="20"/>
      <c r="P897" s="20"/>
      <c r="Q897" s="20"/>
      <c r="R897" s="20"/>
      <c r="S897" s="20"/>
      <c r="T897" s="20"/>
      <c r="U897" s="20"/>
      <c r="V897" s="20"/>
      <c r="W897" s="20"/>
      <c r="X897" s="20"/>
      <c r="Y897" s="20"/>
      <c r="Z897" s="20"/>
    </row>
    <row r="898" spans="1:26" s="6" customFormat="1" x14ac:dyDescent="0.2">
      <c r="B898" s="53"/>
      <c r="C898" s="20"/>
      <c r="D898" s="20"/>
      <c r="E898" s="20"/>
      <c r="F898" s="20"/>
      <c r="G898" s="20"/>
      <c r="H898" s="20"/>
      <c r="I898" s="20"/>
      <c r="J898" s="20"/>
      <c r="K898" s="20"/>
      <c r="L898" s="20"/>
      <c r="M898" s="20"/>
      <c r="N898" s="20"/>
      <c r="O898" s="20"/>
      <c r="P898" s="20"/>
      <c r="Q898" s="20"/>
      <c r="R898" s="20"/>
      <c r="S898" s="20"/>
      <c r="T898" s="20"/>
      <c r="U898" s="20"/>
      <c r="V898" s="20"/>
      <c r="W898" s="20"/>
      <c r="X898" s="20"/>
      <c r="Y898" s="20"/>
      <c r="Z898" s="20"/>
    </row>
    <row r="899" spans="1:26" s="6" customFormat="1" x14ac:dyDescent="0.2">
      <c r="B899" s="53"/>
      <c r="C899" s="20"/>
      <c r="D899" s="20"/>
      <c r="E899" s="20"/>
      <c r="F899" s="20"/>
      <c r="G899" s="20"/>
      <c r="H899" s="20"/>
      <c r="I899" s="20"/>
      <c r="J899" s="20"/>
      <c r="K899" s="20"/>
      <c r="L899" s="20"/>
      <c r="M899" s="20"/>
      <c r="N899" s="20"/>
      <c r="O899" s="20"/>
      <c r="P899" s="20"/>
      <c r="Q899" s="20"/>
      <c r="R899" s="20"/>
      <c r="S899" s="20"/>
      <c r="T899" s="20"/>
      <c r="U899" s="20"/>
      <c r="V899" s="20"/>
      <c r="W899" s="20"/>
      <c r="X899" s="20"/>
      <c r="Y899" s="20"/>
      <c r="Z899" s="20"/>
    </row>
    <row r="900" spans="1:26" s="6" customFormat="1" x14ac:dyDescent="0.2">
      <c r="B900" s="53"/>
      <c r="C900" s="20"/>
      <c r="D900" s="20"/>
      <c r="E900" s="20"/>
      <c r="F900" s="20"/>
      <c r="G900" s="20"/>
      <c r="H900" s="20"/>
      <c r="I900" s="20"/>
      <c r="J900" s="20"/>
      <c r="K900" s="20"/>
      <c r="L900" s="20"/>
      <c r="M900" s="20"/>
      <c r="N900" s="20"/>
      <c r="O900" s="20"/>
      <c r="P900" s="20"/>
      <c r="Q900" s="20"/>
      <c r="R900" s="20"/>
      <c r="S900" s="20"/>
      <c r="T900" s="20"/>
      <c r="U900" s="20"/>
      <c r="V900" s="20"/>
      <c r="W900" s="20"/>
      <c r="X900" s="20"/>
      <c r="Y900" s="20"/>
      <c r="Z900" s="20"/>
    </row>
    <row r="901" spans="1:26" s="6" customFormat="1" x14ac:dyDescent="0.2">
      <c r="A901" s="143" t="s">
        <v>353</v>
      </c>
      <c r="B901" s="53"/>
      <c r="C901" s="20"/>
      <c r="D901" s="20"/>
      <c r="E901" s="20"/>
      <c r="F901" s="20"/>
      <c r="G901" s="20"/>
      <c r="H901" s="20"/>
      <c r="I901" s="20"/>
      <c r="J901" s="20"/>
      <c r="K901" s="20"/>
      <c r="L901" s="20"/>
      <c r="M901" s="20"/>
      <c r="N901" s="20"/>
      <c r="O901" s="20"/>
      <c r="P901" s="20"/>
      <c r="Q901" s="20"/>
      <c r="R901" s="20"/>
      <c r="S901" s="20"/>
      <c r="T901" s="20"/>
      <c r="U901" s="20"/>
      <c r="V901" s="20"/>
      <c r="W901" s="20"/>
      <c r="X901" s="20"/>
      <c r="Y901" s="20"/>
      <c r="Z901" s="20"/>
    </row>
    <row r="902" spans="1:26" s="6" customFormat="1" x14ac:dyDescent="0.2">
      <c r="A902" s="100" t="s">
        <v>357</v>
      </c>
      <c r="B902" s="53"/>
      <c r="C902" s="64">
        <v>45307</v>
      </c>
      <c r="D902" s="64">
        <v>45338</v>
      </c>
      <c r="E902" s="64">
        <v>45366</v>
      </c>
      <c r="F902" s="64">
        <v>45397</v>
      </c>
      <c r="G902" s="64">
        <v>45427</v>
      </c>
      <c r="H902" s="64">
        <v>45458</v>
      </c>
      <c r="I902" s="64">
        <v>45488</v>
      </c>
      <c r="J902" s="64">
        <v>45519</v>
      </c>
      <c r="K902" s="64">
        <v>45550</v>
      </c>
      <c r="L902" s="64">
        <v>45580</v>
      </c>
      <c r="M902" s="64">
        <v>45611</v>
      </c>
      <c r="N902" s="64">
        <v>45641</v>
      </c>
      <c r="O902" s="64">
        <f t="shared" ref="O902:Z902" si="478">+O2</f>
        <v>45673</v>
      </c>
      <c r="P902" s="64">
        <f t="shared" si="478"/>
        <v>45704</v>
      </c>
      <c r="Q902" s="64">
        <f t="shared" si="478"/>
        <v>45732</v>
      </c>
      <c r="R902" s="64">
        <f t="shared" si="478"/>
        <v>45763</v>
      </c>
      <c r="S902" s="64">
        <f t="shared" si="478"/>
        <v>45793</v>
      </c>
      <c r="T902" s="64">
        <f t="shared" si="478"/>
        <v>45824</v>
      </c>
      <c r="U902" s="64">
        <f t="shared" si="478"/>
        <v>45854</v>
      </c>
      <c r="V902" s="64">
        <f t="shared" si="478"/>
        <v>45885</v>
      </c>
      <c r="W902" s="64">
        <f t="shared" si="478"/>
        <v>45916</v>
      </c>
      <c r="X902" s="64">
        <f t="shared" si="478"/>
        <v>45946</v>
      </c>
      <c r="Y902" s="64">
        <f t="shared" si="478"/>
        <v>45977</v>
      </c>
      <c r="Z902" s="64">
        <f t="shared" si="478"/>
        <v>46007</v>
      </c>
    </row>
    <row r="903" spans="1:26" s="6" customFormat="1" x14ac:dyDescent="0.2">
      <c r="A903" s="6" t="s">
        <v>354</v>
      </c>
      <c r="B903" s="53"/>
      <c r="C903" s="112"/>
      <c r="D903" s="112"/>
      <c r="E903" s="112"/>
      <c r="F903" s="112"/>
      <c r="G903" s="112"/>
      <c r="H903" s="112"/>
      <c r="I903" s="112"/>
      <c r="J903" s="112"/>
      <c r="K903" s="112"/>
      <c r="L903" s="112"/>
      <c r="M903" s="112"/>
      <c r="N903" s="112"/>
      <c r="O903" s="112"/>
      <c r="P903" s="112"/>
      <c r="Q903" s="112"/>
      <c r="R903" s="112"/>
      <c r="S903" s="112"/>
      <c r="T903" s="112"/>
      <c r="U903" s="112"/>
      <c r="V903" s="112"/>
      <c r="W903" s="112"/>
      <c r="X903" s="112"/>
      <c r="Y903" s="112"/>
      <c r="Z903" s="112"/>
    </row>
    <row r="904" spans="1:26" s="6" customFormat="1" x14ac:dyDescent="0.2">
      <c r="A904" s="6" t="s">
        <v>355</v>
      </c>
      <c r="B904" s="53"/>
      <c r="C904" s="112"/>
      <c r="D904" s="112"/>
      <c r="E904" s="112"/>
      <c r="F904" s="112"/>
      <c r="G904" s="112"/>
      <c r="H904" s="112"/>
      <c r="I904" s="112"/>
      <c r="J904" s="112"/>
      <c r="K904" s="112"/>
      <c r="L904" s="112"/>
      <c r="M904" s="112"/>
      <c r="N904" s="112"/>
      <c r="O904" s="112"/>
      <c r="P904" s="112"/>
      <c r="Q904" s="112"/>
      <c r="R904" s="112"/>
      <c r="S904" s="112"/>
      <c r="T904" s="112"/>
      <c r="U904" s="112"/>
      <c r="V904" s="112"/>
      <c r="W904" s="112"/>
      <c r="X904" s="112"/>
      <c r="Y904" s="112"/>
      <c r="Z904" s="112"/>
    </row>
    <row r="905" spans="1:26" s="6" customFormat="1" x14ac:dyDescent="0.2">
      <c r="A905" s="6" t="s">
        <v>356</v>
      </c>
      <c r="B905" s="53"/>
      <c r="C905" s="112"/>
      <c r="D905" s="112"/>
      <c r="E905" s="112"/>
      <c r="F905" s="112"/>
      <c r="G905" s="112"/>
      <c r="H905" s="112"/>
      <c r="I905" s="112"/>
      <c r="J905" s="112"/>
      <c r="K905" s="112"/>
      <c r="L905" s="112"/>
      <c r="M905" s="112"/>
      <c r="N905" s="112"/>
      <c r="O905" s="112"/>
      <c r="P905" s="112"/>
      <c r="Q905" s="112"/>
      <c r="R905" s="112"/>
      <c r="S905" s="112"/>
      <c r="T905" s="112"/>
      <c r="U905" s="112"/>
      <c r="V905" s="112"/>
      <c r="W905" s="112"/>
      <c r="X905" s="112"/>
      <c r="Y905" s="112"/>
      <c r="Z905" s="112"/>
    </row>
    <row r="906" spans="1:26" s="6" customFormat="1" x14ac:dyDescent="0.2">
      <c r="B906" s="53"/>
      <c r="C906" s="112"/>
      <c r="D906" s="112"/>
      <c r="E906" s="112"/>
      <c r="F906" s="112"/>
      <c r="G906" s="112"/>
      <c r="H906" s="112"/>
      <c r="I906" s="112"/>
      <c r="J906" s="112"/>
      <c r="K906" s="112"/>
      <c r="L906" s="112"/>
      <c r="M906" s="112"/>
      <c r="N906" s="112"/>
      <c r="O906" s="112"/>
      <c r="P906" s="112"/>
      <c r="Q906" s="112"/>
      <c r="R906" s="112"/>
      <c r="S906" s="112"/>
      <c r="T906" s="112"/>
      <c r="U906" s="112"/>
      <c r="V906" s="112"/>
      <c r="W906" s="112"/>
      <c r="X906" s="112"/>
      <c r="Y906" s="112"/>
      <c r="Z906" s="112"/>
    </row>
    <row r="907" spans="1:26" s="6" customFormat="1" x14ac:dyDescent="0.2">
      <c r="A907" s="143" t="s">
        <v>632</v>
      </c>
      <c r="B907" s="53"/>
      <c r="C907" s="160">
        <v>84146.11</v>
      </c>
      <c r="D907" s="160">
        <v>474154.2</v>
      </c>
      <c r="E907" s="160">
        <v>417027.45</v>
      </c>
      <c r="F907" s="160">
        <v>221156.9</v>
      </c>
      <c r="G907" s="160">
        <v>153700.4</v>
      </c>
      <c r="H907" s="160">
        <v>108692.68</v>
      </c>
      <c r="I907" s="134"/>
      <c r="J907" s="134"/>
      <c r="K907" s="134"/>
      <c r="L907" s="134"/>
      <c r="M907" s="134"/>
      <c r="N907" s="134"/>
    </row>
    <row r="908" spans="1:26" s="6" customFormat="1" x14ac:dyDescent="0.2">
      <c r="A908" s="143" t="s">
        <v>645</v>
      </c>
      <c r="B908" s="53"/>
      <c r="C908" s="227">
        <v>104616.66666666667</v>
      </c>
      <c r="D908" s="227">
        <v>104616.66666666667</v>
      </c>
      <c r="N908" s="227">
        <v>92066.709999999992</v>
      </c>
      <c r="O908" s="227">
        <v>104669.77</v>
      </c>
      <c r="P908" s="227">
        <v>97030.16</v>
      </c>
    </row>
    <row r="909" spans="1:26" s="6" customFormat="1" x14ac:dyDescent="0.2">
      <c r="B909" s="53"/>
    </row>
    <row r="910" spans="1:26" s="6" customFormat="1" x14ac:dyDescent="0.2">
      <c r="A910"/>
      <c r="B910" s="53"/>
    </row>
    <row r="911" spans="1:26" x14ac:dyDescent="0.2">
      <c r="A911" s="14" t="s">
        <v>68</v>
      </c>
    </row>
    <row r="912" spans="1:26" x14ac:dyDescent="0.2">
      <c r="A912" s="14" t="s">
        <v>204</v>
      </c>
    </row>
    <row r="913" spans="1:26" x14ac:dyDescent="0.2">
      <c r="A913" s="14" t="s">
        <v>109</v>
      </c>
      <c r="B913" s="27"/>
    </row>
    <row r="914" spans="1:26" x14ac:dyDescent="0.2">
      <c r="A914" s="14" t="s">
        <v>110</v>
      </c>
      <c r="B914" s="27"/>
    </row>
    <row r="915" spans="1:26" x14ac:dyDescent="0.2">
      <c r="A915" s="14" t="s">
        <v>111</v>
      </c>
      <c r="B915" s="27"/>
    </row>
    <row r="916" spans="1:26" x14ac:dyDescent="0.2">
      <c r="A916" s="14" t="s">
        <v>195</v>
      </c>
      <c r="B916" s="45"/>
    </row>
    <row r="917" spans="1:26" x14ac:dyDescent="0.2">
      <c r="A917" s="14" t="s">
        <v>196</v>
      </c>
      <c r="B917" s="45"/>
    </row>
    <row r="918" spans="1:26" x14ac:dyDescent="0.2">
      <c r="A918" s="14" t="s">
        <v>197</v>
      </c>
      <c r="B918" s="45">
        <v>0.03</v>
      </c>
    </row>
    <row r="919" spans="1:26" x14ac:dyDescent="0.2">
      <c r="A919" s="14" t="s">
        <v>198</v>
      </c>
      <c r="B919" s="45">
        <v>0.03</v>
      </c>
    </row>
    <row r="920" spans="1:26" x14ac:dyDescent="0.2">
      <c r="A920" s="14" t="s">
        <v>199</v>
      </c>
      <c r="B920" s="45">
        <v>0.03</v>
      </c>
    </row>
    <row r="921" spans="1:26" x14ac:dyDescent="0.2">
      <c r="A921" s="14" t="s">
        <v>200</v>
      </c>
      <c r="B921" s="45">
        <v>0.03</v>
      </c>
    </row>
    <row r="922" spans="1:26" x14ac:dyDescent="0.2">
      <c r="A922" s="14" t="s">
        <v>201</v>
      </c>
      <c r="B922" s="45">
        <v>0.03</v>
      </c>
    </row>
    <row r="923" spans="1:26" x14ac:dyDescent="0.2">
      <c r="A923" s="14" t="s">
        <v>202</v>
      </c>
      <c r="B923" s="45">
        <v>0.03</v>
      </c>
    </row>
    <row r="924" spans="1:26" x14ac:dyDescent="0.2">
      <c r="A924" s="14" t="s">
        <v>203</v>
      </c>
      <c r="B924" s="45">
        <v>0.03</v>
      </c>
    </row>
    <row r="925" spans="1:26" x14ac:dyDescent="0.2">
      <c r="A925" s="38"/>
      <c r="B925" s="45">
        <v>0.03</v>
      </c>
    </row>
    <row r="927" spans="1:26" x14ac:dyDescent="0.2">
      <c r="A927" t="s">
        <v>50</v>
      </c>
      <c r="C927" s="33">
        <v>45307</v>
      </c>
      <c r="D927" s="33">
        <v>45338</v>
      </c>
      <c r="E927" s="33">
        <v>45366</v>
      </c>
      <c r="F927" s="33">
        <v>45397</v>
      </c>
      <c r="G927" s="33">
        <v>45427</v>
      </c>
      <c r="H927" s="33">
        <v>45458</v>
      </c>
      <c r="I927" s="33">
        <v>45488</v>
      </c>
      <c r="J927" s="33">
        <v>45519</v>
      </c>
      <c r="K927" s="33">
        <v>45550</v>
      </c>
      <c r="L927" s="33">
        <v>45580</v>
      </c>
      <c r="M927" s="33">
        <v>45611</v>
      </c>
      <c r="N927" s="33">
        <v>45641</v>
      </c>
      <c r="O927" s="33">
        <f>O2</f>
        <v>45673</v>
      </c>
      <c r="P927" s="33">
        <f t="shared" ref="P927:Z927" si="479">P2</f>
        <v>45704</v>
      </c>
      <c r="Q927" s="33">
        <f t="shared" si="479"/>
        <v>45732</v>
      </c>
      <c r="R927" s="33">
        <f t="shared" si="479"/>
        <v>45763</v>
      </c>
      <c r="S927" s="33">
        <f t="shared" si="479"/>
        <v>45793</v>
      </c>
      <c r="T927" s="33">
        <f t="shared" si="479"/>
        <v>45824</v>
      </c>
      <c r="U927" s="33">
        <f t="shared" si="479"/>
        <v>45854</v>
      </c>
      <c r="V927" s="33">
        <f t="shared" si="479"/>
        <v>45885</v>
      </c>
      <c r="W927" s="33">
        <f t="shared" si="479"/>
        <v>45916</v>
      </c>
      <c r="X927" s="33">
        <f t="shared" si="479"/>
        <v>45946</v>
      </c>
      <c r="Y927" s="33">
        <f t="shared" si="479"/>
        <v>45977</v>
      </c>
      <c r="Z927" s="33">
        <f t="shared" si="479"/>
        <v>46007</v>
      </c>
    </row>
    <row r="928" spans="1:26" x14ac:dyDescent="0.2">
      <c r="A928" t="s">
        <v>525</v>
      </c>
      <c r="C928" s="160">
        <v>-4979.42</v>
      </c>
      <c r="D928" s="160">
        <v>3404.59</v>
      </c>
      <c r="E928" s="160">
        <v>3348.67</v>
      </c>
      <c r="F928" s="160">
        <v>3356.08</v>
      </c>
      <c r="G928" s="160">
        <v>3134.47</v>
      </c>
      <c r="H928" s="160">
        <v>3585.6</v>
      </c>
      <c r="I928" s="160">
        <v>39473.21</v>
      </c>
      <c r="J928" s="160">
        <v>2425.2800000000002</v>
      </c>
      <c r="K928" s="160">
        <v>4552.26</v>
      </c>
      <c r="L928" s="160">
        <v>3230.09</v>
      </c>
      <c r="M928" s="160">
        <v>3313.28</v>
      </c>
      <c r="N928" s="160">
        <v>-135616.82</v>
      </c>
      <c r="O928" s="225">
        <v>-4687.54</v>
      </c>
      <c r="P928" s="225">
        <v>4605.22</v>
      </c>
      <c r="Q928" s="225">
        <v>4238.47</v>
      </c>
      <c r="R928" s="225">
        <v>4751.75</v>
      </c>
      <c r="S928" s="225">
        <v>4536.4399999999996</v>
      </c>
      <c r="T928" s="225">
        <v>2809.9</v>
      </c>
      <c r="U928" s="225">
        <v>4775.22</v>
      </c>
      <c r="V928" s="225">
        <v>3472.58</v>
      </c>
      <c r="W928" s="225">
        <v>3876.04</v>
      </c>
      <c r="X928" s="225">
        <v>2960.3</v>
      </c>
      <c r="Y928" s="225">
        <v>3846.73</v>
      </c>
      <c r="Z928" s="225">
        <v>-16511.32</v>
      </c>
    </row>
    <row r="929" spans="1:26" x14ac:dyDescent="0.2">
      <c r="A929" t="s">
        <v>526</v>
      </c>
      <c r="C929" s="194">
        <v>500</v>
      </c>
      <c r="D929" s="194">
        <v>500</v>
      </c>
      <c r="E929" s="194">
        <v>500</v>
      </c>
      <c r="F929" s="194">
        <v>500</v>
      </c>
      <c r="G929" s="194">
        <v>500</v>
      </c>
      <c r="H929" s="194">
        <v>500</v>
      </c>
      <c r="I929" s="194">
        <v>500</v>
      </c>
      <c r="J929" s="194">
        <v>500</v>
      </c>
      <c r="K929" s="194">
        <v>500</v>
      </c>
      <c r="L929" s="194">
        <v>500</v>
      </c>
      <c r="M929" s="194">
        <v>500</v>
      </c>
      <c r="N929" s="194">
        <v>500</v>
      </c>
      <c r="O929" s="194">
        <f t="shared" ref="O929:Z929" si="480">+N929</f>
        <v>500</v>
      </c>
      <c r="P929" s="194">
        <f t="shared" si="480"/>
        <v>500</v>
      </c>
      <c r="Q929" s="194">
        <f t="shared" si="480"/>
        <v>500</v>
      </c>
      <c r="R929" s="194">
        <f t="shared" si="480"/>
        <v>500</v>
      </c>
      <c r="S929" s="194">
        <f t="shared" si="480"/>
        <v>500</v>
      </c>
      <c r="T929" s="194">
        <f t="shared" si="480"/>
        <v>500</v>
      </c>
      <c r="U929" s="194">
        <f t="shared" si="480"/>
        <v>500</v>
      </c>
      <c r="V929" s="194">
        <f t="shared" si="480"/>
        <v>500</v>
      </c>
      <c r="W929" s="194">
        <f t="shared" si="480"/>
        <v>500</v>
      </c>
      <c r="X929" s="194">
        <f t="shared" si="480"/>
        <v>500</v>
      </c>
      <c r="Y929" s="194">
        <f t="shared" si="480"/>
        <v>500</v>
      </c>
      <c r="Z929" s="194">
        <f t="shared" si="480"/>
        <v>500</v>
      </c>
    </row>
    <row r="930" spans="1:26" x14ac:dyDescent="0.2">
      <c r="B930" s="54"/>
      <c r="C930" s="193">
        <v>-4479.42</v>
      </c>
      <c r="D930" s="193">
        <v>3904.59</v>
      </c>
      <c r="E930" s="193">
        <v>3848.67</v>
      </c>
      <c r="F930" s="193">
        <v>3856.08</v>
      </c>
      <c r="G930" s="193">
        <v>3634.47</v>
      </c>
      <c r="H930" s="193">
        <v>4085.6</v>
      </c>
      <c r="I930" s="193">
        <v>39973.21</v>
      </c>
      <c r="J930" s="193">
        <v>2925.28</v>
      </c>
      <c r="K930" s="193">
        <v>5052.26</v>
      </c>
      <c r="L930" s="193">
        <v>3730.09</v>
      </c>
      <c r="M930" s="193">
        <v>3813.28</v>
      </c>
      <c r="N930" s="193">
        <v>-135116.82</v>
      </c>
      <c r="O930" s="193">
        <f t="shared" ref="O930:Z930" si="481">+O929+O928</f>
        <v>-4187.54</v>
      </c>
      <c r="P930" s="193">
        <f t="shared" si="481"/>
        <v>5105.22</v>
      </c>
      <c r="Q930" s="193">
        <f t="shared" si="481"/>
        <v>4738.47</v>
      </c>
      <c r="R930" s="193">
        <f t="shared" si="481"/>
        <v>5251.75</v>
      </c>
      <c r="S930" s="193">
        <f t="shared" si="481"/>
        <v>5036.4399999999996</v>
      </c>
      <c r="T930" s="193">
        <f t="shared" si="481"/>
        <v>3309.9</v>
      </c>
      <c r="U930" s="193">
        <f t="shared" si="481"/>
        <v>5275.22</v>
      </c>
      <c r="V930" s="193">
        <f t="shared" si="481"/>
        <v>3972.58</v>
      </c>
      <c r="W930" s="193">
        <f t="shared" si="481"/>
        <v>4376.04</v>
      </c>
      <c r="X930" s="193">
        <f t="shared" si="481"/>
        <v>3460.3</v>
      </c>
      <c r="Y930" s="193">
        <f t="shared" si="481"/>
        <v>4346.7299999999996</v>
      </c>
      <c r="Z930" s="193">
        <f t="shared" si="481"/>
        <v>-16011.32</v>
      </c>
    </row>
    <row r="931" spans="1:26" x14ac:dyDescent="0.2">
      <c r="C931" s="20"/>
      <c r="D931" s="20"/>
      <c r="E931" s="20"/>
      <c r="F931" s="20"/>
      <c r="G931" s="20"/>
      <c r="H931" s="20"/>
      <c r="I931" s="20"/>
      <c r="J931" s="20"/>
      <c r="K931" s="20"/>
      <c r="L931" s="20"/>
      <c r="M931" s="20"/>
      <c r="N931" s="20"/>
      <c r="O931" s="20"/>
      <c r="P931" s="20"/>
      <c r="Q931" s="20"/>
      <c r="R931" s="20"/>
      <c r="S931" s="20"/>
      <c r="T931" s="20"/>
      <c r="U931" s="20"/>
      <c r="V931" s="20"/>
      <c r="W931" s="20"/>
      <c r="X931" s="20"/>
      <c r="Y931" s="20"/>
      <c r="Z931" s="20"/>
    </row>
    <row r="932" spans="1:26" x14ac:dyDescent="0.2">
      <c r="C932" s="20"/>
      <c r="D932" s="20"/>
      <c r="E932" s="20"/>
      <c r="F932" s="20"/>
      <c r="G932" s="20"/>
      <c r="H932" s="20"/>
      <c r="I932" s="20"/>
      <c r="J932" s="20"/>
      <c r="K932" s="20"/>
      <c r="L932" s="20"/>
      <c r="M932" s="20"/>
      <c r="N932" s="20"/>
      <c r="O932" s="20"/>
      <c r="P932" s="20"/>
      <c r="Q932" s="20"/>
      <c r="R932" s="20"/>
      <c r="S932" s="20"/>
      <c r="T932" s="20"/>
      <c r="U932" s="20"/>
      <c r="V932" s="20"/>
      <c r="W932" s="20"/>
      <c r="X932" s="20"/>
      <c r="Y932" s="20"/>
      <c r="Z932" s="20"/>
    </row>
    <row r="933" spans="1:26" x14ac:dyDescent="0.2">
      <c r="C933" s="20"/>
      <c r="D933" s="20"/>
      <c r="E933" s="20"/>
      <c r="F933" s="20"/>
      <c r="G933" s="20"/>
      <c r="H933" s="20"/>
      <c r="I933" s="20"/>
      <c r="J933" s="20"/>
      <c r="K933" s="20"/>
      <c r="L933" s="20"/>
      <c r="M933" s="20"/>
      <c r="N933" s="20"/>
      <c r="O933" s="20"/>
      <c r="P933" s="20"/>
      <c r="Q933" s="20"/>
      <c r="R933" s="20"/>
      <c r="S933" s="20"/>
      <c r="T933" s="20"/>
      <c r="U933" s="20"/>
      <c r="V933" s="20"/>
      <c r="W933" s="20"/>
      <c r="X933" s="20"/>
      <c r="Y933" s="20"/>
      <c r="Z933" s="20"/>
    </row>
    <row r="934" spans="1:26" x14ac:dyDescent="0.2">
      <c r="A934" s="14" t="s">
        <v>86</v>
      </c>
      <c r="C934" s="20"/>
      <c r="D934" s="20"/>
      <c r="E934" s="20"/>
      <c r="F934" s="20"/>
      <c r="G934" s="20"/>
      <c r="H934" s="20"/>
      <c r="I934" s="20"/>
      <c r="J934" s="20"/>
      <c r="K934" s="20"/>
      <c r="L934" s="20"/>
      <c r="M934" s="20"/>
      <c r="N934" s="20"/>
      <c r="O934" s="20"/>
      <c r="P934" s="20"/>
      <c r="Q934" s="20"/>
      <c r="R934" s="20"/>
      <c r="S934" s="20"/>
      <c r="T934" s="20"/>
      <c r="U934" s="20"/>
      <c r="V934" s="20"/>
      <c r="W934" s="20"/>
      <c r="X934" s="20"/>
      <c r="Y934" s="20"/>
      <c r="Z934" s="20"/>
    </row>
    <row r="935" spans="1:26" x14ac:dyDescent="0.2">
      <c r="A935" t="s">
        <v>241</v>
      </c>
      <c r="C935" s="20"/>
      <c r="D935" s="20"/>
      <c r="E935" s="20"/>
      <c r="F935" s="20"/>
      <c r="G935" s="20"/>
      <c r="H935" s="20"/>
      <c r="I935" s="20"/>
      <c r="J935" s="20"/>
      <c r="K935" s="20"/>
      <c r="L935" s="20"/>
      <c r="M935" s="20"/>
      <c r="N935" s="20"/>
      <c r="O935" s="20"/>
      <c r="P935" s="20"/>
      <c r="Q935" s="20"/>
      <c r="R935" s="20"/>
      <c r="S935" s="20"/>
      <c r="T935" s="20"/>
      <c r="U935" s="20"/>
      <c r="V935" s="20"/>
      <c r="W935" s="20"/>
      <c r="X935" s="20"/>
      <c r="Y935" s="20"/>
      <c r="Z935" s="20"/>
    </row>
    <row r="936" spans="1:26" x14ac:dyDescent="0.2">
      <c r="A936" t="s">
        <v>242</v>
      </c>
      <c r="C936" s="20"/>
      <c r="D936" s="20"/>
      <c r="E936" s="20"/>
      <c r="F936" s="20"/>
      <c r="G936" s="20"/>
      <c r="H936" s="20"/>
      <c r="I936" s="20"/>
      <c r="J936" s="20"/>
      <c r="K936" s="20"/>
      <c r="L936" s="20"/>
      <c r="M936" s="20"/>
      <c r="N936" s="20"/>
      <c r="O936" s="20"/>
      <c r="P936" s="20"/>
      <c r="Q936" s="20"/>
      <c r="R936" s="20"/>
      <c r="S936" s="20"/>
      <c r="T936" s="20"/>
      <c r="U936" s="20"/>
      <c r="V936" s="20"/>
      <c r="W936" s="20"/>
      <c r="X936" s="20"/>
      <c r="Y936" s="20"/>
      <c r="Z936" s="20"/>
    </row>
    <row r="937" spans="1:26" x14ac:dyDescent="0.2">
      <c r="A937" t="s">
        <v>243</v>
      </c>
      <c r="C937" s="20"/>
      <c r="D937" s="20"/>
      <c r="E937" s="20"/>
      <c r="F937" s="20"/>
      <c r="G937" s="20"/>
      <c r="H937" s="20"/>
      <c r="I937" s="20"/>
      <c r="J937" s="20"/>
      <c r="K937" s="20"/>
      <c r="L937" s="20"/>
      <c r="M937" s="20"/>
      <c r="N937" s="20"/>
      <c r="O937" s="20"/>
      <c r="P937" s="20"/>
      <c r="Q937" s="20"/>
      <c r="R937" s="20"/>
      <c r="S937" s="20"/>
      <c r="T937" s="20"/>
      <c r="U937" s="20"/>
      <c r="V937" s="20"/>
      <c r="W937" s="20"/>
      <c r="X937" s="20"/>
      <c r="Y937" s="20"/>
      <c r="Z937" s="20"/>
    </row>
    <row r="938" spans="1:26" x14ac:dyDescent="0.2">
      <c r="A938" t="s">
        <v>244</v>
      </c>
      <c r="C938" s="20"/>
      <c r="D938" s="20"/>
      <c r="E938" s="20"/>
      <c r="F938" s="20"/>
      <c r="G938" s="20"/>
      <c r="H938" s="20"/>
      <c r="I938" s="20"/>
      <c r="J938" s="20"/>
      <c r="K938" s="20"/>
      <c r="L938" s="20"/>
      <c r="M938" s="20"/>
      <c r="N938" s="20"/>
      <c r="O938" s="20"/>
      <c r="P938" s="20"/>
      <c r="Q938" s="20"/>
      <c r="R938" s="20"/>
      <c r="S938" s="20"/>
      <c r="T938" s="20"/>
      <c r="U938" s="20"/>
      <c r="V938" s="20"/>
      <c r="W938" s="20"/>
      <c r="X938" s="20"/>
      <c r="Y938" s="20"/>
      <c r="Z938" s="20"/>
    </row>
    <row r="939" spans="1:26" x14ac:dyDescent="0.2">
      <c r="C939" s="20"/>
      <c r="D939" s="20"/>
      <c r="E939" s="20"/>
      <c r="F939" s="20"/>
      <c r="G939" s="20"/>
      <c r="H939" s="20"/>
      <c r="I939" s="20"/>
      <c r="J939" s="20"/>
      <c r="K939" s="20"/>
      <c r="L939" s="20"/>
      <c r="M939" s="20"/>
      <c r="N939" s="20"/>
      <c r="O939" s="20"/>
      <c r="P939" s="20"/>
      <c r="Q939" s="20"/>
      <c r="R939" s="20"/>
      <c r="S939" s="20"/>
      <c r="T939" s="20"/>
      <c r="U939" s="20"/>
      <c r="V939" s="20"/>
      <c r="W939" s="20"/>
      <c r="X939" s="20"/>
      <c r="Y939" s="20"/>
      <c r="Z939" s="20"/>
    </row>
    <row r="940" spans="1:26" x14ac:dyDescent="0.2">
      <c r="C940" s="64">
        <v>45307</v>
      </c>
      <c r="D940" s="64">
        <v>45338</v>
      </c>
      <c r="E940" s="64">
        <v>45366</v>
      </c>
      <c r="F940" s="64">
        <v>45397</v>
      </c>
      <c r="G940" s="64">
        <v>45427</v>
      </c>
      <c r="H940" s="64">
        <v>45458</v>
      </c>
      <c r="I940" s="64">
        <v>45488</v>
      </c>
      <c r="J940" s="64">
        <v>45519</v>
      </c>
      <c r="K940" s="64">
        <v>45550</v>
      </c>
      <c r="L940" s="64">
        <v>45580</v>
      </c>
      <c r="M940" s="64">
        <v>45611</v>
      </c>
      <c r="N940" s="64">
        <v>45641</v>
      </c>
      <c r="O940" s="64">
        <f t="shared" ref="O940:Z940" si="482">+O880</f>
        <v>45673</v>
      </c>
      <c r="P940" s="64">
        <f t="shared" si="482"/>
        <v>45704</v>
      </c>
      <c r="Q940" s="64">
        <f t="shared" si="482"/>
        <v>45732</v>
      </c>
      <c r="R940" s="64">
        <f t="shared" si="482"/>
        <v>45763</v>
      </c>
      <c r="S940" s="64">
        <f t="shared" si="482"/>
        <v>45793</v>
      </c>
      <c r="T940" s="64">
        <f t="shared" si="482"/>
        <v>45824</v>
      </c>
      <c r="U940" s="64">
        <f t="shared" si="482"/>
        <v>45854</v>
      </c>
      <c r="V940" s="64">
        <f t="shared" si="482"/>
        <v>45885</v>
      </c>
      <c r="W940" s="64">
        <f t="shared" si="482"/>
        <v>45916</v>
      </c>
      <c r="X940" s="64">
        <f t="shared" si="482"/>
        <v>45946</v>
      </c>
      <c r="Y940" s="64">
        <f t="shared" si="482"/>
        <v>45977</v>
      </c>
      <c r="Z940" s="64">
        <f t="shared" si="482"/>
        <v>46007</v>
      </c>
    </row>
    <row r="941" spans="1:26" x14ac:dyDescent="0.2">
      <c r="B941" s="54"/>
      <c r="C941" s="160">
        <v>-15817.33</v>
      </c>
      <c r="D941" s="160">
        <v>-9045.52</v>
      </c>
      <c r="E941" s="160">
        <v>-6885.42</v>
      </c>
      <c r="F941" s="160">
        <v>-4912.97</v>
      </c>
      <c r="G941" s="160">
        <v>-5471.81</v>
      </c>
      <c r="H941" s="160">
        <v>-6694.68</v>
      </c>
      <c r="I941" s="160">
        <v>-3858.61</v>
      </c>
      <c r="J941" s="160">
        <v>-2337.83</v>
      </c>
      <c r="K941" s="160">
        <v>-5875.79</v>
      </c>
      <c r="L941" s="160">
        <v>-4888.78</v>
      </c>
      <c r="M941" s="160">
        <v>-6217.27</v>
      </c>
      <c r="N941" s="160">
        <v>-13721.56</v>
      </c>
      <c r="O941" s="225">
        <v>-16643.87</v>
      </c>
      <c r="P941" s="225">
        <v>-11321.47</v>
      </c>
      <c r="Q941" s="225">
        <v>-5406.59</v>
      </c>
      <c r="R941" s="225">
        <v>3906.69</v>
      </c>
      <c r="S941" s="225">
        <v>-11394.69</v>
      </c>
      <c r="T941" s="225">
        <v>-3136.94</v>
      </c>
      <c r="U941" s="225">
        <v>-5840.63</v>
      </c>
      <c r="V941" s="225">
        <v>-4417.37</v>
      </c>
      <c r="W941" s="225">
        <v>-4079.88</v>
      </c>
      <c r="X941" s="225">
        <v>-4752.72</v>
      </c>
      <c r="Y941" s="225">
        <v>-6961.55</v>
      </c>
      <c r="Z941" s="225">
        <v>-10311.299999999999</v>
      </c>
    </row>
    <row r="943" spans="1:26" x14ac:dyDescent="0.2">
      <c r="A943" s="14" t="s">
        <v>305</v>
      </c>
    </row>
    <row r="944" spans="1:26" x14ac:dyDescent="0.2">
      <c r="A944" s="54" t="s">
        <v>306</v>
      </c>
    </row>
    <row r="945" spans="1:26" x14ac:dyDescent="0.2">
      <c r="A945" s="54"/>
    </row>
    <row r="946" spans="1:26" x14ac:dyDescent="0.2">
      <c r="A946" s="14" t="s">
        <v>426</v>
      </c>
    </row>
    <row r="947" spans="1:26" x14ac:dyDescent="0.2">
      <c r="A947" s="54" t="s">
        <v>427</v>
      </c>
      <c r="C947" s="132">
        <v>0.63</v>
      </c>
      <c r="D947" s="177">
        <v>0.63</v>
      </c>
      <c r="E947" s="177">
        <v>0.63</v>
      </c>
      <c r="F947" s="177">
        <v>0.63</v>
      </c>
      <c r="G947" s="177">
        <v>0.63</v>
      </c>
      <c r="H947" s="177">
        <v>0.63</v>
      </c>
      <c r="I947" s="177">
        <v>0.63</v>
      </c>
      <c r="J947" s="177">
        <v>0.63</v>
      </c>
      <c r="K947" s="177">
        <v>0.63</v>
      </c>
      <c r="L947" s="177">
        <v>0.63</v>
      </c>
      <c r="M947" s="177">
        <v>0.63</v>
      </c>
      <c r="N947" s="177">
        <v>0.63</v>
      </c>
      <c r="O947" s="132">
        <f t="shared" ref="O947" si="483">+N947</f>
        <v>0.63</v>
      </c>
      <c r="P947" s="177">
        <f t="shared" ref="P947" si="484">+O947</f>
        <v>0.63</v>
      </c>
      <c r="Q947" s="177">
        <f t="shared" ref="Q947" si="485">+P947</f>
        <v>0.63</v>
      </c>
      <c r="R947" s="177">
        <f t="shared" ref="R947" si="486">+Q947</f>
        <v>0.63</v>
      </c>
      <c r="S947" s="177">
        <f t="shared" ref="S947" si="487">+R947</f>
        <v>0.63</v>
      </c>
      <c r="T947" s="177">
        <f t="shared" ref="T947" si="488">+S947</f>
        <v>0.63</v>
      </c>
      <c r="U947" s="177">
        <f t="shared" ref="U947" si="489">+T947</f>
        <v>0.63</v>
      </c>
      <c r="V947" s="177">
        <f t="shared" ref="V947" si="490">+U947</f>
        <v>0.63</v>
      </c>
      <c r="W947" s="177">
        <f t="shared" ref="W947" si="491">+V947</f>
        <v>0.63</v>
      </c>
      <c r="X947" s="177">
        <f t="shared" ref="X947" si="492">+W947</f>
        <v>0.63</v>
      </c>
      <c r="Y947" s="177">
        <f t="shared" ref="Y947" si="493">+X947</f>
        <v>0.63</v>
      </c>
      <c r="Z947" s="177">
        <f t="shared" ref="Z947" si="494">+Y947</f>
        <v>0.63</v>
      </c>
    </row>
    <row r="948" spans="1:26" x14ac:dyDescent="0.2">
      <c r="A948" s="54" t="s">
        <v>453</v>
      </c>
      <c r="C948" s="176">
        <v>27222.583500000001</v>
      </c>
      <c r="D948" s="176">
        <v>26510.879250000005</v>
      </c>
      <c r="E948" s="176">
        <v>26085.055500000002</v>
      </c>
      <c r="F948" s="176">
        <v>21757.554</v>
      </c>
      <c r="G948" s="176">
        <v>20793.102749999998</v>
      </c>
      <c r="H948" s="176">
        <v>22813.497000000003</v>
      </c>
      <c r="I948" s="176">
        <v>25001.140500000001</v>
      </c>
      <c r="J948" s="176">
        <v>25681.7925</v>
      </c>
      <c r="K948" s="176">
        <v>21541.353750000002</v>
      </c>
      <c r="L948" s="176">
        <v>21115.363500000003</v>
      </c>
      <c r="M948" s="176">
        <v>22849.627499999999</v>
      </c>
      <c r="N948" s="176">
        <v>26718.50475</v>
      </c>
      <c r="O948" s="176">
        <f t="shared" ref="O948:Z948" si="495">+O947*O42</f>
        <v>31060.260000000002</v>
      </c>
      <c r="P948" s="176">
        <f t="shared" si="495"/>
        <v>27001.973793103447</v>
      </c>
      <c r="Q948" s="176">
        <f t="shared" si="495"/>
        <v>29582.28</v>
      </c>
      <c r="R948" s="176">
        <f t="shared" si="495"/>
        <v>24222.240000000002</v>
      </c>
      <c r="S948" s="176">
        <f t="shared" si="495"/>
        <v>23114.7</v>
      </c>
      <c r="T948" s="176">
        <f t="shared" si="495"/>
        <v>25575.48</v>
      </c>
      <c r="U948" s="176">
        <f t="shared" si="495"/>
        <v>28417.41</v>
      </c>
      <c r="V948" s="176">
        <f t="shared" si="495"/>
        <v>24464.16</v>
      </c>
      <c r="W948" s="176">
        <f t="shared" si="495"/>
        <v>22797.18</v>
      </c>
      <c r="X948" s="176">
        <f t="shared" si="495"/>
        <v>24069.78</v>
      </c>
      <c r="Y948" s="176">
        <f t="shared" si="495"/>
        <v>26708.85</v>
      </c>
      <c r="Z948" s="176">
        <f t="shared" si="495"/>
        <v>29301.3</v>
      </c>
    </row>
    <row r="949" spans="1:26" x14ac:dyDescent="0.2">
      <c r="A949" s="54" t="s">
        <v>454</v>
      </c>
      <c r="C949" s="178"/>
      <c r="D949" s="178"/>
      <c r="E949" s="178"/>
      <c r="F949" s="178"/>
      <c r="G949" s="178"/>
      <c r="H949" s="178"/>
      <c r="I949" s="178"/>
      <c r="J949" s="178"/>
      <c r="K949" s="178"/>
      <c r="L949" s="178"/>
      <c r="M949" s="178"/>
      <c r="N949" s="117">
        <v>288090.45450000005</v>
      </c>
      <c r="O949" s="178"/>
      <c r="P949" s="178"/>
      <c r="Q949" s="178"/>
      <c r="R949" s="178"/>
      <c r="S949" s="178"/>
      <c r="T949" s="178"/>
      <c r="U949" s="178"/>
      <c r="V949" s="178"/>
      <c r="W949" s="178"/>
      <c r="X949" s="178"/>
      <c r="Y949" s="178"/>
      <c r="Z949" s="117">
        <f>+SUM(O948:Z948)</f>
        <v>316315.61379310343</v>
      </c>
    </row>
    <row r="950" spans="1:26" x14ac:dyDescent="0.2">
      <c r="A950" s="54" t="s">
        <v>428</v>
      </c>
      <c r="C950" s="132">
        <v>5.1999999999999991E-2</v>
      </c>
      <c r="D950" s="177">
        <v>5.1999999999999991E-2</v>
      </c>
      <c r="E950" s="177">
        <v>5.1999999999999991E-2</v>
      </c>
      <c r="F950" s="177">
        <v>5.1999999999999991E-2</v>
      </c>
      <c r="G950" s="177">
        <v>5.1999999999999991E-2</v>
      </c>
      <c r="H950" s="177">
        <v>5.1999999999999991E-2</v>
      </c>
      <c r="I950" s="177">
        <v>5.1999999999999991E-2</v>
      </c>
      <c r="J950" s="177">
        <v>5.1999999999999991E-2</v>
      </c>
      <c r="K950" s="177">
        <v>5.1999999999999991E-2</v>
      </c>
      <c r="L950" s="177">
        <v>5.1999999999999991E-2</v>
      </c>
      <c r="M950" s="177">
        <v>5.1999999999999991E-2</v>
      </c>
      <c r="N950" s="177">
        <v>5.1999999999999991E-2</v>
      </c>
      <c r="O950" s="132">
        <f>+C950+0.006</f>
        <v>5.7999999999999989E-2</v>
      </c>
      <c r="P950" s="177">
        <f t="shared" ref="P950" si="496">+O950</f>
        <v>5.7999999999999989E-2</v>
      </c>
      <c r="Q950" s="177">
        <f t="shared" ref="Q950" si="497">+P950</f>
        <v>5.7999999999999989E-2</v>
      </c>
      <c r="R950" s="177">
        <f t="shared" ref="R950" si="498">+Q950</f>
        <v>5.7999999999999989E-2</v>
      </c>
      <c r="S950" s="177">
        <f t="shared" ref="S950" si="499">+R950</f>
        <v>5.7999999999999989E-2</v>
      </c>
      <c r="T950" s="177">
        <f t="shared" ref="T950" si="500">+S950</f>
        <v>5.7999999999999989E-2</v>
      </c>
      <c r="U950" s="177">
        <f t="shared" ref="U950" si="501">+T950</f>
        <v>5.7999999999999989E-2</v>
      </c>
      <c r="V950" s="177">
        <f t="shared" ref="V950" si="502">+U950</f>
        <v>5.7999999999999989E-2</v>
      </c>
      <c r="W950" s="177">
        <f t="shared" ref="W950" si="503">+V950</f>
        <v>5.7999999999999989E-2</v>
      </c>
      <c r="X950" s="177">
        <f t="shared" ref="X950" si="504">+W950</f>
        <v>5.7999999999999989E-2</v>
      </c>
      <c r="Y950" s="177">
        <f t="shared" ref="Y950" si="505">+X950</f>
        <v>5.7999999999999989E-2</v>
      </c>
      <c r="Z950" s="177">
        <f t="shared" ref="Z950" si="506">+Y950</f>
        <v>5.7999999999999989E-2</v>
      </c>
    </row>
    <row r="951" spans="1:26" x14ac:dyDescent="0.2">
      <c r="A951" s="54" t="s">
        <v>429</v>
      </c>
      <c r="C951" s="176">
        <v>2246.9433999999997</v>
      </c>
      <c r="D951" s="176">
        <v>2188.1995571428574</v>
      </c>
      <c r="E951" s="176">
        <v>2153.0521999999996</v>
      </c>
      <c r="F951" s="176">
        <v>1795.8615999999997</v>
      </c>
      <c r="G951" s="176">
        <v>1716.2560999999998</v>
      </c>
      <c r="H951" s="176">
        <v>1883.0187999999998</v>
      </c>
      <c r="I951" s="176">
        <v>2063.5861999999997</v>
      </c>
      <c r="J951" s="176">
        <v>2119.7669999999998</v>
      </c>
      <c r="K951" s="176">
        <v>1778.0164999999997</v>
      </c>
      <c r="L951" s="176">
        <v>1742.8553999999999</v>
      </c>
      <c r="M951" s="176">
        <v>1886.0009999999997</v>
      </c>
      <c r="N951" s="176">
        <v>2205.3368999999998</v>
      </c>
      <c r="O951" s="176">
        <f t="shared" ref="O951:Z951" si="507">+O42*O950</f>
        <v>2859.5159999999996</v>
      </c>
      <c r="P951" s="176">
        <f t="shared" si="507"/>
        <v>2485.8959999999993</v>
      </c>
      <c r="Q951" s="176">
        <f t="shared" si="507"/>
        <v>2723.4479999999994</v>
      </c>
      <c r="R951" s="176">
        <f t="shared" si="507"/>
        <v>2229.9839999999995</v>
      </c>
      <c r="S951" s="176">
        <f t="shared" si="507"/>
        <v>2128.0199999999995</v>
      </c>
      <c r="T951" s="176">
        <f t="shared" si="507"/>
        <v>2354.5679999999998</v>
      </c>
      <c r="U951" s="176">
        <f t="shared" si="507"/>
        <v>2616.2059999999997</v>
      </c>
      <c r="V951" s="176">
        <f t="shared" si="507"/>
        <v>2252.2559999999994</v>
      </c>
      <c r="W951" s="176">
        <f t="shared" si="507"/>
        <v>2098.7879999999996</v>
      </c>
      <c r="X951" s="176">
        <f t="shared" si="507"/>
        <v>2215.9479999999994</v>
      </c>
      <c r="Y951" s="176">
        <f t="shared" si="507"/>
        <v>2458.9099999999994</v>
      </c>
      <c r="Z951" s="176">
        <f t="shared" si="507"/>
        <v>2697.5799999999995</v>
      </c>
    </row>
    <row r="952" spans="1:26" x14ac:dyDescent="0.2">
      <c r="A952" s="54" t="s">
        <v>455</v>
      </c>
      <c r="C952" s="178"/>
      <c r="D952" s="178"/>
      <c r="E952" s="178"/>
      <c r="F952" s="178"/>
      <c r="G952" s="178"/>
      <c r="H952" s="178"/>
      <c r="I952" s="178"/>
      <c r="J952" s="178"/>
      <c r="K952" s="178"/>
      <c r="L952" s="178"/>
      <c r="M952" s="178"/>
      <c r="N952" s="117">
        <v>23778.894657142853</v>
      </c>
      <c r="O952" s="178"/>
      <c r="P952" s="178"/>
      <c r="Q952" s="178"/>
      <c r="R952" s="178"/>
      <c r="S952" s="178"/>
      <c r="T952" s="178"/>
      <c r="U952" s="178"/>
      <c r="V952" s="178"/>
      <c r="W952" s="178"/>
      <c r="X952" s="178"/>
      <c r="Y952" s="178"/>
      <c r="Z952" s="117">
        <f>+SUM(O951:Z951)</f>
        <v>29121.119999999992</v>
      </c>
    </row>
    <row r="953" spans="1:26" x14ac:dyDescent="0.2">
      <c r="A953" s="54"/>
      <c r="C953" s="178"/>
      <c r="D953" s="178"/>
      <c r="E953" s="178"/>
      <c r="F953" s="178"/>
      <c r="G953" s="178"/>
      <c r="H953" s="178"/>
      <c r="I953" s="178"/>
      <c r="J953" s="178"/>
      <c r="K953" s="178"/>
      <c r="L953" s="178"/>
      <c r="M953" s="178"/>
      <c r="N953" s="117"/>
      <c r="O953" s="178"/>
      <c r="P953" s="178"/>
      <c r="Q953" s="178"/>
      <c r="R953" s="178"/>
      <c r="S953" s="178"/>
      <c r="T953" s="178"/>
      <c r="U953" s="178"/>
      <c r="V953" s="178"/>
      <c r="W953" s="178"/>
      <c r="X953" s="178"/>
      <c r="Y953" s="178"/>
      <c r="Z953" s="117"/>
    </row>
    <row r="954" spans="1:26" x14ac:dyDescent="0.2">
      <c r="A954" s="222" t="s">
        <v>641</v>
      </c>
      <c r="B954" s="218">
        <v>1</v>
      </c>
      <c r="C954" s="176">
        <v>46714</v>
      </c>
      <c r="D954" s="176">
        <v>45492.71428571429</v>
      </c>
      <c r="E954" s="176">
        <v>44762</v>
      </c>
      <c r="F954" s="176">
        <v>37336</v>
      </c>
      <c r="G954" s="176">
        <v>35681</v>
      </c>
      <c r="H954" s="176">
        <v>39148</v>
      </c>
      <c r="I954" s="176">
        <v>42902</v>
      </c>
      <c r="J954" s="176">
        <v>44070</v>
      </c>
      <c r="K954" s="176">
        <v>36965</v>
      </c>
      <c r="L954" s="176">
        <v>36234</v>
      </c>
      <c r="M954" s="176">
        <v>39210</v>
      </c>
      <c r="N954" s="176">
        <v>45849</v>
      </c>
      <c r="O954" s="176">
        <f t="shared" ref="O954:Z954" si="508">$B$954*O42</f>
        <v>49302</v>
      </c>
      <c r="P954" s="176">
        <f t="shared" si="508"/>
        <v>42860.275862068964</v>
      </c>
      <c r="Q954" s="176">
        <f t="shared" si="508"/>
        <v>46956</v>
      </c>
      <c r="R954" s="176">
        <f t="shared" si="508"/>
        <v>38448</v>
      </c>
      <c r="S954" s="176">
        <f t="shared" si="508"/>
        <v>36690</v>
      </c>
      <c r="T954" s="176">
        <f t="shared" si="508"/>
        <v>40596</v>
      </c>
      <c r="U954" s="176">
        <f t="shared" si="508"/>
        <v>45107</v>
      </c>
      <c r="V954" s="176">
        <f t="shared" si="508"/>
        <v>38832</v>
      </c>
      <c r="W954" s="176">
        <f t="shared" si="508"/>
        <v>36186</v>
      </c>
      <c r="X954" s="176">
        <f t="shared" si="508"/>
        <v>38206</v>
      </c>
      <c r="Y954" s="176">
        <f t="shared" si="508"/>
        <v>42395</v>
      </c>
      <c r="Z954" s="176">
        <f t="shared" si="508"/>
        <v>46510</v>
      </c>
    </row>
    <row r="955" spans="1:26" x14ac:dyDescent="0.2">
      <c r="A955" s="222" t="s">
        <v>642</v>
      </c>
      <c r="B955" s="224"/>
      <c r="C955" s="178"/>
      <c r="D955" s="178"/>
      <c r="E955" s="178"/>
      <c r="F955" s="178"/>
      <c r="G955" s="178"/>
      <c r="H955" s="178"/>
      <c r="I955" s="178"/>
      <c r="J955" s="178"/>
      <c r="K955" s="178"/>
      <c r="L955" s="178"/>
      <c r="M955" s="178"/>
      <c r="N955" s="117">
        <v>494363.71428571432</v>
      </c>
      <c r="O955" s="178"/>
      <c r="P955" s="178"/>
      <c r="Q955" s="178"/>
      <c r="R955" s="178"/>
      <c r="S955" s="178"/>
      <c r="T955" s="178"/>
      <c r="U955" s="178"/>
      <c r="V955" s="178"/>
      <c r="W955" s="178"/>
      <c r="X955" s="178"/>
      <c r="Y955" s="178"/>
      <c r="Z955" s="117">
        <f>+SUM(O954:Z954)</f>
        <v>502088.27586206899</v>
      </c>
    </row>
    <row r="956" spans="1:26" x14ac:dyDescent="0.2">
      <c r="A956" s="222" t="s">
        <v>651</v>
      </c>
      <c r="B956" s="224"/>
      <c r="C956" s="178"/>
      <c r="D956" s="178"/>
      <c r="E956" s="178"/>
      <c r="F956" s="178"/>
      <c r="G956" s="178"/>
      <c r="H956" s="178"/>
      <c r="I956" s="178"/>
      <c r="J956" s="178"/>
      <c r="K956" s="178"/>
      <c r="L956" s="178"/>
      <c r="M956" s="178"/>
      <c r="N956" s="164">
        <v>-122872.98740948524</v>
      </c>
      <c r="O956" s="178"/>
      <c r="P956" s="178"/>
      <c r="Q956" s="178"/>
      <c r="R956" s="178"/>
      <c r="S956" s="178"/>
      <c r="T956" s="178"/>
      <c r="U956" s="178"/>
      <c r="V956" s="178"/>
      <c r="W956" s="178"/>
      <c r="X956" s="178"/>
      <c r="Y956" s="178"/>
      <c r="Z956" s="164">
        <f>-Z955+Z949+((SUM(O555:Z555)-20000)*0.5)</f>
        <v>-153067.66206896555</v>
      </c>
    </row>
    <row r="957" spans="1:26" x14ac:dyDescent="0.2">
      <c r="A957" s="54"/>
      <c r="B957" s="224"/>
      <c r="C957" s="178"/>
      <c r="D957" s="178"/>
      <c r="E957" s="178"/>
      <c r="F957" s="178"/>
      <c r="G957" s="178"/>
      <c r="H957" s="178"/>
      <c r="I957" s="178"/>
      <c r="J957" s="178"/>
      <c r="K957" s="178"/>
      <c r="L957" s="178"/>
      <c r="M957" s="178"/>
      <c r="N957" s="117"/>
      <c r="O957" s="178"/>
      <c r="P957" s="178"/>
      <c r="Q957" s="178"/>
      <c r="R957" s="178"/>
      <c r="S957" s="178"/>
      <c r="T957" s="178"/>
      <c r="U957" s="178"/>
      <c r="V957" s="178"/>
      <c r="W957" s="178"/>
      <c r="X957" s="178"/>
      <c r="Y957" s="178"/>
      <c r="Z957" s="117"/>
    </row>
    <row r="958" spans="1:26" x14ac:dyDescent="0.2">
      <c r="A958" s="54"/>
      <c r="C958" s="178"/>
      <c r="D958" s="178"/>
      <c r="E958" s="178"/>
      <c r="F958" s="178"/>
      <c r="G958" s="178"/>
      <c r="H958" s="178"/>
      <c r="I958" s="178"/>
      <c r="J958" s="178"/>
      <c r="K958" s="178"/>
      <c r="L958" s="178"/>
      <c r="M958" s="178"/>
      <c r="N958" s="117"/>
      <c r="O958" s="178"/>
      <c r="P958" s="178"/>
      <c r="Q958" s="178"/>
      <c r="R958" s="178"/>
      <c r="S958" s="178"/>
      <c r="T958" s="178"/>
      <c r="U958" s="178"/>
      <c r="V958" s="178"/>
      <c r="W958" s="178"/>
      <c r="X958" s="178"/>
      <c r="Y958" s="178"/>
      <c r="Z958" s="117"/>
    </row>
    <row r="959" spans="1:26" x14ac:dyDescent="0.2">
      <c r="A959" s="1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x14ac:dyDescent="0.2">
      <c r="A960" s="14" t="s">
        <v>439</v>
      </c>
      <c r="B960" s="54" t="s">
        <v>440</v>
      </c>
      <c r="C960" s="117">
        <v>10912</v>
      </c>
      <c r="D960" s="117">
        <v>10208</v>
      </c>
      <c r="E960" s="117">
        <v>10912</v>
      </c>
      <c r="F960" s="117">
        <v>10560</v>
      </c>
      <c r="G960" s="117">
        <v>10912</v>
      </c>
      <c r="H960" s="117">
        <v>10560</v>
      </c>
      <c r="I960" s="117">
        <v>10912</v>
      </c>
      <c r="J960" s="117">
        <v>10912</v>
      </c>
      <c r="K960" s="117">
        <v>10560</v>
      </c>
      <c r="L960" s="117">
        <v>10912</v>
      </c>
      <c r="M960" s="117">
        <v>10560</v>
      </c>
      <c r="N960" s="117">
        <v>10912</v>
      </c>
      <c r="O960" s="117">
        <f t="shared" ref="O960:Z960" si="509">+O178+O179</f>
        <v>10912</v>
      </c>
      <c r="P960" s="117">
        <f t="shared" si="509"/>
        <v>9856</v>
      </c>
      <c r="Q960" s="117">
        <f t="shared" si="509"/>
        <v>10912</v>
      </c>
      <c r="R960" s="117">
        <f t="shared" si="509"/>
        <v>10560</v>
      </c>
      <c r="S960" s="117">
        <f t="shared" si="509"/>
        <v>10912</v>
      </c>
      <c r="T960" s="117">
        <f t="shared" si="509"/>
        <v>10560</v>
      </c>
      <c r="U960" s="117">
        <f t="shared" si="509"/>
        <v>10912</v>
      </c>
      <c r="V960" s="117">
        <f t="shared" si="509"/>
        <v>10912</v>
      </c>
      <c r="W960" s="117">
        <f t="shared" si="509"/>
        <v>10560</v>
      </c>
      <c r="X960" s="117">
        <f t="shared" si="509"/>
        <v>10912</v>
      </c>
      <c r="Y960" s="117">
        <f t="shared" si="509"/>
        <v>10560</v>
      </c>
      <c r="Z960" s="117">
        <f t="shared" si="509"/>
        <v>10912</v>
      </c>
    </row>
    <row r="961" spans="1:26" x14ac:dyDescent="0.2">
      <c r="A961" s="14" t="s">
        <v>640</v>
      </c>
      <c r="B961" s="54" t="s">
        <v>440</v>
      </c>
      <c r="C961" s="117">
        <v>2703</v>
      </c>
      <c r="D961" s="117">
        <v>2764</v>
      </c>
      <c r="E961" s="117">
        <v>1498</v>
      </c>
      <c r="F961" s="117">
        <v>5820</v>
      </c>
      <c r="G961" s="117">
        <v>4239</v>
      </c>
      <c r="H961" s="117">
        <v>2282</v>
      </c>
      <c r="I961" s="117">
        <v>10464</v>
      </c>
      <c r="J961" s="117">
        <v>8542</v>
      </c>
      <c r="K961" s="117">
        <v>9543</v>
      </c>
      <c r="L961" s="117">
        <v>9430</v>
      </c>
      <c r="M961" s="117">
        <v>8371</v>
      </c>
      <c r="N961" s="117">
        <v>9325</v>
      </c>
      <c r="O961" s="117">
        <f t="shared" ref="O961:Z961" si="510">O191</f>
        <v>5029</v>
      </c>
      <c r="P961" s="117">
        <f t="shared" si="510"/>
        <v>5180.5</v>
      </c>
      <c r="Q961" s="117">
        <f t="shared" si="510"/>
        <v>5300</v>
      </c>
      <c r="R961" s="117">
        <f t="shared" si="510"/>
        <v>3643</v>
      </c>
      <c r="S961" s="117">
        <f t="shared" si="510"/>
        <v>5270</v>
      </c>
      <c r="T961" s="117">
        <f t="shared" si="510"/>
        <v>8961</v>
      </c>
      <c r="U961" s="117">
        <f t="shared" si="510"/>
        <v>11756</v>
      </c>
      <c r="V961" s="117">
        <f t="shared" si="510"/>
        <v>10918</v>
      </c>
      <c r="W961" s="117">
        <f t="shared" si="510"/>
        <v>5136</v>
      </c>
      <c r="X961" s="117">
        <f t="shared" si="510"/>
        <v>8082</v>
      </c>
      <c r="Y961" s="117">
        <f t="shared" si="510"/>
        <v>10778</v>
      </c>
      <c r="Z961" s="117">
        <f t="shared" si="510"/>
        <v>1795</v>
      </c>
    </row>
    <row r="962" spans="1:26" x14ac:dyDescent="0.2">
      <c r="A962" s="54" t="s">
        <v>438</v>
      </c>
      <c r="B962" s="54" t="s">
        <v>440</v>
      </c>
      <c r="C962" s="117">
        <v>3090.0770000000002</v>
      </c>
      <c r="D962" s="117">
        <v>2857.4989999999998</v>
      </c>
      <c r="E962" s="117">
        <v>3358.71</v>
      </c>
      <c r="F962" s="117">
        <v>2880.48</v>
      </c>
      <c r="G962" s="117">
        <v>3203.7910000000002</v>
      </c>
      <c r="H962" s="117">
        <v>3008.8530000000001</v>
      </c>
      <c r="I962" s="117">
        <v>3041.739</v>
      </c>
      <c r="J962" s="117">
        <v>2837.2919999999999</v>
      </c>
      <c r="K962" s="117">
        <v>2897.1210000000001</v>
      </c>
      <c r="L962" s="117">
        <v>2943.8739999999998</v>
      </c>
      <c r="M962" s="117">
        <v>2807.576</v>
      </c>
      <c r="N962" s="117">
        <v>3260.8449999999998</v>
      </c>
      <c r="O962" s="117">
        <f t="shared" ref="O962:Z962" si="511">+O279</f>
        <v>3278.6750000000002</v>
      </c>
      <c r="P962" s="117">
        <f t="shared" si="511"/>
        <v>3057.587</v>
      </c>
      <c r="Q962" s="117">
        <f t="shared" si="511"/>
        <v>3232.7139999999999</v>
      </c>
      <c r="R962" s="117">
        <f t="shared" si="511"/>
        <v>3017.9659999999999</v>
      </c>
      <c r="S962" s="117">
        <f t="shared" si="511"/>
        <v>3327.41</v>
      </c>
      <c r="T962" s="117">
        <f t="shared" si="511"/>
        <v>3110.2840000000001</v>
      </c>
      <c r="U962" s="117">
        <f t="shared" si="511"/>
        <v>3084.53</v>
      </c>
      <c r="V962" s="117">
        <f t="shared" si="511"/>
        <v>3021.9279999999999</v>
      </c>
      <c r="W962" s="117">
        <f t="shared" si="511"/>
        <v>2969.6280000000002</v>
      </c>
      <c r="X962" s="117">
        <f t="shared" si="511"/>
        <v>3225.1860000000001</v>
      </c>
      <c r="Y962" s="117">
        <f t="shared" si="511"/>
        <v>3268.3739999999998</v>
      </c>
      <c r="Z962" s="117">
        <f t="shared" si="511"/>
        <v>3218.8470000000002</v>
      </c>
    </row>
    <row r="963" spans="1:26" x14ac:dyDescent="0.2">
      <c r="A963" s="54" t="s">
        <v>309</v>
      </c>
      <c r="B963" s="54" t="s">
        <v>441</v>
      </c>
      <c r="C963" s="117">
        <v>259.5</v>
      </c>
      <c r="D963" s="117">
        <v>544.72</v>
      </c>
      <c r="E963" s="117">
        <v>978.01</v>
      </c>
      <c r="F963" s="117">
        <v>1027.97</v>
      </c>
      <c r="G963" s="117">
        <v>857.28</v>
      </c>
      <c r="H963" s="117">
        <v>335.83800000000002</v>
      </c>
      <c r="I963" s="117">
        <v>510.1275</v>
      </c>
      <c r="J963" s="117">
        <v>334.66500000000002</v>
      </c>
      <c r="K963" s="117">
        <v>538.64</v>
      </c>
      <c r="L963" s="117">
        <v>566.48249999999996</v>
      </c>
      <c r="M963" s="117">
        <v>693.46</v>
      </c>
      <c r="N963" s="117">
        <v>860.80600000000004</v>
      </c>
      <c r="O963" s="117">
        <f t="shared" ref="O963:Z963" si="512">+O237</f>
        <v>462.65</v>
      </c>
      <c r="P963" s="117">
        <f t="shared" si="512"/>
        <v>801.05</v>
      </c>
      <c r="Q963" s="117">
        <f t="shared" si="512"/>
        <v>1195.5</v>
      </c>
      <c r="R963" s="117">
        <f t="shared" si="512"/>
        <v>904.51</v>
      </c>
      <c r="S963" s="117">
        <f t="shared" si="512"/>
        <v>544.32000000000005</v>
      </c>
      <c r="T963" s="117">
        <f t="shared" si="512"/>
        <v>552.70500000000004</v>
      </c>
      <c r="U963" s="117">
        <f t="shared" si="512"/>
        <v>360.87374999999997</v>
      </c>
      <c r="V963" s="117">
        <f t="shared" si="512"/>
        <v>590.29999999999995</v>
      </c>
      <c r="W963" s="117">
        <f t="shared" si="512"/>
        <v>286.81</v>
      </c>
      <c r="X963" s="117">
        <f t="shared" si="512"/>
        <v>762.32</v>
      </c>
      <c r="Y963" s="117">
        <f t="shared" si="512"/>
        <v>809.1</v>
      </c>
      <c r="Z963" s="117">
        <f t="shared" si="512"/>
        <v>742.64800000000002</v>
      </c>
    </row>
    <row r="964" spans="1:26" x14ac:dyDescent="0.2">
      <c r="A964" s="14" t="s">
        <v>633</v>
      </c>
      <c r="B964" s="54" t="s">
        <v>441</v>
      </c>
      <c r="C964" s="117">
        <v>2662</v>
      </c>
      <c r="D964" s="117">
        <v>5586</v>
      </c>
      <c r="E964" s="117">
        <v>5605</v>
      </c>
      <c r="F964" s="117">
        <v>4108</v>
      </c>
      <c r="G964" s="117">
        <v>2070</v>
      </c>
      <c r="H964" s="117">
        <v>1853</v>
      </c>
      <c r="I964" s="117">
        <v>2214</v>
      </c>
      <c r="J964" s="117">
        <v>2210.8000000000002</v>
      </c>
      <c r="K964" s="117">
        <v>2588.4</v>
      </c>
      <c r="L964" s="117">
        <v>4474</v>
      </c>
      <c r="M964" s="117">
        <v>5228.8</v>
      </c>
      <c r="N964" s="117">
        <v>5390</v>
      </c>
      <c r="O964" s="117">
        <f t="shared" ref="O964:Z964" si="513">O538</f>
        <v>4953</v>
      </c>
      <c r="P964" s="117">
        <f t="shared" si="513"/>
        <v>4225</v>
      </c>
      <c r="Q964" s="117">
        <f t="shared" si="513"/>
        <v>5678</v>
      </c>
      <c r="R964" s="117">
        <f t="shared" si="513"/>
        <v>4383</v>
      </c>
      <c r="S964" s="117">
        <f t="shared" si="513"/>
        <v>2569</v>
      </c>
      <c r="T964" s="117">
        <f t="shared" si="513"/>
        <v>3138</v>
      </c>
      <c r="U964" s="117">
        <f t="shared" si="513"/>
        <v>1568</v>
      </c>
      <c r="V964" s="117">
        <f t="shared" si="513"/>
        <v>2629</v>
      </c>
      <c r="W964" s="117">
        <f t="shared" si="513"/>
        <v>1448</v>
      </c>
      <c r="X964" s="117">
        <f t="shared" si="513"/>
        <v>3162</v>
      </c>
      <c r="Y964" s="117">
        <f t="shared" si="513"/>
        <v>4663</v>
      </c>
      <c r="Z964" s="117">
        <f t="shared" si="513"/>
        <v>3416</v>
      </c>
    </row>
    <row r="965" spans="1:26" x14ac:dyDescent="0.2">
      <c r="A965" s="14" t="s">
        <v>495</v>
      </c>
      <c r="B965" s="54" t="s">
        <v>441</v>
      </c>
      <c r="C965" s="117"/>
      <c r="D965" s="117"/>
      <c r="E965" s="117"/>
      <c r="F965" s="117"/>
      <c r="G965" s="117"/>
      <c r="H965" s="117"/>
      <c r="I965" s="117"/>
      <c r="J965" s="117"/>
      <c r="K965" s="117"/>
      <c r="L965" s="117"/>
      <c r="M965" s="117"/>
      <c r="N965" s="117"/>
      <c r="O965" s="117"/>
      <c r="P965" s="117"/>
      <c r="Q965" s="117"/>
      <c r="R965" s="117"/>
      <c r="S965" s="117"/>
      <c r="T965" s="117"/>
      <c r="U965" s="117"/>
      <c r="V965" s="117"/>
      <c r="W965" s="117"/>
      <c r="X965" s="117"/>
      <c r="Y965" s="117"/>
      <c r="Z965" s="117"/>
    </row>
    <row r="966" spans="1:26" x14ac:dyDescent="0.2">
      <c r="A966" s="54" t="s">
        <v>310</v>
      </c>
      <c r="B966" s="54" t="s">
        <v>441</v>
      </c>
      <c r="C966" s="117">
        <v>691.91200000000003</v>
      </c>
      <c r="D966" s="117">
        <v>1694.2929999999999</v>
      </c>
      <c r="E966" s="117">
        <v>2173.2750000000001</v>
      </c>
      <c r="F966" s="117">
        <v>2531.7330000000002</v>
      </c>
      <c r="G966" s="117">
        <v>2238.4569999999999</v>
      </c>
      <c r="H966" s="117">
        <v>1195.8109999999999</v>
      </c>
      <c r="I966" s="117">
        <v>1633.923</v>
      </c>
      <c r="J966" s="117">
        <v>1031.057</v>
      </c>
      <c r="K966" s="117">
        <v>1563.174</v>
      </c>
      <c r="L966" s="117">
        <v>1624.5709999999999</v>
      </c>
      <c r="M966" s="117">
        <v>2283.69</v>
      </c>
      <c r="N966" s="117">
        <v>2543.511</v>
      </c>
      <c r="O966" s="117">
        <f t="shared" ref="O966:Z966" si="514">+O380</f>
        <v>1114.4690000000001</v>
      </c>
      <c r="P966" s="117">
        <f t="shared" si="514"/>
        <v>1827.316</v>
      </c>
      <c r="Q966" s="117">
        <f t="shared" si="514"/>
        <v>2336.4870000000001</v>
      </c>
      <c r="R966" s="117">
        <f t="shared" si="514"/>
        <v>2130.4079999999999</v>
      </c>
      <c r="S966" s="117">
        <f t="shared" si="514"/>
        <v>1525.874</v>
      </c>
      <c r="T966" s="117">
        <f t="shared" si="514"/>
        <v>1616.2159999999999</v>
      </c>
      <c r="U966" s="117">
        <f t="shared" si="514"/>
        <v>1045.5250000000001</v>
      </c>
      <c r="V966" s="117">
        <f t="shared" si="514"/>
        <v>1912.31</v>
      </c>
      <c r="W966" s="117">
        <f t="shared" si="514"/>
        <v>980.66300000000001</v>
      </c>
      <c r="X966" s="117">
        <f t="shared" si="514"/>
        <v>2078.0259999999998</v>
      </c>
      <c r="Y966" s="117">
        <f t="shared" si="514"/>
        <v>1762.905</v>
      </c>
      <c r="Z966" s="117">
        <f t="shared" si="514"/>
        <v>1510.501</v>
      </c>
    </row>
    <row r="967" spans="1:26" x14ac:dyDescent="0.2">
      <c r="A967" s="54" t="s">
        <v>431</v>
      </c>
      <c r="B967" s="54" t="s">
        <v>441</v>
      </c>
      <c r="C967" s="125">
        <v>191.18417009340519</v>
      </c>
      <c r="D967" s="125">
        <v>238.27862668168848</v>
      </c>
      <c r="E967" s="125">
        <v>457.99561944497668</v>
      </c>
      <c r="F967" s="125">
        <v>578.35379312783505</v>
      </c>
      <c r="G967" s="125">
        <v>580.84223616303871</v>
      </c>
      <c r="H967" s="125">
        <v>617.32453673990608</v>
      </c>
      <c r="I967" s="125">
        <v>597.84641273924285</v>
      </c>
      <c r="J967" s="125">
        <v>579.77647545430978</v>
      </c>
      <c r="K967" s="125">
        <v>539.45055275387949</v>
      </c>
      <c r="L967" s="125">
        <v>395.15003738239091</v>
      </c>
      <c r="M967" s="125">
        <v>289.21995138937905</v>
      </c>
      <c r="N967" s="125">
        <v>135.53109812162799</v>
      </c>
      <c r="O967" s="125"/>
      <c r="P967" s="125"/>
      <c r="Q967" s="125"/>
      <c r="R967" s="125"/>
      <c r="S967" s="125"/>
      <c r="T967" s="125"/>
      <c r="U967" s="125"/>
      <c r="V967" s="125"/>
      <c r="W967" s="125"/>
      <c r="X967" s="125"/>
      <c r="Y967" s="125"/>
      <c r="Z967" s="125"/>
    </row>
    <row r="968" spans="1:26" x14ac:dyDescent="0.2">
      <c r="A968" s="54" t="s">
        <v>430</v>
      </c>
      <c r="B968" s="54" t="s">
        <v>441</v>
      </c>
      <c r="C968" s="125">
        <v>45.035235488398399</v>
      </c>
      <c r="D968" s="125">
        <v>25.734420279084798</v>
      </c>
      <c r="E968" s="125">
        <v>45.035235488398399</v>
      </c>
      <c r="F968" s="125">
        <v>141.5393115349664</v>
      </c>
      <c r="G968" s="125">
        <v>90.070470976796798</v>
      </c>
      <c r="H968" s="125">
        <v>38.601630418627202</v>
      </c>
      <c r="I968" s="125">
        <v>38.601630418627202</v>
      </c>
      <c r="J968" s="125">
        <v>32.168025348855998</v>
      </c>
      <c r="K968" s="125">
        <v>6.4336050697711995</v>
      </c>
      <c r="L968" s="125">
        <v>45.035235488398399</v>
      </c>
      <c r="M968" s="125">
        <v>83.636865907025609</v>
      </c>
      <c r="N968" s="125">
        <v>51.468840558169596</v>
      </c>
      <c r="O968" s="125"/>
      <c r="P968" s="125"/>
      <c r="Q968" s="125"/>
      <c r="R968" s="125"/>
      <c r="S968" s="125"/>
      <c r="T968" s="125"/>
      <c r="U968" s="125"/>
      <c r="V968" s="125"/>
      <c r="W968" s="125"/>
      <c r="X968" s="125"/>
      <c r="Y968" s="125"/>
      <c r="Z968" s="125"/>
    </row>
    <row r="969" spans="1:26" x14ac:dyDescent="0.2">
      <c r="A969" s="54" t="s">
        <v>400</v>
      </c>
      <c r="B969" s="54" t="s">
        <v>441</v>
      </c>
      <c r="C969" s="117">
        <v>1151.5048847280002</v>
      </c>
      <c r="D969" s="117">
        <v>1057.0094021520001</v>
      </c>
      <c r="E969" s="117">
        <v>1192.167192744</v>
      </c>
      <c r="F969" s="117">
        <v>1043.1321745680002</v>
      </c>
      <c r="G969" s="117">
        <v>1089.876348792</v>
      </c>
      <c r="H969" s="117">
        <v>1031.9206135787999</v>
      </c>
      <c r="I969" s="117">
        <v>1172.8819087920001</v>
      </c>
      <c r="J969" s="117">
        <v>1168.8595570080001</v>
      </c>
      <c r="K969" s="117">
        <v>842.33977185599997</v>
      </c>
      <c r="L969" s="117">
        <v>788.07985106400008</v>
      </c>
      <c r="M969" s="117">
        <v>831.17926742400005</v>
      </c>
      <c r="N969" s="117">
        <v>964.50637852800014</v>
      </c>
      <c r="O969" s="117">
        <f t="shared" ref="O969:Z969" si="515">+O365*O362</f>
        <v>770.02922456119575</v>
      </c>
      <c r="P969" s="117">
        <f t="shared" si="515"/>
        <v>1094.9963947452002</v>
      </c>
      <c r="Q969" s="117">
        <f t="shared" si="515"/>
        <v>1208.7727786152002</v>
      </c>
      <c r="R969" s="117">
        <f t="shared" si="515"/>
        <v>991.48611870720015</v>
      </c>
      <c r="S969" s="117">
        <f t="shared" si="515"/>
        <v>1060.972813998</v>
      </c>
      <c r="T969" s="117">
        <f t="shared" si="515"/>
        <v>1104.679092285</v>
      </c>
      <c r="U969" s="117">
        <f t="shared" si="515"/>
        <v>1193.4308168856001</v>
      </c>
      <c r="V969" s="117">
        <f t="shared" si="515"/>
        <v>1185.7950462527999</v>
      </c>
      <c r="W969" s="117">
        <f t="shared" si="515"/>
        <v>776.50493178240004</v>
      </c>
      <c r="X969" s="117">
        <f t="shared" si="515"/>
        <v>818.83314470159996</v>
      </c>
      <c r="Y969" s="117">
        <f t="shared" si="515"/>
        <v>850.2171206508001</v>
      </c>
      <c r="Z969" s="117">
        <f t="shared" si="515"/>
        <v>963.88194455460007</v>
      </c>
    </row>
    <row r="970" spans="1:26" x14ac:dyDescent="0.2">
      <c r="A970" s="54" t="str">
        <f>+A445</f>
        <v>GDF Suez ME Class II RECs</v>
      </c>
      <c r="B970" s="54" t="s">
        <v>440</v>
      </c>
      <c r="C970" s="117">
        <v>0</v>
      </c>
      <c r="D970" s="117">
        <v>0</v>
      </c>
      <c r="E970" s="117">
        <v>0</v>
      </c>
      <c r="F970" s="117">
        <v>0</v>
      </c>
      <c r="G970" s="117">
        <v>0</v>
      </c>
      <c r="H970" s="117">
        <v>0</v>
      </c>
      <c r="I970" s="117">
        <v>0</v>
      </c>
      <c r="J970" s="117">
        <v>0</v>
      </c>
      <c r="K970" s="117">
        <v>0</v>
      </c>
      <c r="L970" s="117">
        <v>0</v>
      </c>
      <c r="M970" s="117">
        <v>0</v>
      </c>
      <c r="N970" s="117">
        <v>0</v>
      </c>
      <c r="O970" s="117">
        <f t="shared" ref="O970:Z970" si="516">+O446</f>
        <v>0</v>
      </c>
      <c r="P970" s="117">
        <f t="shared" si="516"/>
        <v>0</v>
      </c>
      <c r="Q970" s="117">
        <f t="shared" si="516"/>
        <v>0</v>
      </c>
      <c r="R970" s="117">
        <f t="shared" si="516"/>
        <v>0</v>
      </c>
      <c r="S970" s="117">
        <f t="shared" si="516"/>
        <v>0</v>
      </c>
      <c r="T970" s="117">
        <f t="shared" si="516"/>
        <v>0</v>
      </c>
      <c r="U970" s="117">
        <f t="shared" si="516"/>
        <v>0</v>
      </c>
      <c r="V970" s="117">
        <f t="shared" si="516"/>
        <v>0</v>
      </c>
      <c r="W970" s="117">
        <f t="shared" si="516"/>
        <v>0</v>
      </c>
      <c r="X970" s="117">
        <f t="shared" si="516"/>
        <v>0</v>
      </c>
      <c r="Y970" s="117">
        <f t="shared" si="516"/>
        <v>0</v>
      </c>
      <c r="Z970" s="117">
        <f t="shared" si="516"/>
        <v>0</v>
      </c>
    </row>
    <row r="971" spans="1:26" x14ac:dyDescent="0.2">
      <c r="A971" s="54" t="s">
        <v>553</v>
      </c>
      <c r="B971" s="54" t="s">
        <v>440</v>
      </c>
      <c r="C971" s="117"/>
      <c r="D971" s="117"/>
      <c r="E971" s="117"/>
      <c r="F971" s="117"/>
      <c r="G971" s="117"/>
      <c r="H971" s="117"/>
      <c r="I971" s="117"/>
      <c r="J971" s="117"/>
      <c r="K971" s="117"/>
      <c r="L971" s="117"/>
      <c r="M971" s="117"/>
      <c r="N971" s="117"/>
      <c r="O971" s="117"/>
      <c r="P971" s="117"/>
      <c r="Q971" s="117"/>
      <c r="R971" s="117"/>
      <c r="S971" s="117"/>
      <c r="T971" s="117"/>
      <c r="U971" s="117"/>
      <c r="V971" s="117"/>
      <c r="W971" s="117"/>
      <c r="X971" s="117"/>
      <c r="Y971" s="117"/>
      <c r="Z971" s="117"/>
    </row>
    <row r="972" spans="1:26" x14ac:dyDescent="0.2">
      <c r="A972" s="54" t="s">
        <v>551</v>
      </c>
      <c r="B972" s="54" t="s">
        <v>440</v>
      </c>
      <c r="C972" s="117"/>
      <c r="D972" s="117"/>
      <c r="E972" s="117"/>
      <c r="F972" s="117"/>
      <c r="G972" s="117"/>
      <c r="H972" s="117"/>
      <c r="I972" s="117"/>
      <c r="J972" s="117"/>
      <c r="K972" s="117"/>
      <c r="L972" s="117"/>
      <c r="M972" s="117"/>
      <c r="N972" s="117"/>
      <c r="O972" s="117"/>
      <c r="P972" s="117"/>
      <c r="Q972" s="117"/>
      <c r="R972" s="117"/>
      <c r="S972" s="117"/>
      <c r="T972" s="117"/>
      <c r="U972" s="117"/>
      <c r="V972" s="117"/>
      <c r="W972" s="117"/>
      <c r="X972" s="117"/>
      <c r="Y972" s="117"/>
      <c r="Z972" s="117"/>
    </row>
    <row r="973" spans="1:26" x14ac:dyDescent="0.2">
      <c r="A973" s="54" t="s">
        <v>552</v>
      </c>
      <c r="B973" s="54" t="s">
        <v>440</v>
      </c>
      <c r="C973" s="117"/>
      <c r="D973" s="117"/>
      <c r="E973" s="117"/>
      <c r="F973" s="117"/>
      <c r="G973" s="117"/>
      <c r="H973" s="117"/>
      <c r="I973" s="117"/>
      <c r="J973" s="117"/>
      <c r="K973" s="117"/>
      <c r="L973" s="117"/>
      <c r="M973" s="117"/>
      <c r="N973" s="117"/>
      <c r="O973" s="117"/>
      <c r="P973" s="117"/>
      <c r="Q973" s="117"/>
      <c r="R973" s="117"/>
      <c r="S973" s="117"/>
      <c r="T973" s="117"/>
      <c r="U973" s="117"/>
      <c r="V973" s="117"/>
      <c r="W973" s="117"/>
      <c r="X973" s="117"/>
      <c r="Y973" s="117"/>
      <c r="Z973" s="117"/>
    </row>
    <row r="974" spans="1:26" x14ac:dyDescent="0.2">
      <c r="A974" s="54" t="s">
        <v>601</v>
      </c>
      <c r="B974" s="54" t="s">
        <v>440</v>
      </c>
      <c r="C974" s="125"/>
      <c r="D974" s="125"/>
      <c r="E974" s="125"/>
      <c r="F974" s="125"/>
      <c r="G974" s="125"/>
      <c r="H974" s="125"/>
      <c r="I974" s="125"/>
      <c r="J974" s="125"/>
      <c r="K974" s="125"/>
      <c r="L974" s="125"/>
      <c r="M974" s="125"/>
      <c r="N974" s="125"/>
      <c r="O974" s="125"/>
      <c r="P974" s="125"/>
      <c r="Q974" s="125"/>
      <c r="R974" s="125"/>
      <c r="S974" s="125"/>
      <c r="T974" s="125"/>
      <c r="U974" s="125"/>
      <c r="V974" s="125"/>
      <c r="W974" s="125"/>
      <c r="X974" s="125"/>
      <c r="Y974" s="125"/>
      <c r="Z974" s="125"/>
    </row>
    <row r="975" spans="1:26" x14ac:dyDescent="0.2">
      <c r="A975" s="54" t="s">
        <v>443</v>
      </c>
      <c r="B975" s="54" t="s">
        <v>440</v>
      </c>
      <c r="C975" s="125">
        <v>5624.7750000000005</v>
      </c>
      <c r="D975" s="125">
        <v>5624.7750000000005</v>
      </c>
      <c r="E975" s="125">
        <v>5624.7750000000005</v>
      </c>
      <c r="F975" s="125">
        <v>5624.7750000000005</v>
      </c>
      <c r="G975" s="125">
        <v>5624.7750000000005</v>
      </c>
      <c r="H975" s="125">
        <v>5624.7750000000005</v>
      </c>
      <c r="I975" s="125">
        <v>5624.7750000000005</v>
      </c>
      <c r="J975" s="125">
        <v>5624.7750000000005</v>
      </c>
      <c r="K975" s="125">
        <v>5625.4500000000007</v>
      </c>
      <c r="L975" s="125">
        <v>5625.4500000000007</v>
      </c>
      <c r="M975" s="125">
        <v>5625.4500000000007</v>
      </c>
      <c r="N975" s="125">
        <v>5625.4500000000007</v>
      </c>
      <c r="O975" s="125"/>
      <c r="P975" s="125"/>
      <c r="Q975" s="125"/>
      <c r="R975" s="125"/>
      <c r="S975" s="125"/>
      <c r="T975" s="125"/>
      <c r="U975" s="125"/>
      <c r="V975" s="125"/>
      <c r="W975" s="125"/>
      <c r="X975" s="125"/>
      <c r="Y975" s="125"/>
      <c r="Z975" s="125"/>
    </row>
    <row r="976" spans="1:26" x14ac:dyDescent="0.2">
      <c r="A976" s="54" t="str">
        <f>+A399</f>
        <v>Encore - Alburgh</v>
      </c>
      <c r="B976" s="54" t="s">
        <v>442</v>
      </c>
      <c r="C976" s="150">
        <v>82.368815302608866</v>
      </c>
      <c r="D976" s="150">
        <v>102.47426660327568</v>
      </c>
      <c r="E976" s="150">
        <v>142.61874440136083</v>
      </c>
      <c r="F976" s="150">
        <v>152.29775698790357</v>
      </c>
      <c r="G976" s="150">
        <v>175.3939009489327</v>
      </c>
      <c r="H976" s="150">
        <v>170.52825016689701</v>
      </c>
      <c r="I976" s="150">
        <v>172.49898341085586</v>
      </c>
      <c r="J976" s="150">
        <v>163.7149481188651</v>
      </c>
      <c r="K976" s="150">
        <v>130.71321103075522</v>
      </c>
      <c r="L976" s="150">
        <v>103.13286483135056</v>
      </c>
      <c r="M976" s="150">
        <v>63.569064727890698</v>
      </c>
      <c r="N976" s="150">
        <v>57.920504934503356</v>
      </c>
      <c r="O976" s="150">
        <f t="shared" ref="O976:Z976" si="517">+O402</f>
        <v>28.8</v>
      </c>
      <c r="P976" s="150">
        <f t="shared" si="517"/>
        <v>86.4</v>
      </c>
      <c r="Q976" s="150">
        <f t="shared" si="517"/>
        <v>117.6</v>
      </c>
      <c r="R976" s="150">
        <f t="shared" si="517"/>
        <v>132</v>
      </c>
      <c r="S976" s="150">
        <f t="shared" si="517"/>
        <v>168</v>
      </c>
      <c r="T976" s="150">
        <f t="shared" si="517"/>
        <v>156</v>
      </c>
      <c r="U976" s="150">
        <f t="shared" si="517"/>
        <v>146.4</v>
      </c>
      <c r="V976" s="150">
        <f t="shared" si="517"/>
        <v>151.19999999999999</v>
      </c>
      <c r="W976" s="150">
        <f t="shared" si="517"/>
        <v>136.80000000000001</v>
      </c>
      <c r="X976" s="150">
        <f t="shared" si="517"/>
        <v>76.8</v>
      </c>
      <c r="Y976" s="150">
        <f t="shared" si="517"/>
        <v>60</v>
      </c>
      <c r="Z976" s="150">
        <f t="shared" si="517"/>
        <v>28.8</v>
      </c>
    </row>
    <row r="977" spans="1:26" x14ac:dyDescent="0.2">
      <c r="A977" t="str">
        <f>+A406</f>
        <v>Encore - Magee Hill</v>
      </c>
      <c r="B977" s="54" t="s">
        <v>442</v>
      </c>
      <c r="C977" s="150">
        <v>107.61758827827025</v>
      </c>
      <c r="D977" s="150">
        <v>133.88595756179387</v>
      </c>
      <c r="E977" s="150">
        <v>186.33599315202625</v>
      </c>
      <c r="F977" s="150">
        <v>198.98197711766505</v>
      </c>
      <c r="G977" s="150">
        <v>229.15781653911878</v>
      </c>
      <c r="H977" s="150">
        <v>222.80072706947905</v>
      </c>
      <c r="I977" s="150">
        <v>225.37547684647959</v>
      </c>
      <c r="J977" s="150">
        <v>213.89891851340573</v>
      </c>
      <c r="K977" s="150">
        <v>170.78111909213203</v>
      </c>
      <c r="L977" s="150">
        <v>134.74645306174159</v>
      </c>
      <c r="M977" s="150">
        <v>83.055056063667763</v>
      </c>
      <c r="N977" s="150">
        <v>75.29662491739839</v>
      </c>
      <c r="O977" s="150">
        <f t="shared" ref="O977:Z977" si="518">+O408</f>
        <v>17.960999999999999</v>
      </c>
      <c r="P977" s="150">
        <f t="shared" si="518"/>
        <v>89.085999999999999</v>
      </c>
      <c r="Q977" s="150">
        <f t="shared" si="518"/>
        <v>107.559</v>
      </c>
      <c r="R977" s="150">
        <f t="shared" si="518"/>
        <v>152.08500000000001</v>
      </c>
      <c r="S977" s="150">
        <f t="shared" si="518"/>
        <v>190.334</v>
      </c>
      <c r="T977" s="150">
        <f t="shared" si="518"/>
        <v>194.63499999999999</v>
      </c>
      <c r="U977" s="150">
        <f t="shared" si="518"/>
        <v>211.06</v>
      </c>
      <c r="V977" s="150">
        <f t="shared" si="518"/>
        <v>193.012</v>
      </c>
      <c r="W977" s="150">
        <f t="shared" si="518"/>
        <v>181.09</v>
      </c>
      <c r="X977" s="150">
        <f t="shared" si="518"/>
        <v>104.611</v>
      </c>
      <c r="Y977" s="150">
        <f t="shared" si="518"/>
        <v>56.927</v>
      </c>
      <c r="Z977" s="150">
        <f t="shared" si="518"/>
        <v>27.007000000000001</v>
      </c>
    </row>
    <row r="978" spans="1:26" x14ac:dyDescent="0.2">
      <c r="A978" t="str">
        <f>+A412</f>
        <v>Bullrock - Grand Isle</v>
      </c>
      <c r="B978" s="54" t="s">
        <v>442</v>
      </c>
      <c r="C978" s="150">
        <v>389.4101044814314</v>
      </c>
      <c r="D978" s="150">
        <v>484.46118737665705</v>
      </c>
      <c r="E978" s="150">
        <v>674.24962559819653</v>
      </c>
      <c r="F978" s="150">
        <v>720.00863082472983</v>
      </c>
      <c r="G978" s="150">
        <v>829.19874702053585</v>
      </c>
      <c r="H978" s="150">
        <v>806.19585867719434</v>
      </c>
      <c r="I978" s="150">
        <v>815.51249166375942</v>
      </c>
      <c r="J978" s="150">
        <v>773.98500847963146</v>
      </c>
      <c r="K978" s="150">
        <v>617.96491152736326</v>
      </c>
      <c r="L978" s="150">
        <v>487.57485713686214</v>
      </c>
      <c r="M978" s="150">
        <v>300.53152586167658</v>
      </c>
      <c r="N978" s="150">
        <v>273.82707618539251</v>
      </c>
      <c r="O978" s="150">
        <f t="shared" ref="O978:Z978" si="519">+O414</f>
        <v>127.2</v>
      </c>
      <c r="P978" s="150">
        <f t="shared" si="519"/>
        <v>436.8</v>
      </c>
      <c r="Q978" s="150">
        <f t="shared" si="519"/>
        <v>583.20000000000005</v>
      </c>
      <c r="R978" s="150">
        <f t="shared" si="519"/>
        <v>614.4</v>
      </c>
      <c r="S978" s="150">
        <f t="shared" si="519"/>
        <v>868.8</v>
      </c>
      <c r="T978" s="150">
        <f t="shared" si="519"/>
        <v>772.8</v>
      </c>
      <c r="U978" s="150">
        <f t="shared" si="519"/>
        <v>792</v>
      </c>
      <c r="V978" s="150">
        <f t="shared" si="519"/>
        <v>748.8</v>
      </c>
      <c r="W978" s="150">
        <f t="shared" si="519"/>
        <v>684</v>
      </c>
      <c r="X978" s="150">
        <f t="shared" si="519"/>
        <v>372</v>
      </c>
      <c r="Y978" s="150">
        <f t="shared" si="519"/>
        <v>292.8</v>
      </c>
      <c r="Z978" s="150">
        <f t="shared" si="519"/>
        <v>127.2</v>
      </c>
    </row>
    <row r="979" spans="1:26" x14ac:dyDescent="0.2">
      <c r="A979" t="str">
        <f>+A419</f>
        <v xml:space="preserve">Encore -Jericho - Gravel Pit </v>
      </c>
      <c r="B979" s="54" t="s">
        <v>442</v>
      </c>
      <c r="C979" s="150">
        <v>133.13048062158856</v>
      </c>
      <c r="D979" s="150">
        <v>170.75709963798096</v>
      </c>
      <c r="E979" s="150">
        <v>225.99297479009709</v>
      </c>
      <c r="F979" s="150">
        <v>250.23892173454735</v>
      </c>
      <c r="G979" s="150">
        <v>258.62012804431896</v>
      </c>
      <c r="H979" s="150">
        <v>270.70539398759809</v>
      </c>
      <c r="I979" s="150">
        <v>279.70805570328355</v>
      </c>
      <c r="J979" s="150">
        <v>265.47145427705112</v>
      </c>
      <c r="K979" s="150">
        <v>228.65201007463804</v>
      </c>
      <c r="L979" s="150">
        <v>160.94627579145541</v>
      </c>
      <c r="M979" s="150">
        <v>111.01147346078565</v>
      </c>
      <c r="N979" s="150">
        <v>102.20843953743685</v>
      </c>
      <c r="O979" s="150">
        <f t="shared" ref="O979:Z979" si="520">+O421</f>
        <v>17.834</v>
      </c>
      <c r="P979" s="150">
        <f t="shared" si="520"/>
        <v>130.50399999999999</v>
      </c>
      <c r="Q979" s="150">
        <f t="shared" si="520"/>
        <v>159.358</v>
      </c>
      <c r="R979" s="150">
        <f t="shared" si="520"/>
        <v>173.84800000000001</v>
      </c>
      <c r="S979" s="150">
        <f t="shared" si="520"/>
        <v>302.47899999999998</v>
      </c>
      <c r="T979" s="150">
        <f t="shared" si="520"/>
        <v>290.77499999999998</v>
      </c>
      <c r="U979" s="150">
        <f t="shared" si="520"/>
        <v>292.03399999999999</v>
      </c>
      <c r="V979" s="150">
        <f t="shared" si="520"/>
        <v>292.03399999999999</v>
      </c>
      <c r="W979" s="150">
        <f t="shared" si="520"/>
        <v>309.77100000000002</v>
      </c>
      <c r="X979" s="150">
        <f t="shared" si="520"/>
        <v>87.396000000000001</v>
      </c>
      <c r="Y979" s="150">
        <f t="shared" si="520"/>
        <v>90.251999999999995</v>
      </c>
      <c r="Z979" s="150">
        <f t="shared" si="520"/>
        <v>42.728999999999999</v>
      </c>
    </row>
    <row r="980" spans="1:26" x14ac:dyDescent="0.2">
      <c r="A980" t="str">
        <f>+A425</f>
        <v>Encore - Jericho - Landfill</v>
      </c>
      <c r="B980" s="54" t="s">
        <v>442</v>
      </c>
      <c r="C980" s="150">
        <v>152.16398631945611</v>
      </c>
      <c r="D980" s="150">
        <v>184.21139360559198</v>
      </c>
      <c r="E980" s="150">
        <v>262.62457530189107</v>
      </c>
      <c r="F980" s="150">
        <v>268.69920478444152</v>
      </c>
      <c r="G980" s="150">
        <v>307.28472847122794</v>
      </c>
      <c r="H980" s="150">
        <v>299.2497528085234</v>
      </c>
      <c r="I980" s="150">
        <v>307.67837274710365</v>
      </c>
      <c r="J980" s="150">
        <v>286.28920743399067</v>
      </c>
      <c r="K980" s="150">
        <v>235.06618130817932</v>
      </c>
      <c r="L980" s="150">
        <v>160.47507902683893</v>
      </c>
      <c r="M980" s="150">
        <v>123.46434840065945</v>
      </c>
      <c r="N980" s="150">
        <v>108.66013821401744</v>
      </c>
      <c r="O980" s="150">
        <f t="shared" ref="O980:Z980" si="521">+O427</f>
        <v>12.326000000000001</v>
      </c>
      <c r="P980" s="150">
        <f t="shared" si="521"/>
        <v>117.473</v>
      </c>
      <c r="Q980" s="150">
        <f t="shared" si="521"/>
        <v>135.81700000000001</v>
      </c>
      <c r="R980" s="150">
        <f t="shared" si="521"/>
        <v>96.929000000000002</v>
      </c>
      <c r="S980" s="150">
        <f t="shared" si="521"/>
        <v>217.32900000000001</v>
      </c>
      <c r="T980" s="150">
        <f t="shared" si="521"/>
        <v>253.636</v>
      </c>
      <c r="U980" s="150">
        <f t="shared" si="521"/>
        <v>32.783999999999999</v>
      </c>
      <c r="V980" s="150">
        <f t="shared" si="521"/>
        <v>188.60599999999999</v>
      </c>
      <c r="W980" s="150">
        <f t="shared" si="521"/>
        <v>154.80099999999999</v>
      </c>
      <c r="X980" s="150">
        <f t="shared" si="521"/>
        <v>88.379000000000005</v>
      </c>
      <c r="Y980" s="150">
        <f t="shared" si="521"/>
        <v>54.585000000000001</v>
      </c>
      <c r="Z980" s="150">
        <f t="shared" si="521"/>
        <v>4.6399999999999997</v>
      </c>
    </row>
    <row r="981" spans="1:26" x14ac:dyDescent="0.2">
      <c r="A981" t="s">
        <v>490</v>
      </c>
      <c r="B981" s="54" t="s">
        <v>442</v>
      </c>
      <c r="C981" s="125">
        <v>186</v>
      </c>
      <c r="D981" s="125">
        <v>200</v>
      </c>
      <c r="E981" s="125">
        <v>476</v>
      </c>
      <c r="F981" s="125">
        <v>1229</v>
      </c>
      <c r="G981" s="125">
        <v>1774</v>
      </c>
      <c r="H981" s="125">
        <v>2212</v>
      </c>
      <c r="I981" s="125">
        <v>1764</v>
      </c>
      <c r="J981" s="125">
        <v>1722</v>
      </c>
      <c r="K981" s="125">
        <v>1446</v>
      </c>
      <c r="L981" s="125">
        <v>1120</v>
      </c>
      <c r="M981" s="125">
        <v>999</v>
      </c>
      <c r="N981" s="125">
        <v>432</v>
      </c>
      <c r="O981" s="125">
        <v>424.38400000000001</v>
      </c>
      <c r="P981" s="125">
        <v>383.30700000000002</v>
      </c>
      <c r="Q981" s="125">
        <v>741.48199999999997</v>
      </c>
      <c r="R981" s="125">
        <v>1693.079</v>
      </c>
      <c r="S981" s="125">
        <v>2391.4520000000002</v>
      </c>
      <c r="T981" s="125">
        <v>2983.99</v>
      </c>
      <c r="U981" s="125">
        <v>2437.3180000000002</v>
      </c>
      <c r="V981" s="125">
        <v>2489.377</v>
      </c>
      <c r="W981" s="125">
        <v>2233.8040000000001</v>
      </c>
      <c r="X981" s="125">
        <v>1935.4490000000001</v>
      </c>
      <c r="Y981" s="125">
        <v>942.71500000000003</v>
      </c>
      <c r="Z981" s="125">
        <v>622.54100000000005</v>
      </c>
    </row>
    <row r="982" spans="1:26" x14ac:dyDescent="0.2">
      <c r="A982" s="54" t="s">
        <v>653</v>
      </c>
      <c r="B982" s="54" t="s">
        <v>442</v>
      </c>
      <c r="C982" s="125"/>
      <c r="D982" s="125"/>
      <c r="E982" s="125"/>
      <c r="F982" s="125"/>
      <c r="G982" s="125"/>
      <c r="H982" s="125"/>
      <c r="I982" s="125"/>
      <c r="J982" s="125"/>
      <c r="K982" s="125"/>
      <c r="L982" s="125"/>
      <c r="M982" s="125"/>
      <c r="N982" s="125"/>
      <c r="O982" s="125">
        <v>68.724200314769035</v>
      </c>
      <c r="P982" s="125">
        <v>62.072243652100859</v>
      </c>
      <c r="Q982" s="125">
        <v>120.07464347806601</v>
      </c>
      <c r="R982" s="125">
        <v>274.17504039909335</v>
      </c>
      <c r="S982" s="125">
        <v>387.26866774231598</v>
      </c>
      <c r="T982" s="125">
        <v>483.22351101188457</v>
      </c>
      <c r="U982" s="125">
        <v>394.69614891888534</v>
      </c>
      <c r="V982" s="125">
        <v>403.12651656749256</v>
      </c>
      <c r="W982" s="125">
        <v>361.73935294434358</v>
      </c>
      <c r="X982" s="125">
        <v>313.42412714668649</v>
      </c>
      <c r="Y982" s="125">
        <v>152.66205723999371</v>
      </c>
      <c r="Z982" s="125">
        <v>100.81349058436847</v>
      </c>
    </row>
    <row r="983" spans="1:26" x14ac:dyDescent="0.2">
      <c r="A983" s="54" t="s">
        <v>464</v>
      </c>
      <c r="B983" s="54" t="s">
        <v>442</v>
      </c>
      <c r="C983" s="116">
        <v>382.57039317287206</v>
      </c>
      <c r="D983" s="116">
        <v>432.75466684726155</v>
      </c>
      <c r="E983" s="116">
        <v>783.35967100959954</v>
      </c>
      <c r="F983" s="116">
        <v>1035.5069888073829</v>
      </c>
      <c r="G983" s="116">
        <v>1000.5951380667085</v>
      </c>
      <c r="H983" s="116">
        <v>1014.7053983496994</v>
      </c>
      <c r="I983" s="116">
        <v>1216.7068424384047</v>
      </c>
      <c r="J983" s="116">
        <v>1241.0871714703744</v>
      </c>
      <c r="K983" s="116">
        <v>1146.6411556054582</v>
      </c>
      <c r="L983" s="116">
        <v>936.66411992447115</v>
      </c>
      <c r="M983" s="116">
        <v>799.00302406367746</v>
      </c>
      <c r="N983" s="116">
        <v>557.91377224122687</v>
      </c>
      <c r="O983" s="192">
        <v>729</v>
      </c>
      <c r="P983" s="192">
        <v>854</v>
      </c>
      <c r="Q983" s="192">
        <v>1794</v>
      </c>
      <c r="R983" s="192">
        <v>2447</v>
      </c>
      <c r="S983" s="192">
        <v>2316</v>
      </c>
      <c r="T983" s="192">
        <v>2286</v>
      </c>
      <c r="U983" s="192">
        <v>2228</v>
      </c>
      <c r="V983" s="192">
        <v>2152</v>
      </c>
      <c r="W983" s="192">
        <v>1988</v>
      </c>
      <c r="X983" s="192">
        <v>1650</v>
      </c>
      <c r="Y983" s="192">
        <v>1424</v>
      </c>
      <c r="Z983" s="192">
        <v>851</v>
      </c>
    </row>
    <row r="984" spans="1:26" x14ac:dyDescent="0.2">
      <c r="A984" s="54" t="s">
        <v>435</v>
      </c>
      <c r="B984" s="54" t="s">
        <v>442</v>
      </c>
      <c r="C984" s="131"/>
      <c r="D984" s="131"/>
      <c r="E984" s="131"/>
      <c r="F984" s="131"/>
      <c r="G984" s="131"/>
      <c r="H984" s="131"/>
      <c r="I984" s="131"/>
      <c r="J984" s="131"/>
      <c r="K984" s="131"/>
      <c r="L984" s="131"/>
      <c r="M984" s="131"/>
      <c r="N984" s="131"/>
      <c r="O984" s="131"/>
      <c r="P984" s="131"/>
      <c r="Q984" s="131"/>
      <c r="R984" s="131"/>
      <c r="S984" s="131"/>
      <c r="T984" s="131"/>
      <c r="U984" s="131"/>
      <c r="V984" s="131"/>
      <c r="W984" s="131"/>
      <c r="X984" s="131"/>
      <c r="Y984" s="131"/>
      <c r="Z984" s="131"/>
    </row>
    <row r="985" spans="1:26" x14ac:dyDescent="0.2">
      <c r="A985" s="54" t="s">
        <v>436</v>
      </c>
      <c r="B985" s="54" t="s">
        <v>442</v>
      </c>
      <c r="C985" s="131"/>
      <c r="D985" s="131"/>
      <c r="E985" s="131"/>
      <c r="F985" s="131"/>
      <c r="G985" s="131"/>
      <c r="H985" s="131"/>
      <c r="I985" s="131"/>
      <c r="J985" s="131"/>
      <c r="K985" s="131"/>
      <c r="L985" s="131"/>
      <c r="M985" s="131"/>
      <c r="N985" s="131"/>
      <c r="O985" s="131"/>
      <c r="P985" s="131"/>
      <c r="Q985" s="131"/>
      <c r="R985" s="131"/>
      <c r="S985" s="131"/>
      <c r="T985" s="131"/>
      <c r="U985" s="131"/>
      <c r="V985" s="131"/>
      <c r="W985" s="131"/>
      <c r="X985" s="131"/>
      <c r="Y985" s="131"/>
      <c r="Z985" s="131"/>
    </row>
    <row r="986" spans="1:26" x14ac:dyDescent="0.2">
      <c r="A986" s="54" t="s">
        <v>437</v>
      </c>
      <c r="B986" s="54" t="s">
        <v>442</v>
      </c>
      <c r="C986" s="131"/>
      <c r="D986" s="131"/>
      <c r="E986" s="131"/>
      <c r="F986" s="131"/>
      <c r="G986" s="131"/>
      <c r="H986" s="131"/>
      <c r="I986" s="131"/>
      <c r="J986" s="131"/>
      <c r="K986" s="131"/>
      <c r="L986" s="131"/>
      <c r="M986" s="131"/>
      <c r="N986" s="131"/>
      <c r="O986" s="131"/>
      <c r="P986" s="131"/>
      <c r="Q986" s="131"/>
      <c r="R986" s="131"/>
      <c r="S986" s="131"/>
      <c r="T986" s="131"/>
      <c r="U986" s="131"/>
      <c r="V986" s="131"/>
      <c r="W986" s="131"/>
      <c r="X986" s="131"/>
      <c r="Y986" s="131"/>
      <c r="Z986" s="131"/>
    </row>
    <row r="987" spans="1:26" x14ac:dyDescent="0.2">
      <c r="A987" s="54" t="s">
        <v>444</v>
      </c>
      <c r="C987" s="117">
        <v>28764.249658486035</v>
      </c>
      <c r="D987" s="117">
        <v>32308.85402074533</v>
      </c>
      <c r="E987" s="117">
        <v>34596.149631930544</v>
      </c>
      <c r="F987" s="117">
        <v>38170.716759487463</v>
      </c>
      <c r="G987" s="117">
        <v>35480.342515022683</v>
      </c>
      <c r="H987" s="117">
        <v>31544.309161796726</v>
      </c>
      <c r="I987" s="117">
        <v>40991.374674759754</v>
      </c>
      <c r="J987" s="117">
        <v>37939.839766104495</v>
      </c>
      <c r="K987" s="117">
        <v>38679.827518318183</v>
      </c>
      <c r="L987" s="117">
        <v>39908.182273707513</v>
      </c>
      <c r="M987" s="117">
        <v>39253.646577298758</v>
      </c>
      <c r="N987" s="117">
        <v>40676.944873237779</v>
      </c>
      <c r="O987" s="117">
        <f t="shared" ref="O987:Z987" si="522">+SUM(O960:O986)</f>
        <v>27946.052424875968</v>
      </c>
      <c r="P987" s="117">
        <f t="shared" si="522"/>
        <v>28202.091638397302</v>
      </c>
      <c r="Q987" s="117">
        <f t="shared" si="522"/>
        <v>33622.564422093266</v>
      </c>
      <c r="R987" s="117">
        <f t="shared" si="522"/>
        <v>31213.886159106296</v>
      </c>
      <c r="S987" s="117">
        <f t="shared" si="522"/>
        <v>32051.239481740315</v>
      </c>
      <c r="T987" s="117">
        <f t="shared" si="522"/>
        <v>36463.943603296888</v>
      </c>
      <c r="U987" s="117">
        <f t="shared" si="522"/>
        <v>36454.651715804488</v>
      </c>
      <c r="V987" s="117">
        <f t="shared" si="522"/>
        <v>37787.48856282029</v>
      </c>
      <c r="W987" s="117">
        <f t="shared" si="522"/>
        <v>28207.611284726747</v>
      </c>
      <c r="X987" s="117">
        <f t="shared" si="522"/>
        <v>33668.424271848286</v>
      </c>
      <c r="Y987" s="117">
        <f t="shared" si="522"/>
        <v>35765.537177890787</v>
      </c>
      <c r="Z987" s="117">
        <f t="shared" si="522"/>
        <v>24363.608435138969</v>
      </c>
    </row>
    <row r="988" spans="1:26" x14ac:dyDescent="0.2">
      <c r="A988" s="54" t="s">
        <v>446</v>
      </c>
      <c r="C988" s="117">
        <v>22329.852000000003</v>
      </c>
      <c r="D988" s="117">
        <v>21454.274000000001</v>
      </c>
      <c r="E988" s="117">
        <v>21393.485000000001</v>
      </c>
      <c r="F988" s="117">
        <v>24885.255000000001</v>
      </c>
      <c r="G988" s="117">
        <v>23979.566000000003</v>
      </c>
      <c r="H988" s="117">
        <v>21475.628000000001</v>
      </c>
      <c r="I988" s="117">
        <v>30042.514000000003</v>
      </c>
      <c r="J988" s="117">
        <v>27916.067000000003</v>
      </c>
      <c r="K988" s="117">
        <v>28625.571</v>
      </c>
      <c r="L988" s="117">
        <v>28911.324000000001</v>
      </c>
      <c r="M988" s="117">
        <v>27364.026000000002</v>
      </c>
      <c r="N988" s="117">
        <v>29123.295000000002</v>
      </c>
      <c r="O988" s="117">
        <f t="shared" ref="O988:Z988" si="523">+SUM(O960:O962,O970:O975)</f>
        <v>19219.674999999999</v>
      </c>
      <c r="P988" s="117">
        <f t="shared" si="523"/>
        <v>18094.087</v>
      </c>
      <c r="Q988" s="117">
        <f t="shared" si="523"/>
        <v>19444.714</v>
      </c>
      <c r="R988" s="117">
        <f t="shared" si="523"/>
        <v>17220.966</v>
      </c>
      <c r="S988" s="117">
        <f t="shared" si="523"/>
        <v>19509.41</v>
      </c>
      <c r="T988" s="117">
        <f t="shared" si="523"/>
        <v>22631.284</v>
      </c>
      <c r="U988" s="117">
        <f t="shared" si="523"/>
        <v>25752.53</v>
      </c>
      <c r="V988" s="117">
        <f t="shared" si="523"/>
        <v>24851.928</v>
      </c>
      <c r="W988" s="117">
        <f t="shared" si="523"/>
        <v>18665.628000000001</v>
      </c>
      <c r="X988" s="117">
        <f t="shared" si="523"/>
        <v>22219.186000000002</v>
      </c>
      <c r="Y988" s="117">
        <f t="shared" si="523"/>
        <v>24606.374</v>
      </c>
      <c r="Z988" s="117">
        <f t="shared" si="523"/>
        <v>15925.847</v>
      </c>
    </row>
    <row r="989" spans="1:26" x14ac:dyDescent="0.2">
      <c r="A989" s="54" t="s">
        <v>469</v>
      </c>
      <c r="C989" s="117">
        <v>3804.5961700934054</v>
      </c>
      <c r="D989" s="117">
        <v>8063.2916266816883</v>
      </c>
      <c r="E989" s="117">
        <v>9214.2806194449768</v>
      </c>
      <c r="F989" s="117">
        <v>8246.0567931278347</v>
      </c>
      <c r="G989" s="117">
        <v>5746.5792361630374</v>
      </c>
      <c r="H989" s="117">
        <v>4001.9735367399062</v>
      </c>
      <c r="I989" s="117">
        <v>4955.8969127392429</v>
      </c>
      <c r="J989" s="117">
        <v>4156.2984754543095</v>
      </c>
      <c r="K989" s="117">
        <v>5229.6645527538794</v>
      </c>
      <c r="L989" s="117">
        <v>7060.203537382391</v>
      </c>
      <c r="M989" s="117">
        <v>8495.16995138938</v>
      </c>
      <c r="N989" s="117">
        <v>8929.8480981216289</v>
      </c>
      <c r="O989" s="117">
        <f t="shared" ref="O989:Z989" si="524">+SUM(O963:O967)</f>
        <v>6530.1189999999997</v>
      </c>
      <c r="P989" s="117">
        <f t="shared" si="524"/>
        <v>6853.366</v>
      </c>
      <c r="Q989" s="117">
        <f t="shared" si="524"/>
        <v>9209.987000000001</v>
      </c>
      <c r="R989" s="117">
        <f t="shared" si="524"/>
        <v>7417.9179999999997</v>
      </c>
      <c r="S989" s="117">
        <f t="shared" si="524"/>
        <v>4639.1940000000004</v>
      </c>
      <c r="T989" s="117">
        <f t="shared" si="524"/>
        <v>5306.9210000000003</v>
      </c>
      <c r="U989" s="117">
        <f t="shared" si="524"/>
        <v>2974.3987500000003</v>
      </c>
      <c r="V989" s="117">
        <f t="shared" si="524"/>
        <v>5131.6100000000006</v>
      </c>
      <c r="W989" s="117">
        <f t="shared" si="524"/>
        <v>2715.473</v>
      </c>
      <c r="X989" s="117">
        <f t="shared" si="524"/>
        <v>6002.3459999999995</v>
      </c>
      <c r="Y989" s="117">
        <f t="shared" si="524"/>
        <v>7235.0050000000001</v>
      </c>
      <c r="Z989" s="117">
        <f t="shared" si="524"/>
        <v>5669.1490000000003</v>
      </c>
    </row>
    <row r="990" spans="1:26" x14ac:dyDescent="0.2">
      <c r="A990" s="54" t="s">
        <v>470</v>
      </c>
      <c r="C990" s="117">
        <v>1196.5401202163987</v>
      </c>
      <c r="D990" s="117">
        <v>1082.7438224310849</v>
      </c>
      <c r="E990" s="117">
        <v>1237.2024282323985</v>
      </c>
      <c r="F990" s="117">
        <v>1184.6714861029666</v>
      </c>
      <c r="G990" s="117">
        <v>1179.9468197687968</v>
      </c>
      <c r="H990" s="117">
        <v>1070.522243997427</v>
      </c>
      <c r="I990" s="117">
        <v>1211.4835392106272</v>
      </c>
      <c r="J990" s="117">
        <v>1201.0275823568561</v>
      </c>
      <c r="K990" s="117">
        <v>848.77337692577112</v>
      </c>
      <c r="L990" s="117">
        <v>833.11508655239845</v>
      </c>
      <c r="M990" s="117">
        <v>914.81613333102564</v>
      </c>
      <c r="N990" s="117">
        <v>1015.9752190861698</v>
      </c>
      <c r="O990" s="117">
        <f t="shared" ref="O990:Z990" si="525">+O969+O968</f>
        <v>770.02922456119575</v>
      </c>
      <c r="P990" s="117">
        <f t="shared" si="525"/>
        <v>1094.9963947452002</v>
      </c>
      <c r="Q990" s="117">
        <f t="shared" si="525"/>
        <v>1208.7727786152002</v>
      </c>
      <c r="R990" s="117">
        <f t="shared" si="525"/>
        <v>991.48611870720015</v>
      </c>
      <c r="S990" s="117">
        <f t="shared" si="525"/>
        <v>1060.972813998</v>
      </c>
      <c r="T990" s="117">
        <f t="shared" si="525"/>
        <v>1104.679092285</v>
      </c>
      <c r="U990" s="117">
        <f t="shared" si="525"/>
        <v>1193.4308168856001</v>
      </c>
      <c r="V990" s="117">
        <f t="shared" si="525"/>
        <v>1185.7950462527999</v>
      </c>
      <c r="W990" s="117">
        <f t="shared" si="525"/>
        <v>776.50493178240004</v>
      </c>
      <c r="X990" s="117">
        <f t="shared" si="525"/>
        <v>818.83314470159996</v>
      </c>
      <c r="Y990" s="117">
        <f t="shared" si="525"/>
        <v>850.2171206508001</v>
      </c>
      <c r="Z990" s="117">
        <f t="shared" si="525"/>
        <v>963.88194455460007</v>
      </c>
    </row>
    <row r="991" spans="1:26" s="119" customFormat="1" x14ac:dyDescent="0.2">
      <c r="A991" s="147" t="s">
        <v>445</v>
      </c>
      <c r="C991" s="117">
        <v>1433.2613681762273</v>
      </c>
      <c r="D991" s="117">
        <v>1708.5445716325607</v>
      </c>
      <c r="E991" s="117">
        <v>2751.1815842531714</v>
      </c>
      <c r="F991" s="117">
        <v>3854.7334802566702</v>
      </c>
      <c r="G991" s="117">
        <v>4574.2504590908429</v>
      </c>
      <c r="H991" s="117">
        <v>4996.1853810593911</v>
      </c>
      <c r="I991" s="117">
        <v>4781.480222809887</v>
      </c>
      <c r="J991" s="117">
        <v>4666.4467082933188</v>
      </c>
      <c r="K991" s="117">
        <v>3975.8185886385259</v>
      </c>
      <c r="L991" s="117">
        <v>3103.5396497727197</v>
      </c>
      <c r="M991" s="117">
        <v>2479.6344925783578</v>
      </c>
      <c r="N991" s="117">
        <v>1607.8265560299756</v>
      </c>
      <c r="O991" s="117">
        <f t="shared" ref="O991:Z991" si="526">+SUM(O976:O986)</f>
        <v>1426.2292003147691</v>
      </c>
      <c r="P991" s="117">
        <f t="shared" si="526"/>
        <v>2159.6422436521011</v>
      </c>
      <c r="Q991" s="117">
        <f t="shared" si="526"/>
        <v>3759.0906434780663</v>
      </c>
      <c r="R991" s="117">
        <f t="shared" si="526"/>
        <v>5583.516040399094</v>
      </c>
      <c r="S991" s="117">
        <f t="shared" si="526"/>
        <v>6841.6626677423164</v>
      </c>
      <c r="T991" s="117">
        <f t="shared" si="526"/>
        <v>7421.0595110118838</v>
      </c>
      <c r="U991" s="117">
        <f t="shared" si="526"/>
        <v>6534.2921489188857</v>
      </c>
      <c r="V991" s="117">
        <f t="shared" si="526"/>
        <v>6618.1555165674918</v>
      </c>
      <c r="W991" s="117">
        <f t="shared" si="526"/>
        <v>6050.005352944343</v>
      </c>
      <c r="X991" s="117">
        <f t="shared" si="526"/>
        <v>4628.0591271466865</v>
      </c>
      <c r="Y991" s="117">
        <f t="shared" si="526"/>
        <v>3073.9410572399938</v>
      </c>
      <c r="Z991" s="117">
        <f t="shared" si="526"/>
        <v>1804.7304905843685</v>
      </c>
    </row>
    <row r="992" spans="1:26" s="119" customFormat="1" x14ac:dyDescent="0.2">
      <c r="A992" s="147"/>
      <c r="C992" s="117"/>
      <c r="D992" s="117"/>
      <c r="E992" s="117"/>
      <c r="F992" s="117"/>
      <c r="G992" s="117"/>
      <c r="H992" s="117"/>
      <c r="I992" s="117"/>
      <c r="J992" s="117"/>
      <c r="K992" s="117"/>
      <c r="L992" s="117"/>
      <c r="M992" s="117"/>
      <c r="N992" s="117"/>
      <c r="O992" s="117"/>
      <c r="P992" s="117"/>
      <c r="Q992" s="117"/>
      <c r="R992" s="117"/>
      <c r="S992" s="117"/>
      <c r="T992" s="117"/>
      <c r="U992" s="117"/>
      <c r="V992" s="117"/>
      <c r="W992" s="117"/>
      <c r="X992" s="117"/>
      <c r="Y992" s="117"/>
      <c r="Z992" s="117"/>
    </row>
    <row r="993" spans="1:26" s="119" customFormat="1" x14ac:dyDescent="0.2">
      <c r="A993" s="147" t="s">
        <v>466</v>
      </c>
      <c r="C993" s="117">
        <v>1541.666158486034</v>
      </c>
      <c r="D993" s="117">
        <v>5797.9747707453243</v>
      </c>
      <c r="E993" s="117">
        <v>8511.0941319305421</v>
      </c>
      <c r="F993" s="117">
        <v>16413.162759487463</v>
      </c>
      <c r="G993" s="117">
        <v>14687.239765022685</v>
      </c>
      <c r="H993" s="117">
        <v>8730.8121617967226</v>
      </c>
      <c r="I993" s="117">
        <v>15990.234174759753</v>
      </c>
      <c r="J993" s="117">
        <v>12258.047266104495</v>
      </c>
      <c r="K993" s="117">
        <v>17138.473768318181</v>
      </c>
      <c r="L993" s="117">
        <v>18792.81877370751</v>
      </c>
      <c r="M993" s="117">
        <v>16404.019077298759</v>
      </c>
      <c r="N993" s="117">
        <v>13958.440123237779</v>
      </c>
      <c r="O993" s="117">
        <f t="shared" ref="O993:Z993" si="527">+O987-O948</f>
        <v>-3114.2075751240336</v>
      </c>
      <c r="P993" s="117">
        <f t="shared" si="527"/>
        <v>1200.1178452938548</v>
      </c>
      <c r="Q993" s="117">
        <f t="shared" si="527"/>
        <v>4040.2844220932675</v>
      </c>
      <c r="R993" s="117">
        <f t="shared" si="527"/>
        <v>6991.6461591062944</v>
      </c>
      <c r="S993" s="117">
        <f t="shared" si="527"/>
        <v>8936.5394817403139</v>
      </c>
      <c r="T993" s="117">
        <f t="shared" si="527"/>
        <v>10888.463603296888</v>
      </c>
      <c r="U993" s="117">
        <f t="shared" si="527"/>
        <v>8037.2417158044882</v>
      </c>
      <c r="V993" s="117">
        <f t="shared" si="527"/>
        <v>13323.32856282029</v>
      </c>
      <c r="W993" s="117">
        <f t="shared" si="527"/>
        <v>5410.4312847267465</v>
      </c>
      <c r="X993" s="117">
        <f t="shared" si="527"/>
        <v>9598.6442718482867</v>
      </c>
      <c r="Y993" s="117">
        <f t="shared" si="527"/>
        <v>9056.687177890788</v>
      </c>
      <c r="Z993" s="117">
        <f t="shared" si="527"/>
        <v>-4937.6915648610302</v>
      </c>
    </row>
    <row r="994" spans="1:26" s="119" customFormat="1" x14ac:dyDescent="0.2">
      <c r="A994" s="147" t="s">
        <v>465</v>
      </c>
      <c r="C994" s="164">
        <v>-813.68203182377238</v>
      </c>
      <c r="D994" s="164">
        <v>-479.65498551029668</v>
      </c>
      <c r="E994" s="164">
        <v>598.12938425317179</v>
      </c>
      <c r="F994" s="164">
        <v>2058.8718802566705</v>
      </c>
      <c r="G994" s="164">
        <v>2857.9943590908433</v>
      </c>
      <c r="H994" s="164">
        <v>3113.1665810593913</v>
      </c>
      <c r="I994" s="164">
        <v>2717.8940228098872</v>
      </c>
      <c r="J994" s="164">
        <v>2546.679708293319</v>
      </c>
      <c r="K994" s="164">
        <v>2197.8020886385261</v>
      </c>
      <c r="L994" s="164">
        <v>1360.6842497727198</v>
      </c>
      <c r="M994" s="164">
        <v>593.63349257835807</v>
      </c>
      <c r="N994" s="164">
        <v>-597.51034397002422</v>
      </c>
      <c r="O994" s="164">
        <f t="shared" ref="O994:Z994" si="528">+O991-O951</f>
        <v>-1433.2867996852306</v>
      </c>
      <c r="P994" s="164">
        <f t="shared" si="528"/>
        <v>-326.25375634789816</v>
      </c>
      <c r="Q994" s="164">
        <f t="shared" si="528"/>
        <v>1035.6426434780669</v>
      </c>
      <c r="R994" s="164">
        <f t="shared" si="528"/>
        <v>3353.5320403990945</v>
      </c>
      <c r="S994" s="164">
        <f t="shared" si="528"/>
        <v>4713.6426677423169</v>
      </c>
      <c r="T994" s="164">
        <f t="shared" si="528"/>
        <v>5066.4915110118836</v>
      </c>
      <c r="U994" s="164">
        <f t="shared" si="528"/>
        <v>3918.086148918886</v>
      </c>
      <c r="V994" s="164">
        <f t="shared" si="528"/>
        <v>4365.8995165674924</v>
      </c>
      <c r="W994" s="164">
        <f t="shared" si="528"/>
        <v>3951.2173529443435</v>
      </c>
      <c r="X994" s="164">
        <f t="shared" si="528"/>
        <v>2412.1111271466871</v>
      </c>
      <c r="Y994" s="164">
        <f t="shared" si="528"/>
        <v>615.03105723999442</v>
      </c>
      <c r="Z994" s="164">
        <f t="shared" si="528"/>
        <v>-892.84950941563102</v>
      </c>
    </row>
    <row r="995" spans="1:26" s="119" customFormat="1" x14ac:dyDescent="0.2">
      <c r="A995" s="147" t="s">
        <v>467</v>
      </c>
      <c r="C995" s="164"/>
      <c r="D995" s="164"/>
      <c r="E995" s="164"/>
      <c r="F995" s="164"/>
      <c r="G995" s="164"/>
      <c r="H995" s="164"/>
      <c r="I995" s="164"/>
      <c r="J995" s="164"/>
      <c r="K995" s="164"/>
      <c r="L995" s="164"/>
      <c r="M995" s="164"/>
      <c r="N995" s="164">
        <v>150223.98293089526</v>
      </c>
      <c r="O995" s="164"/>
      <c r="P995" s="164"/>
      <c r="Q995" s="164"/>
      <c r="R995" s="164"/>
      <c r="S995" s="164"/>
      <c r="T995" s="164"/>
      <c r="U995" s="164"/>
      <c r="V995" s="164"/>
      <c r="W995" s="164"/>
      <c r="X995" s="164"/>
      <c r="Y995" s="164"/>
      <c r="Z995" s="164">
        <f>+SUM(O993:Z993)</f>
        <v>69431.485384636137</v>
      </c>
    </row>
    <row r="996" spans="1:26" s="119" customFormat="1" x14ac:dyDescent="0.2">
      <c r="A996" s="147" t="s">
        <v>468</v>
      </c>
      <c r="C996" s="164"/>
      <c r="D996" s="164"/>
      <c r="E996" s="164"/>
      <c r="F996" s="164"/>
      <c r="G996" s="164"/>
      <c r="H996" s="164"/>
      <c r="I996" s="164"/>
      <c r="J996" s="164"/>
      <c r="K996" s="164"/>
      <c r="L996" s="164"/>
      <c r="M996" s="164"/>
      <c r="N996" s="164">
        <v>16154.008405448792</v>
      </c>
      <c r="O996" s="164"/>
      <c r="P996" s="164"/>
      <c r="Q996" s="164"/>
      <c r="R996" s="164"/>
      <c r="S996" s="164"/>
      <c r="T996" s="164"/>
      <c r="U996" s="164"/>
      <c r="V996" s="164"/>
      <c r="W996" s="164"/>
      <c r="X996" s="164"/>
      <c r="Y996" s="164"/>
      <c r="Z996" s="164">
        <f>+SUM(O994:Z994)</f>
        <v>26779.264000000003</v>
      </c>
    </row>
    <row r="997" spans="1:26" s="119" customFormat="1" x14ac:dyDescent="0.2">
      <c r="A997" s="147"/>
      <c r="C997" s="117"/>
      <c r="D997" s="117"/>
      <c r="E997" s="117"/>
      <c r="F997" s="117"/>
      <c r="G997" s="117"/>
      <c r="H997" s="117"/>
      <c r="I997" s="117"/>
      <c r="J997" s="117"/>
      <c r="K997" s="117"/>
      <c r="L997" s="117"/>
      <c r="M997" s="117"/>
      <c r="N997" s="117"/>
      <c r="O997" s="117"/>
      <c r="P997" s="117"/>
      <c r="Q997" s="117"/>
      <c r="R997" s="117"/>
      <c r="S997" s="117"/>
      <c r="T997" s="117"/>
      <c r="U997" s="117"/>
      <c r="V997" s="117"/>
      <c r="W997" s="117"/>
      <c r="X997" s="117"/>
      <c r="Y997" s="117"/>
      <c r="Z997" s="117"/>
    </row>
    <row r="998" spans="1:26" s="119" customFormat="1" x14ac:dyDescent="0.2">
      <c r="A998" s="147"/>
      <c r="C998" s="117"/>
      <c r="D998" s="117"/>
      <c r="E998" s="117"/>
      <c r="F998" s="117"/>
      <c r="G998" s="117"/>
      <c r="H998" s="117"/>
      <c r="I998" s="117"/>
      <c r="J998" s="117"/>
      <c r="K998" s="117"/>
      <c r="L998" s="117"/>
      <c r="M998" s="117"/>
      <c r="N998" s="117"/>
      <c r="O998" s="117"/>
      <c r="P998" s="117"/>
      <c r="Q998" s="117"/>
      <c r="R998" s="117"/>
      <c r="S998" s="117"/>
      <c r="T998" s="117"/>
      <c r="U998" s="117"/>
      <c r="V998" s="117"/>
      <c r="W998" s="117"/>
      <c r="X998" s="117"/>
      <c r="Y998" s="117"/>
      <c r="Z998" s="117"/>
    </row>
    <row r="999" spans="1:26" x14ac:dyDescent="0.2">
      <c r="A999" s="38" t="s">
        <v>447</v>
      </c>
      <c r="C999" s="59"/>
      <c r="D999" s="59"/>
      <c r="E999" s="59"/>
      <c r="F999" s="59"/>
      <c r="G999" s="59"/>
      <c r="H999" s="59"/>
      <c r="I999" s="59"/>
      <c r="J999" s="59"/>
      <c r="K999" s="59"/>
      <c r="L999" s="59"/>
      <c r="M999" s="59"/>
      <c r="N999" s="59"/>
      <c r="O999" s="59"/>
      <c r="P999" s="59"/>
      <c r="Q999" s="59"/>
      <c r="R999" s="59"/>
      <c r="S999" s="59"/>
      <c r="T999" s="59"/>
      <c r="U999" s="59"/>
      <c r="V999" s="59"/>
      <c r="W999" s="59"/>
      <c r="X999" s="59"/>
      <c r="Y999" s="59"/>
      <c r="Z999" s="59"/>
    </row>
    <row r="1000" spans="1:26" s="20" customFormat="1" x14ac:dyDescent="0.2">
      <c r="A1000" s="109" t="s">
        <v>301</v>
      </c>
      <c r="C1000" s="110"/>
      <c r="D1000" s="110"/>
      <c r="E1000" s="110"/>
      <c r="F1000" s="110"/>
      <c r="G1000" s="110"/>
      <c r="H1000" s="110"/>
      <c r="I1000" s="110"/>
      <c r="J1000" s="110"/>
      <c r="K1000" s="110"/>
      <c r="L1000" s="110"/>
      <c r="M1000" s="110"/>
      <c r="N1000" s="110"/>
      <c r="O1000" s="110"/>
      <c r="P1000" s="110"/>
      <c r="Q1000" s="110"/>
      <c r="R1000" s="110"/>
      <c r="S1000" s="110"/>
      <c r="T1000" s="110"/>
      <c r="U1000" s="110"/>
      <c r="V1000" s="110"/>
      <c r="W1000" s="110"/>
      <c r="X1000" s="110"/>
      <c r="Y1000" s="110"/>
      <c r="Z1000" s="110"/>
    </row>
    <row r="1001" spans="1:26" s="20" customFormat="1" x14ac:dyDescent="0.2">
      <c r="A1001" s="109" t="s">
        <v>311</v>
      </c>
      <c r="B1001" s="20" t="s">
        <v>312</v>
      </c>
      <c r="C1001" s="26"/>
      <c r="D1001" s="26"/>
      <c r="E1001" s="26"/>
      <c r="F1001" s="26"/>
      <c r="G1001" s="26"/>
      <c r="H1001" s="26"/>
      <c r="I1001" s="26"/>
      <c r="J1001" s="26"/>
      <c r="K1001" s="26"/>
      <c r="L1001" s="26"/>
      <c r="M1001" s="26"/>
      <c r="N1001" s="26"/>
      <c r="O1001" s="26"/>
      <c r="P1001" s="26"/>
      <c r="Q1001" s="26"/>
      <c r="R1001" s="26"/>
      <c r="S1001" s="26"/>
      <c r="T1001" s="26"/>
      <c r="U1001" s="26"/>
      <c r="V1001" s="26"/>
      <c r="W1001" s="26"/>
      <c r="X1001" s="26"/>
      <c r="Y1001" s="26"/>
      <c r="Z1001" s="26"/>
    </row>
    <row r="1002" spans="1:26" s="20" customFormat="1" x14ac:dyDescent="0.2">
      <c r="A1002" s="109" t="s">
        <v>324</v>
      </c>
      <c r="B1002" s="20" t="s">
        <v>313</v>
      </c>
      <c r="C1002" s="26"/>
      <c r="D1002" s="26"/>
      <c r="E1002" s="26"/>
      <c r="F1002" s="26"/>
      <c r="G1002" s="26"/>
      <c r="H1002" s="26"/>
      <c r="I1002" s="26"/>
      <c r="J1002" s="26"/>
      <c r="K1002" s="26"/>
      <c r="L1002" s="26"/>
      <c r="M1002" s="26"/>
      <c r="N1002" s="26"/>
      <c r="O1002" s="26"/>
      <c r="P1002" s="26"/>
      <c r="Q1002" s="26"/>
      <c r="R1002" s="26"/>
      <c r="S1002" s="26"/>
      <c r="T1002" s="26"/>
      <c r="U1002" s="26"/>
      <c r="V1002" s="26"/>
      <c r="W1002" s="26"/>
      <c r="X1002" s="26"/>
      <c r="Y1002" s="26"/>
      <c r="Z1002" s="26"/>
    </row>
    <row r="1003" spans="1:26" s="20" customFormat="1" x14ac:dyDescent="0.2">
      <c r="A1003" s="109" t="s">
        <v>331</v>
      </c>
      <c r="C1003" s="26"/>
      <c r="D1003" s="26"/>
      <c r="E1003" s="26"/>
      <c r="F1003" s="26"/>
      <c r="G1003" s="26"/>
      <c r="H1003" s="26"/>
      <c r="I1003" s="26"/>
      <c r="J1003" s="26"/>
      <c r="K1003" s="26"/>
      <c r="L1003" s="26"/>
      <c r="M1003" s="26"/>
      <c r="N1003" s="26"/>
      <c r="O1003" s="26"/>
      <c r="P1003" s="26"/>
      <c r="Q1003" s="26"/>
      <c r="R1003" s="26"/>
      <c r="S1003" s="26"/>
      <c r="T1003" s="26"/>
      <c r="U1003" s="26"/>
      <c r="V1003" s="26"/>
      <c r="W1003" s="26"/>
      <c r="X1003" s="26"/>
      <c r="Y1003" s="26"/>
      <c r="Z1003" s="26"/>
    </row>
    <row r="1004" spans="1:26" s="20" customFormat="1" x14ac:dyDescent="0.2">
      <c r="A1004" s="109" t="s">
        <v>332</v>
      </c>
      <c r="C1004" s="26"/>
      <c r="D1004" s="26"/>
      <c r="E1004" s="26"/>
      <c r="F1004" s="26"/>
      <c r="G1004" s="26"/>
      <c r="H1004" s="26"/>
      <c r="I1004" s="26"/>
      <c r="J1004" s="26"/>
      <c r="K1004" s="26"/>
      <c r="L1004" s="26"/>
      <c r="M1004" s="26"/>
      <c r="N1004" s="26"/>
      <c r="O1004" s="26"/>
      <c r="P1004" s="26"/>
      <c r="Q1004" s="26"/>
      <c r="R1004" s="26"/>
      <c r="S1004" s="26"/>
      <c r="T1004" s="26"/>
      <c r="U1004" s="26"/>
      <c r="V1004" s="26"/>
      <c r="W1004" s="26"/>
      <c r="X1004" s="26"/>
      <c r="Y1004" s="26"/>
      <c r="Z1004" s="26"/>
    </row>
    <row r="1005" spans="1:26" s="20" customFormat="1" x14ac:dyDescent="0.2">
      <c r="A1005" s="109" t="s">
        <v>654</v>
      </c>
      <c r="C1005" s="26"/>
      <c r="D1005" s="26"/>
      <c r="E1005" s="26"/>
      <c r="F1005" s="26"/>
      <c r="G1005" s="26"/>
      <c r="H1005" s="26"/>
      <c r="I1005" s="26"/>
      <c r="J1005" s="26"/>
      <c r="K1005" s="26"/>
      <c r="L1005" s="26"/>
      <c r="M1005" s="26"/>
      <c r="N1005" s="26"/>
      <c r="O1005" s="26">
        <v>833.33333333333337</v>
      </c>
      <c r="P1005" s="26">
        <v>833.33333333333337</v>
      </c>
      <c r="Q1005" s="26">
        <v>833.33333333333337</v>
      </c>
      <c r="R1005" s="26">
        <v>833.33333333333337</v>
      </c>
      <c r="S1005" s="26">
        <v>833.33333333333337</v>
      </c>
      <c r="T1005" s="26">
        <v>833.33333333333337</v>
      </c>
      <c r="U1005" s="26">
        <v>833.33333333333337</v>
      </c>
      <c r="V1005" s="26">
        <v>833.33333333333337</v>
      </c>
      <c r="W1005" s="26">
        <v>833.33333333333337</v>
      </c>
      <c r="X1005" s="26">
        <v>833.33333333333337</v>
      </c>
      <c r="Y1005" s="26">
        <v>833.33333333333337</v>
      </c>
      <c r="Z1005" s="26">
        <v>833.33333333333337</v>
      </c>
    </row>
    <row r="1006" spans="1:26" s="20" customFormat="1" x14ac:dyDescent="0.2">
      <c r="A1006" s="109" t="s">
        <v>414</v>
      </c>
      <c r="C1006" s="26"/>
      <c r="D1006" s="26"/>
      <c r="E1006" s="26"/>
      <c r="F1006" s="26"/>
      <c r="G1006" s="26"/>
      <c r="H1006" s="26"/>
      <c r="I1006" s="26"/>
      <c r="J1006" s="26"/>
      <c r="K1006" s="26"/>
      <c r="L1006" s="26"/>
      <c r="M1006" s="26"/>
      <c r="N1006" s="26"/>
      <c r="O1006" s="26"/>
      <c r="P1006" s="26"/>
      <c r="Q1006" s="26"/>
      <c r="R1006" s="26"/>
      <c r="S1006" s="26"/>
      <c r="T1006" s="26"/>
      <c r="U1006" s="26"/>
      <c r="V1006" s="26"/>
      <c r="W1006" s="26"/>
      <c r="X1006" s="26"/>
      <c r="Y1006" s="26"/>
      <c r="Z1006" s="26"/>
    </row>
    <row r="1007" spans="1:26" s="20" customFormat="1" x14ac:dyDescent="0.2">
      <c r="A1007" s="109" t="s">
        <v>381</v>
      </c>
      <c r="C1007" s="26"/>
      <c r="D1007" s="26"/>
      <c r="E1007" s="26"/>
      <c r="F1007" s="26"/>
      <c r="G1007" s="26"/>
      <c r="H1007" s="26"/>
      <c r="I1007" s="26"/>
      <c r="J1007" s="26"/>
      <c r="K1007" s="26"/>
      <c r="L1007" s="26"/>
      <c r="M1007" s="26"/>
      <c r="N1007" s="26"/>
      <c r="O1007" s="26"/>
      <c r="P1007" s="26"/>
      <c r="Q1007" s="26"/>
      <c r="R1007" s="26"/>
      <c r="S1007" s="26"/>
      <c r="T1007" s="26"/>
      <c r="U1007" s="26"/>
      <c r="V1007" s="26"/>
      <c r="W1007" s="26"/>
      <c r="X1007" s="26"/>
      <c r="Y1007" s="26"/>
      <c r="Z1007" s="26"/>
    </row>
    <row r="1008" spans="1:26" s="20" customFormat="1" x14ac:dyDescent="0.2">
      <c r="A1008" s="109" t="s">
        <v>380</v>
      </c>
      <c r="C1008" s="26"/>
      <c r="D1008" s="26"/>
      <c r="E1008" s="26"/>
      <c r="F1008" s="26"/>
      <c r="G1008" s="26"/>
      <c r="H1008" s="26"/>
      <c r="I1008" s="26"/>
      <c r="J1008" s="26"/>
      <c r="K1008" s="26"/>
      <c r="L1008" s="26"/>
      <c r="M1008" s="26"/>
      <c r="N1008" s="26"/>
      <c r="O1008" s="26"/>
      <c r="P1008" s="26"/>
      <c r="Q1008" s="26"/>
      <c r="R1008" s="26"/>
      <c r="S1008" s="26"/>
      <c r="T1008" s="26"/>
      <c r="U1008" s="26"/>
      <c r="V1008" s="26"/>
      <c r="W1008" s="26"/>
      <c r="X1008" s="26"/>
      <c r="Y1008" s="26"/>
      <c r="Z1008" s="26"/>
    </row>
    <row r="1009" spans="1:26" s="20" customFormat="1" x14ac:dyDescent="0.2">
      <c r="A1009" s="109" t="s">
        <v>388</v>
      </c>
      <c r="C1009" s="26"/>
      <c r="D1009" s="26"/>
      <c r="E1009" s="26"/>
      <c r="F1009" s="26"/>
      <c r="G1009" s="26"/>
      <c r="H1009" s="26"/>
      <c r="I1009" s="26"/>
      <c r="J1009" s="26"/>
      <c r="K1009" s="26"/>
      <c r="L1009" s="26"/>
      <c r="M1009" s="26"/>
      <c r="N1009" s="26"/>
      <c r="O1009" s="26"/>
      <c r="P1009" s="26"/>
      <c r="Q1009" s="26"/>
      <c r="R1009" s="26"/>
      <c r="S1009" s="26"/>
      <c r="T1009" s="26"/>
      <c r="U1009" s="26"/>
      <c r="V1009" s="26"/>
      <c r="W1009" s="26"/>
      <c r="X1009" s="26"/>
      <c r="Y1009" s="26"/>
      <c r="Z1009" s="26"/>
    </row>
    <row r="1010" spans="1:26" s="20" customFormat="1" x14ac:dyDescent="0.2">
      <c r="A1010" s="109" t="s">
        <v>583</v>
      </c>
      <c r="C1010" s="26"/>
      <c r="D1010" s="26"/>
      <c r="E1010" s="26"/>
      <c r="F1010" s="26"/>
      <c r="G1010" s="26"/>
      <c r="H1010" s="26"/>
      <c r="I1010" s="26"/>
      <c r="J1010" s="26"/>
      <c r="K1010" s="26"/>
      <c r="L1010" s="26"/>
      <c r="M1010" s="26"/>
      <c r="N1010" s="26"/>
      <c r="O1010" s="26"/>
      <c r="P1010" s="26"/>
      <c r="Q1010" s="26"/>
      <c r="R1010" s="26"/>
      <c r="S1010" s="26"/>
      <c r="T1010" s="26"/>
      <c r="U1010" s="26"/>
      <c r="V1010" s="26"/>
      <c r="W1010" s="26"/>
      <c r="X1010" s="26"/>
      <c r="Y1010" s="26"/>
      <c r="Z1010" s="26"/>
    </row>
    <row r="1011" spans="1:26" s="20" customFormat="1" x14ac:dyDescent="0.2">
      <c r="A1011" s="109" t="s">
        <v>596</v>
      </c>
      <c r="C1011" s="26">
        <v>833.33333333333337</v>
      </c>
      <c r="D1011" s="26">
        <v>833.33333333333337</v>
      </c>
      <c r="E1011" s="26">
        <v>833.33333333333337</v>
      </c>
      <c r="F1011" s="26">
        <v>833.33333333333337</v>
      </c>
      <c r="G1011" s="26">
        <v>833.33333333333337</v>
      </c>
      <c r="H1011" s="26">
        <v>833.33333333333337</v>
      </c>
      <c r="I1011" s="26">
        <v>833.33333333333337</v>
      </c>
      <c r="J1011" s="26">
        <v>833.33333333333337</v>
      </c>
      <c r="K1011" s="26">
        <v>833.33333333333337</v>
      </c>
      <c r="L1011" s="26">
        <v>833.33333333333337</v>
      </c>
      <c r="M1011" s="26">
        <v>833.33333333333337</v>
      </c>
      <c r="N1011" s="26">
        <v>833.33333333333337</v>
      </c>
      <c r="O1011" s="26"/>
      <c r="P1011" s="26"/>
      <c r="Q1011" s="26"/>
      <c r="R1011" s="26"/>
      <c r="S1011" s="26"/>
      <c r="T1011" s="26"/>
      <c r="U1011" s="26"/>
      <c r="V1011" s="26"/>
      <c r="W1011" s="26"/>
      <c r="X1011" s="26"/>
      <c r="Y1011" s="26"/>
      <c r="Z1011" s="26"/>
    </row>
    <row r="1012" spans="1:26" s="20" customFormat="1" x14ac:dyDescent="0.2">
      <c r="A1012" s="109" t="s">
        <v>395</v>
      </c>
      <c r="C1012" s="26"/>
      <c r="D1012" s="26"/>
      <c r="E1012" s="26"/>
      <c r="F1012" s="26"/>
      <c r="G1012" s="26"/>
      <c r="H1012" s="26"/>
      <c r="I1012" s="26"/>
      <c r="J1012" s="26"/>
      <c r="K1012" s="26"/>
      <c r="L1012" s="26"/>
      <c r="M1012" s="26"/>
      <c r="N1012" s="26"/>
      <c r="O1012" s="26"/>
      <c r="P1012" s="26"/>
      <c r="Q1012" s="26"/>
      <c r="R1012" s="26"/>
      <c r="S1012" s="26"/>
      <c r="T1012" s="26"/>
      <c r="U1012" s="26"/>
      <c r="V1012" s="26"/>
      <c r="W1012" s="26"/>
      <c r="X1012" s="26"/>
      <c r="Y1012" s="26"/>
      <c r="Z1012" s="26"/>
    </row>
    <row r="1013" spans="1:26" s="20" customFormat="1" x14ac:dyDescent="0.2">
      <c r="A1013" s="109" t="s">
        <v>418</v>
      </c>
      <c r="C1013" s="26"/>
      <c r="D1013" s="26"/>
      <c r="E1013" s="26"/>
      <c r="F1013" s="26"/>
      <c r="G1013" s="26"/>
      <c r="H1013" s="26"/>
      <c r="I1013" s="26"/>
      <c r="J1013" s="26"/>
      <c r="K1013" s="26"/>
      <c r="L1013" s="26"/>
      <c r="M1013" s="26"/>
      <c r="N1013" s="26"/>
      <c r="O1013" s="26"/>
      <c r="P1013" s="26"/>
      <c r="Q1013" s="26"/>
      <c r="R1013" s="26"/>
      <c r="S1013" s="26"/>
      <c r="T1013" s="26"/>
      <c r="U1013" s="26"/>
      <c r="V1013" s="26"/>
      <c r="W1013" s="26"/>
      <c r="X1013" s="26"/>
      <c r="Y1013" s="26"/>
      <c r="Z1013" s="26"/>
    </row>
    <row r="1014" spans="1:26" s="20" customFormat="1" x14ac:dyDescent="0.2">
      <c r="A1014" s="109" t="s">
        <v>419</v>
      </c>
      <c r="C1014" s="26"/>
      <c r="D1014" s="26"/>
      <c r="E1014" s="26"/>
      <c r="F1014" s="26"/>
      <c r="G1014" s="26"/>
      <c r="H1014" s="26"/>
      <c r="I1014" s="26"/>
      <c r="J1014" s="26"/>
      <c r="K1014" s="26"/>
      <c r="L1014" s="26"/>
      <c r="M1014" s="26"/>
      <c r="N1014" s="26"/>
      <c r="O1014" s="26"/>
      <c r="P1014" s="26"/>
      <c r="Q1014" s="26"/>
      <c r="R1014" s="26"/>
      <c r="S1014" s="26"/>
      <c r="T1014" s="26"/>
      <c r="U1014" s="26"/>
      <c r="V1014" s="26"/>
      <c r="W1014" s="26"/>
      <c r="X1014" s="26"/>
      <c r="Y1014" s="26"/>
      <c r="Z1014" s="26"/>
    </row>
    <row r="1015" spans="1:26" s="20" customFormat="1" x14ac:dyDescent="0.2">
      <c r="A1015" s="109" t="s">
        <v>419</v>
      </c>
      <c r="C1015" s="26"/>
      <c r="D1015" s="26"/>
      <c r="E1015" s="26"/>
      <c r="F1015" s="26"/>
      <c r="G1015" s="26"/>
      <c r="H1015" s="26"/>
      <c r="I1015" s="26"/>
      <c r="J1015" s="26"/>
      <c r="K1015" s="26"/>
      <c r="L1015" s="26"/>
      <c r="M1015" s="26"/>
      <c r="N1015" s="26"/>
      <c r="O1015" s="26"/>
      <c r="P1015" s="26"/>
      <c r="Q1015" s="26"/>
      <c r="R1015" s="26"/>
      <c r="S1015" s="26"/>
      <c r="T1015" s="26"/>
      <c r="U1015" s="26"/>
      <c r="V1015" s="26"/>
      <c r="W1015" s="26"/>
      <c r="X1015" s="26"/>
      <c r="Y1015" s="26"/>
      <c r="Z1015" s="26"/>
    </row>
    <row r="1016" spans="1:26" s="20" customFormat="1" x14ac:dyDescent="0.2">
      <c r="A1016" s="109" t="s">
        <v>566</v>
      </c>
      <c r="C1016" s="26"/>
      <c r="D1016" s="26"/>
      <c r="E1016" s="26"/>
      <c r="F1016" s="26"/>
      <c r="G1016" s="26"/>
      <c r="H1016" s="26"/>
      <c r="I1016" s="26"/>
      <c r="J1016" s="26"/>
      <c r="K1016" s="26"/>
      <c r="L1016" s="26"/>
      <c r="M1016" s="26"/>
      <c r="N1016" s="26"/>
      <c r="O1016" s="26"/>
      <c r="P1016" s="26"/>
      <c r="Q1016" s="26"/>
      <c r="R1016" s="26"/>
      <c r="S1016" s="26"/>
      <c r="T1016" s="26"/>
      <c r="U1016" s="26"/>
      <c r="V1016" s="26"/>
      <c r="W1016" s="26"/>
      <c r="X1016" s="26"/>
      <c r="Y1016" s="26"/>
      <c r="Z1016" s="26"/>
    </row>
    <row r="1017" spans="1:26" s="20" customFormat="1" x14ac:dyDescent="0.2">
      <c r="A1017" s="109" t="s">
        <v>539</v>
      </c>
      <c r="C1017" s="26"/>
      <c r="D1017" s="26"/>
      <c r="E1017" s="26"/>
      <c r="F1017" s="26"/>
      <c r="G1017" s="26"/>
      <c r="H1017" s="26"/>
      <c r="I1017" s="26"/>
      <c r="J1017" s="26"/>
      <c r="K1017" s="26"/>
      <c r="L1017" s="26"/>
      <c r="M1017" s="26"/>
      <c r="N1017" s="26"/>
      <c r="O1017" s="26"/>
      <c r="P1017" s="26"/>
      <c r="Q1017" s="26"/>
      <c r="R1017" s="26"/>
      <c r="S1017" s="26"/>
      <c r="T1017" s="26"/>
      <c r="U1017" s="26"/>
      <c r="V1017" s="26"/>
      <c r="W1017" s="26"/>
      <c r="X1017" s="26"/>
      <c r="Y1017" s="26"/>
      <c r="Z1017" s="26"/>
    </row>
    <row r="1018" spans="1:26" s="20" customFormat="1" x14ac:dyDescent="0.2">
      <c r="A1018" s="109" t="s">
        <v>409</v>
      </c>
      <c r="C1018" s="26"/>
      <c r="D1018" s="26"/>
      <c r="E1018" s="26"/>
      <c r="F1018" s="26"/>
      <c r="G1018" s="26"/>
      <c r="H1018" s="26"/>
      <c r="I1018" s="26"/>
      <c r="J1018" s="26"/>
      <c r="K1018" s="26"/>
      <c r="L1018" s="26"/>
      <c r="M1018" s="26"/>
      <c r="N1018" s="26"/>
      <c r="O1018" s="26"/>
      <c r="P1018" s="26"/>
      <c r="Q1018" s="26"/>
      <c r="R1018" s="26"/>
      <c r="S1018" s="26"/>
      <c r="T1018" s="26"/>
      <c r="U1018" s="26"/>
      <c r="V1018" s="26"/>
      <c r="W1018" s="26"/>
      <c r="X1018" s="26"/>
      <c r="Y1018" s="26"/>
      <c r="Z1018" s="26"/>
    </row>
    <row r="1019" spans="1:26" s="20" customFormat="1" x14ac:dyDescent="0.2">
      <c r="A1019" s="109" t="s">
        <v>644</v>
      </c>
      <c r="C1019" s="26">
        <v>2500</v>
      </c>
      <c r="D1019" s="26">
        <v>2500</v>
      </c>
      <c r="E1019" s="26">
        <v>2500</v>
      </c>
      <c r="F1019" s="26">
        <v>2500</v>
      </c>
      <c r="G1019" s="26">
        <v>2500</v>
      </c>
      <c r="H1019" s="26">
        <v>2500</v>
      </c>
      <c r="I1019" s="26">
        <v>2500</v>
      </c>
      <c r="J1019" s="26">
        <v>2500</v>
      </c>
      <c r="K1019" s="26">
        <v>2500</v>
      </c>
      <c r="L1019" s="26">
        <v>2500</v>
      </c>
      <c r="M1019" s="26">
        <v>2500</v>
      </c>
      <c r="N1019" s="26">
        <v>2500</v>
      </c>
      <c r="O1019" s="26"/>
      <c r="P1019" s="26"/>
      <c r="Q1019" s="26"/>
      <c r="R1019" s="26"/>
      <c r="S1019" s="26"/>
      <c r="T1019" s="26"/>
      <c r="U1019" s="26"/>
      <c r="V1019" s="26"/>
      <c r="W1019" s="26"/>
      <c r="X1019" s="26"/>
      <c r="Y1019" s="26"/>
      <c r="Z1019" s="26"/>
    </row>
    <row r="1020" spans="1:26" s="20" customFormat="1" x14ac:dyDescent="0.2">
      <c r="A1020" s="109" t="s">
        <v>629</v>
      </c>
      <c r="C1020" s="26">
        <v>416.66666666666669</v>
      </c>
      <c r="D1020" s="26">
        <v>416.66666666666669</v>
      </c>
      <c r="E1020" s="26">
        <v>416.66666666666669</v>
      </c>
      <c r="F1020" s="26">
        <v>416.66666666666669</v>
      </c>
      <c r="G1020" s="26">
        <v>416.66666666666669</v>
      </c>
      <c r="H1020" s="26">
        <v>416.66666666666669</v>
      </c>
      <c r="I1020" s="26">
        <v>416.66666666666669</v>
      </c>
      <c r="J1020" s="26">
        <v>416.66666666666669</v>
      </c>
      <c r="K1020" s="26">
        <v>416.66666666666669</v>
      </c>
      <c r="L1020" s="26">
        <v>416.66666666666669</v>
      </c>
      <c r="M1020" s="26">
        <v>416.66666666666669</v>
      </c>
      <c r="N1020" s="26">
        <v>416.66666666666669</v>
      </c>
      <c r="O1020" s="26">
        <v>833.33333333333337</v>
      </c>
      <c r="P1020" s="26">
        <v>833.33333333333337</v>
      </c>
      <c r="Q1020" s="26">
        <v>833.33333333333337</v>
      </c>
      <c r="R1020" s="26">
        <v>833.33333333333337</v>
      </c>
      <c r="S1020" s="26">
        <v>833.33333333333337</v>
      </c>
      <c r="T1020" s="26">
        <v>833.33333333333337</v>
      </c>
      <c r="U1020" s="26">
        <v>833.33333333333337</v>
      </c>
      <c r="V1020" s="26">
        <v>833.33333333333337</v>
      </c>
      <c r="W1020" s="26">
        <v>833.33333333333337</v>
      </c>
      <c r="X1020" s="26">
        <v>833.33333333333337</v>
      </c>
      <c r="Y1020" s="26">
        <v>833.33333333333337</v>
      </c>
      <c r="Z1020" s="26">
        <v>833.33333333333337</v>
      </c>
    </row>
    <row r="1021" spans="1:26" s="20" customFormat="1" x14ac:dyDescent="0.2">
      <c r="A1021" s="109" t="s">
        <v>602</v>
      </c>
      <c r="C1021" s="26"/>
      <c r="D1021" s="26"/>
      <c r="E1021" s="26"/>
      <c r="F1021" s="26"/>
      <c r="G1021" s="26"/>
      <c r="H1021" s="26"/>
      <c r="I1021" s="26"/>
      <c r="J1021" s="26"/>
      <c r="K1021" s="26"/>
      <c r="L1021" s="26"/>
      <c r="M1021" s="26"/>
      <c r="N1021" s="26"/>
      <c r="O1021" s="26"/>
      <c r="P1021" s="26"/>
      <c r="Q1021" s="26"/>
      <c r="R1021" s="26"/>
      <c r="S1021" s="26"/>
      <c r="T1021" s="26"/>
      <c r="U1021" s="26"/>
      <c r="V1021" s="26"/>
      <c r="W1021" s="26"/>
      <c r="X1021" s="26"/>
      <c r="Y1021" s="26"/>
      <c r="Z1021" s="26"/>
    </row>
    <row r="1022" spans="1:26" s="20" customFormat="1" x14ac:dyDescent="0.2">
      <c r="A1022" s="109" t="s">
        <v>379</v>
      </c>
      <c r="C1022" s="26"/>
      <c r="D1022" s="26"/>
      <c r="E1022" s="26"/>
      <c r="F1022" s="26"/>
      <c r="G1022" s="26"/>
      <c r="H1022" s="26"/>
      <c r="I1022" s="26"/>
      <c r="J1022" s="26"/>
      <c r="K1022" s="26"/>
      <c r="L1022" s="26"/>
      <c r="M1022" s="26"/>
      <c r="N1022" s="26"/>
      <c r="O1022" s="26"/>
      <c r="P1022" s="26"/>
      <c r="Q1022" s="26"/>
      <c r="R1022" s="26"/>
      <c r="S1022" s="26"/>
      <c r="T1022" s="26"/>
      <c r="U1022" s="26"/>
      <c r="V1022" s="26"/>
      <c r="W1022" s="26"/>
      <c r="X1022" s="26"/>
      <c r="Y1022" s="26"/>
      <c r="Z1022" s="26"/>
    </row>
    <row r="1023" spans="1:26" s="20" customFormat="1" x14ac:dyDescent="0.2">
      <c r="A1023" s="109" t="s">
        <v>326</v>
      </c>
      <c r="C1023" s="26"/>
      <c r="D1023" s="26"/>
      <c r="E1023" s="26"/>
      <c r="F1023" s="26"/>
      <c r="G1023" s="26"/>
      <c r="H1023" s="26"/>
      <c r="I1023" s="26"/>
      <c r="J1023" s="26"/>
      <c r="K1023" s="26"/>
      <c r="L1023" s="26"/>
      <c r="M1023" s="26"/>
      <c r="N1023" s="26"/>
      <c r="O1023" s="26"/>
      <c r="P1023" s="26"/>
      <c r="Q1023" s="26"/>
      <c r="R1023" s="26"/>
      <c r="S1023" s="26"/>
      <c r="T1023" s="26"/>
      <c r="U1023" s="26"/>
      <c r="V1023" s="26"/>
      <c r="W1023" s="26"/>
      <c r="X1023" s="26"/>
      <c r="Y1023" s="26"/>
      <c r="Z1023" s="26"/>
    </row>
    <row r="1024" spans="1:26" s="20" customFormat="1" x14ac:dyDescent="0.2">
      <c r="A1024" s="109" t="s">
        <v>487</v>
      </c>
      <c r="C1024" s="26"/>
      <c r="D1024" s="26"/>
      <c r="E1024" s="26"/>
      <c r="F1024" s="26"/>
      <c r="G1024" s="26"/>
      <c r="H1024" s="26"/>
      <c r="I1024" s="26"/>
      <c r="J1024" s="26"/>
      <c r="K1024" s="26"/>
      <c r="L1024" s="26"/>
      <c r="M1024" s="26"/>
      <c r="N1024" s="26"/>
      <c r="O1024" s="26"/>
      <c r="P1024" s="26"/>
      <c r="Q1024" s="26"/>
      <c r="R1024" s="26"/>
      <c r="S1024" s="26"/>
      <c r="T1024" s="26"/>
      <c r="U1024" s="26"/>
      <c r="V1024" s="26"/>
      <c r="W1024" s="26"/>
      <c r="X1024" s="26"/>
      <c r="Y1024" s="26"/>
      <c r="Z1024" s="26"/>
    </row>
    <row r="1025" spans="1:26" s="20" customFormat="1" x14ac:dyDescent="0.2">
      <c r="A1025" s="109" t="s">
        <v>488</v>
      </c>
      <c r="C1025" s="26"/>
      <c r="D1025" s="26"/>
      <c r="E1025" s="26"/>
      <c r="F1025" s="26"/>
      <c r="G1025" s="26"/>
      <c r="H1025" s="26"/>
      <c r="I1025" s="26"/>
      <c r="J1025" s="26"/>
      <c r="K1025" s="26"/>
      <c r="L1025" s="26"/>
      <c r="M1025" s="26"/>
      <c r="N1025" s="26"/>
      <c r="O1025" s="26"/>
      <c r="P1025" s="26"/>
      <c r="Q1025" s="26"/>
      <c r="R1025" s="26"/>
      <c r="S1025" s="26"/>
      <c r="T1025" s="26"/>
      <c r="U1025" s="26"/>
      <c r="V1025" s="26"/>
      <c r="W1025" s="26"/>
      <c r="X1025" s="26"/>
      <c r="Y1025" s="26"/>
      <c r="Z1025" s="26"/>
    </row>
    <row r="1026" spans="1:26" s="20" customFormat="1" x14ac:dyDescent="0.2">
      <c r="A1026" s="109" t="s">
        <v>550</v>
      </c>
      <c r="C1026" s="26"/>
      <c r="D1026" s="26"/>
      <c r="E1026" s="26"/>
      <c r="F1026" s="26"/>
      <c r="G1026" s="26"/>
      <c r="H1026" s="26"/>
      <c r="I1026" s="26"/>
      <c r="J1026" s="26"/>
      <c r="K1026" s="26"/>
      <c r="L1026" s="26"/>
      <c r="M1026" s="26"/>
      <c r="N1026" s="26"/>
      <c r="O1026" s="26"/>
      <c r="P1026" s="26"/>
      <c r="Q1026" s="26"/>
      <c r="R1026" s="26"/>
      <c r="S1026" s="26"/>
      <c r="T1026" s="26"/>
      <c r="U1026" s="26"/>
      <c r="V1026" s="26"/>
      <c r="W1026" s="26"/>
      <c r="X1026" s="26"/>
      <c r="Y1026" s="26"/>
      <c r="Z1026" s="26"/>
    </row>
    <row r="1027" spans="1:26" s="20" customFormat="1" x14ac:dyDescent="0.2">
      <c r="A1027" s="109" t="s">
        <v>595</v>
      </c>
      <c r="C1027" s="26">
        <v>416.66666666666669</v>
      </c>
      <c r="D1027" s="26">
        <v>416.66666666666669</v>
      </c>
      <c r="E1027" s="26">
        <v>416.66666666666669</v>
      </c>
      <c r="F1027" s="26">
        <v>416.66666666666669</v>
      </c>
      <c r="G1027" s="26">
        <v>416.66666666666669</v>
      </c>
      <c r="H1027" s="26">
        <v>416.66666666666669</v>
      </c>
      <c r="I1027" s="26">
        <v>416.66666666666669</v>
      </c>
      <c r="J1027" s="26">
        <v>416.66666666666669</v>
      </c>
      <c r="K1027" s="26">
        <v>416.66666666666669</v>
      </c>
      <c r="L1027" s="26">
        <v>416.66666666666669</v>
      </c>
      <c r="M1027" s="26">
        <v>416.66666666666669</v>
      </c>
      <c r="N1027" s="26">
        <v>416.66666666666669</v>
      </c>
      <c r="O1027" s="26"/>
      <c r="P1027" s="26"/>
      <c r="Q1027" s="26"/>
      <c r="R1027" s="26"/>
      <c r="S1027" s="26"/>
      <c r="T1027" s="26"/>
      <c r="U1027" s="26"/>
      <c r="V1027" s="26"/>
      <c r="W1027" s="26"/>
      <c r="X1027" s="26"/>
      <c r="Y1027" s="26"/>
      <c r="Z1027" s="26"/>
    </row>
    <row r="1028" spans="1:26" s="20" customFormat="1" x14ac:dyDescent="0.2">
      <c r="A1028" s="109" t="s">
        <v>604</v>
      </c>
      <c r="C1028" s="26">
        <v>416.66666666666669</v>
      </c>
      <c r="D1028" s="26">
        <v>416.66666666666669</v>
      </c>
      <c r="E1028" s="26">
        <v>416.66666666666669</v>
      </c>
      <c r="F1028" s="26">
        <v>416.66666666666669</v>
      </c>
      <c r="G1028" s="26">
        <v>416.66666666666669</v>
      </c>
      <c r="H1028" s="26">
        <v>416.66666666666669</v>
      </c>
      <c r="I1028" s="26">
        <v>416.66666666666669</v>
      </c>
      <c r="J1028" s="26">
        <v>416.66666666666669</v>
      </c>
      <c r="K1028" s="26">
        <v>416.66666666666669</v>
      </c>
      <c r="L1028" s="26">
        <v>416.66666666666669</v>
      </c>
      <c r="M1028" s="26">
        <v>416.66666666666669</v>
      </c>
      <c r="N1028" s="26">
        <v>416.66666666666669</v>
      </c>
      <c r="O1028" s="26"/>
      <c r="P1028" s="26"/>
      <c r="Q1028" s="26"/>
      <c r="R1028" s="26"/>
      <c r="S1028" s="26"/>
      <c r="T1028" s="26"/>
      <c r="U1028" s="26"/>
      <c r="V1028" s="26"/>
      <c r="W1028" s="26"/>
      <c r="X1028" s="26"/>
      <c r="Y1028" s="26"/>
      <c r="Z1028" s="26"/>
    </row>
    <row r="1029" spans="1:26" s="20" customFormat="1" x14ac:dyDescent="0.2">
      <c r="A1029" s="109" t="s">
        <v>648</v>
      </c>
      <c r="C1029" s="26">
        <v>1666.6666666666667</v>
      </c>
      <c r="D1029" s="26">
        <v>1666.6666666666667</v>
      </c>
      <c r="E1029" s="26">
        <v>1666.6666666666667</v>
      </c>
      <c r="F1029" s="26">
        <v>1666.6666666666667</v>
      </c>
      <c r="G1029" s="26">
        <v>1666.6666666666667</v>
      </c>
      <c r="H1029" s="26">
        <v>1666.6666666666667</v>
      </c>
      <c r="I1029" s="26">
        <v>1666.6666666666667</v>
      </c>
      <c r="J1029" s="26">
        <v>1666.6666666666667</v>
      </c>
      <c r="K1029" s="26">
        <v>1666.6666666666667</v>
      </c>
      <c r="L1029" s="26">
        <v>1666.6666666666667</v>
      </c>
      <c r="M1029" s="26">
        <v>1666.6666666666667</v>
      </c>
      <c r="N1029" s="26">
        <v>1666.6666666666667</v>
      </c>
      <c r="O1029" s="26">
        <f t="shared" ref="O1029:Z1029" si="529">20000/12</f>
        <v>1666.6666666666667</v>
      </c>
      <c r="P1029" s="26">
        <f t="shared" si="529"/>
        <v>1666.6666666666667</v>
      </c>
      <c r="Q1029" s="26">
        <f t="shared" si="529"/>
        <v>1666.6666666666667</v>
      </c>
      <c r="R1029" s="26">
        <f t="shared" si="529"/>
        <v>1666.6666666666667</v>
      </c>
      <c r="S1029" s="26">
        <f t="shared" si="529"/>
        <v>1666.6666666666667</v>
      </c>
      <c r="T1029" s="26">
        <f t="shared" si="529"/>
        <v>1666.6666666666667</v>
      </c>
      <c r="U1029" s="26">
        <f t="shared" si="529"/>
        <v>1666.6666666666667</v>
      </c>
      <c r="V1029" s="26">
        <f t="shared" si="529"/>
        <v>1666.6666666666667</v>
      </c>
      <c r="W1029" s="26">
        <f t="shared" si="529"/>
        <v>1666.6666666666667</v>
      </c>
      <c r="X1029" s="26">
        <f t="shared" si="529"/>
        <v>1666.6666666666667</v>
      </c>
      <c r="Y1029" s="26">
        <f t="shared" si="529"/>
        <v>1666.6666666666667</v>
      </c>
      <c r="Z1029" s="26">
        <f t="shared" si="529"/>
        <v>1666.6666666666667</v>
      </c>
    </row>
    <row r="1030" spans="1:26" s="20" customFormat="1" x14ac:dyDescent="0.2">
      <c r="A1030" s="109" t="s">
        <v>540</v>
      </c>
      <c r="C1030" s="26"/>
      <c r="D1030" s="26"/>
      <c r="E1030" s="26"/>
      <c r="F1030" s="26"/>
      <c r="G1030" s="26"/>
      <c r="H1030" s="26"/>
      <c r="I1030" s="26"/>
      <c r="J1030" s="26"/>
      <c r="K1030" s="26"/>
      <c r="L1030" s="26"/>
      <c r="M1030" s="26"/>
      <c r="N1030" s="26"/>
      <c r="O1030" s="26"/>
      <c r="P1030" s="26"/>
      <c r="Q1030" s="26"/>
      <c r="R1030" s="26"/>
      <c r="S1030" s="26"/>
      <c r="T1030" s="26"/>
      <c r="U1030" s="26"/>
      <c r="V1030" s="26"/>
      <c r="W1030" s="26"/>
      <c r="X1030" s="26"/>
      <c r="Y1030" s="26"/>
      <c r="Z1030" s="26"/>
    </row>
    <row r="1031" spans="1:26" s="20" customFormat="1" x14ac:dyDescent="0.2">
      <c r="A1031" s="109" t="s">
        <v>594</v>
      </c>
      <c r="C1031" s="26"/>
      <c r="D1031" s="26"/>
      <c r="E1031" s="26"/>
      <c r="F1031" s="26"/>
      <c r="G1031" s="26"/>
      <c r="H1031" s="26"/>
      <c r="I1031" s="26"/>
      <c r="J1031" s="26"/>
      <c r="K1031" s="26"/>
      <c r="L1031" s="26"/>
      <c r="M1031" s="26"/>
      <c r="N1031" s="26"/>
      <c r="O1031" s="26"/>
      <c r="P1031" s="26"/>
      <c r="Q1031" s="26"/>
      <c r="R1031" s="26"/>
      <c r="S1031" s="26"/>
      <c r="T1031" s="26"/>
      <c r="U1031" s="26"/>
      <c r="V1031" s="26"/>
      <c r="W1031" s="26"/>
      <c r="X1031" s="26"/>
      <c r="Y1031" s="26"/>
      <c r="Z1031" s="26"/>
    </row>
    <row r="1032" spans="1:26" s="20" customFormat="1" x14ac:dyDescent="0.2">
      <c r="A1032" s="109" t="s">
        <v>476</v>
      </c>
      <c r="C1032" s="117">
        <v>6250.0000000000009</v>
      </c>
      <c r="D1032" s="117">
        <v>6250.0000000000009</v>
      </c>
      <c r="E1032" s="117">
        <v>6250.0000000000009</v>
      </c>
      <c r="F1032" s="117">
        <v>6250.0000000000009</v>
      </c>
      <c r="G1032" s="117">
        <v>6250.0000000000009</v>
      </c>
      <c r="H1032" s="117">
        <v>6250.0000000000009</v>
      </c>
      <c r="I1032" s="117">
        <v>6250.0000000000009</v>
      </c>
      <c r="J1032" s="117">
        <v>6250.0000000000009</v>
      </c>
      <c r="K1032" s="117">
        <v>6250.0000000000009</v>
      </c>
      <c r="L1032" s="117">
        <v>6250.0000000000009</v>
      </c>
      <c r="M1032" s="117">
        <v>6250.0000000000009</v>
      </c>
      <c r="N1032" s="117">
        <v>6250.0000000000009</v>
      </c>
      <c r="O1032" s="117">
        <f t="shared" ref="O1032:Z1032" si="530">+SUM(O1001:O1029)</f>
        <v>3333.3333333333335</v>
      </c>
      <c r="P1032" s="117">
        <f t="shared" si="530"/>
        <v>3333.3333333333335</v>
      </c>
      <c r="Q1032" s="117">
        <f t="shared" si="530"/>
        <v>3333.3333333333335</v>
      </c>
      <c r="R1032" s="117">
        <f t="shared" si="530"/>
        <v>3333.3333333333335</v>
      </c>
      <c r="S1032" s="117">
        <f t="shared" si="530"/>
        <v>3333.3333333333335</v>
      </c>
      <c r="T1032" s="117">
        <f t="shared" si="530"/>
        <v>3333.3333333333335</v>
      </c>
      <c r="U1032" s="117">
        <f t="shared" si="530"/>
        <v>3333.3333333333335</v>
      </c>
      <c r="V1032" s="117">
        <f t="shared" si="530"/>
        <v>3333.3333333333335</v>
      </c>
      <c r="W1032" s="117">
        <f t="shared" si="530"/>
        <v>3333.3333333333335</v>
      </c>
      <c r="X1032" s="117">
        <f t="shared" si="530"/>
        <v>3333.3333333333335</v>
      </c>
      <c r="Y1032" s="117">
        <f t="shared" si="530"/>
        <v>3333.3333333333335</v>
      </c>
      <c r="Z1032" s="117">
        <f t="shared" si="530"/>
        <v>3333.3333333333335</v>
      </c>
    </row>
    <row r="1033" spans="1:26" s="20" customFormat="1" x14ac:dyDescent="0.2">
      <c r="A1033" s="109" t="s">
        <v>471</v>
      </c>
      <c r="C1033" s="178"/>
      <c r="D1033" s="178"/>
      <c r="E1033" s="178"/>
      <c r="F1033" s="178"/>
      <c r="G1033" s="178"/>
      <c r="H1033" s="178"/>
      <c r="I1033" s="178"/>
      <c r="J1033" s="178"/>
      <c r="K1033" s="178"/>
      <c r="L1033" s="178"/>
      <c r="M1033" s="178"/>
      <c r="N1033" s="117">
        <v>75000.000000000015</v>
      </c>
      <c r="O1033" s="178"/>
      <c r="P1033" s="178"/>
      <c r="Q1033" s="178"/>
      <c r="R1033" s="178"/>
      <c r="S1033" s="178"/>
      <c r="T1033" s="178"/>
      <c r="U1033" s="178"/>
      <c r="V1033" s="178"/>
      <c r="W1033" s="178"/>
      <c r="X1033" s="178"/>
      <c r="Y1033" s="178"/>
      <c r="Z1033" s="117">
        <f>+SUM(O1032:Z1032)</f>
        <v>40000</v>
      </c>
    </row>
    <row r="1034" spans="1:26" s="20" customFormat="1" x14ac:dyDescent="0.2">
      <c r="A1034" s="147" t="s">
        <v>475</v>
      </c>
      <c r="C1034" s="117">
        <v>0</v>
      </c>
      <c r="D1034" s="117">
        <v>0</v>
      </c>
      <c r="E1034" s="117">
        <v>0</v>
      </c>
      <c r="F1034" s="117">
        <v>0</v>
      </c>
      <c r="G1034" s="117">
        <v>0</v>
      </c>
      <c r="H1034" s="117">
        <v>0</v>
      </c>
      <c r="I1034" s="117">
        <v>0</v>
      </c>
      <c r="J1034" s="117">
        <v>0</v>
      </c>
      <c r="K1034" s="117">
        <v>0</v>
      </c>
      <c r="L1034" s="117">
        <v>0</v>
      </c>
      <c r="M1034" s="117">
        <v>0</v>
      </c>
      <c r="N1034" s="117">
        <v>0</v>
      </c>
      <c r="O1034" s="117">
        <f t="shared" ref="O1034:Z1034" si="531">+SUM(O1030:O1031)</f>
        <v>0</v>
      </c>
      <c r="P1034" s="117">
        <f t="shared" si="531"/>
        <v>0</v>
      </c>
      <c r="Q1034" s="117">
        <f t="shared" si="531"/>
        <v>0</v>
      </c>
      <c r="R1034" s="117">
        <f t="shared" si="531"/>
        <v>0</v>
      </c>
      <c r="S1034" s="117">
        <f t="shared" si="531"/>
        <v>0</v>
      </c>
      <c r="T1034" s="117">
        <f t="shared" si="531"/>
        <v>0</v>
      </c>
      <c r="U1034" s="117">
        <f t="shared" si="531"/>
        <v>0</v>
      </c>
      <c r="V1034" s="117">
        <f t="shared" si="531"/>
        <v>0</v>
      </c>
      <c r="W1034" s="117">
        <f t="shared" si="531"/>
        <v>0</v>
      </c>
      <c r="X1034" s="117">
        <f t="shared" si="531"/>
        <v>0</v>
      </c>
      <c r="Y1034" s="117">
        <f t="shared" si="531"/>
        <v>0</v>
      </c>
      <c r="Z1034" s="117">
        <f t="shared" si="531"/>
        <v>0</v>
      </c>
    </row>
    <row r="1035" spans="1:26" s="20" customFormat="1" x14ac:dyDescent="0.2">
      <c r="A1035" s="147" t="s">
        <v>472</v>
      </c>
      <c r="C1035" s="178"/>
      <c r="D1035" s="178"/>
      <c r="E1035" s="178"/>
      <c r="F1035" s="178"/>
      <c r="G1035" s="178"/>
      <c r="H1035" s="178"/>
      <c r="I1035" s="178"/>
      <c r="J1035" s="178"/>
      <c r="K1035" s="178"/>
      <c r="L1035" s="178"/>
      <c r="M1035" s="178"/>
      <c r="N1035" s="117">
        <v>0</v>
      </c>
      <c r="O1035" s="178"/>
      <c r="P1035" s="178"/>
      <c r="Q1035" s="178"/>
      <c r="R1035" s="178"/>
      <c r="S1035" s="178"/>
      <c r="T1035" s="178"/>
      <c r="U1035" s="178"/>
      <c r="V1035" s="178"/>
      <c r="W1035" s="178"/>
      <c r="X1035" s="178"/>
      <c r="Y1035" s="178"/>
      <c r="Z1035" s="117">
        <f>+SUM(O1034:Z1034)</f>
        <v>0</v>
      </c>
    </row>
    <row r="1036" spans="1:26" s="20" customFormat="1" x14ac:dyDescent="0.2">
      <c r="A1036" s="109"/>
      <c r="C1036" s="117"/>
      <c r="D1036" s="117"/>
      <c r="E1036" s="117"/>
      <c r="F1036" s="117"/>
      <c r="G1036" s="117"/>
      <c r="H1036" s="117"/>
      <c r="I1036" s="117"/>
      <c r="J1036" s="117"/>
      <c r="K1036" s="117"/>
      <c r="L1036" s="117"/>
      <c r="M1036" s="117"/>
      <c r="N1036" s="117"/>
      <c r="O1036" s="117"/>
      <c r="P1036" s="117"/>
      <c r="Q1036" s="117"/>
      <c r="R1036" s="117"/>
      <c r="S1036" s="117"/>
      <c r="T1036" s="117"/>
      <c r="U1036" s="117"/>
      <c r="V1036" s="117"/>
      <c r="W1036" s="117"/>
      <c r="X1036" s="117"/>
      <c r="Y1036" s="117"/>
      <c r="Z1036" s="117"/>
    </row>
    <row r="1037" spans="1:26" s="20" customFormat="1" x14ac:dyDescent="0.2">
      <c r="A1037" s="109" t="s">
        <v>474</v>
      </c>
      <c r="C1037" s="117">
        <v>-2445.4038299065955</v>
      </c>
      <c r="D1037" s="117">
        <v>1813.2916266816874</v>
      </c>
      <c r="E1037" s="117">
        <v>2964.2806194449759</v>
      </c>
      <c r="F1037" s="117">
        <v>1996.0567931278338</v>
      </c>
      <c r="G1037" s="117">
        <v>-503.42076383696349</v>
      </c>
      <c r="H1037" s="117">
        <v>-2248.0264632600947</v>
      </c>
      <c r="I1037" s="117">
        <v>-1294.103087260758</v>
      </c>
      <c r="J1037" s="117">
        <v>-2093.7015245456914</v>
      </c>
      <c r="K1037" s="117">
        <v>-1020.3354472461215</v>
      </c>
      <c r="L1037" s="117">
        <v>810.2035373823901</v>
      </c>
      <c r="M1037" s="117">
        <v>2245.1699513893791</v>
      </c>
      <c r="N1037" s="117">
        <v>2679.848098121628</v>
      </c>
      <c r="O1037" s="117">
        <f t="shared" ref="O1037:Z1037" si="532">+O989-O1032</f>
        <v>3196.7856666666662</v>
      </c>
      <c r="P1037" s="117">
        <f t="shared" si="532"/>
        <v>3520.0326666666665</v>
      </c>
      <c r="Q1037" s="117">
        <f t="shared" si="532"/>
        <v>5876.653666666667</v>
      </c>
      <c r="R1037" s="117">
        <f t="shared" si="532"/>
        <v>4084.5846666666662</v>
      </c>
      <c r="S1037" s="117">
        <f t="shared" si="532"/>
        <v>1305.8606666666669</v>
      </c>
      <c r="T1037" s="117">
        <f t="shared" si="532"/>
        <v>1973.5876666666668</v>
      </c>
      <c r="U1037" s="117">
        <f t="shared" si="532"/>
        <v>-358.93458333333319</v>
      </c>
      <c r="V1037" s="117">
        <f t="shared" si="532"/>
        <v>1798.2766666666671</v>
      </c>
      <c r="W1037" s="117">
        <f t="shared" si="532"/>
        <v>-617.86033333333353</v>
      </c>
      <c r="X1037" s="117">
        <f t="shared" si="532"/>
        <v>2669.0126666666661</v>
      </c>
      <c r="Y1037" s="117">
        <f t="shared" si="532"/>
        <v>3901.6716666666666</v>
      </c>
      <c r="Z1037" s="117">
        <f t="shared" si="532"/>
        <v>2335.8156666666669</v>
      </c>
    </row>
    <row r="1038" spans="1:26" s="20" customFormat="1" x14ac:dyDescent="0.2">
      <c r="A1038" s="109" t="s">
        <v>473</v>
      </c>
      <c r="C1038" s="178"/>
      <c r="D1038" s="178"/>
      <c r="E1038" s="178"/>
      <c r="F1038" s="178"/>
      <c r="G1038" s="178"/>
      <c r="H1038" s="178"/>
      <c r="I1038" s="178"/>
      <c r="J1038" s="178"/>
      <c r="K1038" s="178"/>
      <c r="L1038" s="178"/>
      <c r="M1038" s="178"/>
      <c r="N1038" s="117">
        <v>2903.85951009167</v>
      </c>
      <c r="O1038" s="178"/>
      <c r="P1038" s="178"/>
      <c r="Q1038" s="178"/>
      <c r="R1038" s="178"/>
      <c r="S1038" s="178"/>
      <c r="T1038" s="178"/>
      <c r="U1038" s="178"/>
      <c r="V1038" s="178"/>
      <c r="W1038" s="178"/>
      <c r="X1038" s="178"/>
      <c r="Y1038" s="178"/>
      <c r="Z1038" s="117">
        <f>+SUM(O1037:Z1037)</f>
        <v>29685.48675</v>
      </c>
    </row>
    <row r="1039" spans="1:26" s="20" customFormat="1" x14ac:dyDescent="0.2">
      <c r="A1039" s="109" t="s">
        <v>477</v>
      </c>
      <c r="C1039" s="117">
        <v>1196.5401202163987</v>
      </c>
      <c r="D1039" s="117">
        <v>1082.7438224310849</v>
      </c>
      <c r="E1039" s="117">
        <v>1237.2024282323985</v>
      </c>
      <c r="F1039" s="117">
        <v>1184.6714861029666</v>
      </c>
      <c r="G1039" s="117">
        <v>1179.9468197687968</v>
      </c>
      <c r="H1039" s="117">
        <v>1070.522243997427</v>
      </c>
      <c r="I1039" s="117">
        <v>1211.4835392106272</v>
      </c>
      <c r="J1039" s="117">
        <v>1201.0275823568561</v>
      </c>
      <c r="K1039" s="117">
        <v>848.77337692577112</v>
      </c>
      <c r="L1039" s="117">
        <v>833.11508655239845</v>
      </c>
      <c r="M1039" s="117">
        <v>914.81613333102564</v>
      </c>
      <c r="N1039" s="117"/>
      <c r="O1039" s="117">
        <f t="shared" ref="O1039:Y1039" si="533">+O990-O1034</f>
        <v>770.02922456119575</v>
      </c>
      <c r="P1039" s="117">
        <f t="shared" si="533"/>
        <v>1094.9963947452002</v>
      </c>
      <c r="Q1039" s="117">
        <f t="shared" si="533"/>
        <v>1208.7727786152002</v>
      </c>
      <c r="R1039" s="117">
        <f t="shared" si="533"/>
        <v>991.48611870720015</v>
      </c>
      <c r="S1039" s="117">
        <f t="shared" si="533"/>
        <v>1060.972813998</v>
      </c>
      <c r="T1039" s="117">
        <f t="shared" si="533"/>
        <v>1104.679092285</v>
      </c>
      <c r="U1039" s="117">
        <f t="shared" si="533"/>
        <v>1193.4308168856001</v>
      </c>
      <c r="V1039" s="117">
        <f t="shared" si="533"/>
        <v>1185.7950462527999</v>
      </c>
      <c r="W1039" s="117">
        <f t="shared" si="533"/>
        <v>776.50493178240004</v>
      </c>
      <c r="X1039" s="117">
        <f t="shared" si="533"/>
        <v>818.83314470159996</v>
      </c>
      <c r="Y1039" s="117">
        <f t="shared" si="533"/>
        <v>850.2171206508001</v>
      </c>
      <c r="Z1039" s="117"/>
    </row>
    <row r="1040" spans="1:26" s="20" customFormat="1" x14ac:dyDescent="0.2">
      <c r="A1040" s="109" t="s">
        <v>478</v>
      </c>
      <c r="C1040" s="178"/>
      <c r="D1040" s="178"/>
      <c r="E1040" s="178"/>
      <c r="F1040" s="178"/>
      <c r="G1040" s="178"/>
      <c r="H1040" s="178"/>
      <c r="I1040" s="178"/>
      <c r="J1040" s="178"/>
      <c r="K1040" s="178"/>
      <c r="L1040" s="178"/>
      <c r="M1040" s="178"/>
      <c r="N1040" s="117">
        <v>11960.842639125749</v>
      </c>
      <c r="O1040" s="178"/>
      <c r="P1040" s="178"/>
      <c r="Q1040" s="178"/>
      <c r="R1040" s="178"/>
      <c r="S1040" s="178"/>
      <c r="T1040" s="178"/>
      <c r="U1040" s="178"/>
      <c r="V1040" s="178"/>
      <c r="W1040" s="178"/>
      <c r="X1040" s="178"/>
      <c r="Y1040" s="178"/>
      <c r="Z1040" s="117">
        <f>+SUM(O1039:Z1039)</f>
        <v>11055.717483184999</v>
      </c>
    </row>
    <row r="1041" spans="1:26" s="20" customFormat="1" x14ac:dyDescent="0.2">
      <c r="A1041" s="109"/>
      <c r="C1041" s="178"/>
      <c r="D1041" s="178"/>
      <c r="E1041" s="178"/>
      <c r="F1041" s="178"/>
      <c r="G1041" s="178"/>
      <c r="H1041" s="178"/>
      <c r="I1041" s="178"/>
      <c r="J1041" s="178"/>
      <c r="K1041" s="178"/>
      <c r="L1041" s="178"/>
      <c r="M1041" s="178"/>
      <c r="N1041" s="178"/>
      <c r="O1041" s="178"/>
      <c r="P1041" s="178"/>
      <c r="Q1041" s="178"/>
      <c r="R1041" s="178"/>
      <c r="S1041" s="178"/>
      <c r="T1041" s="178"/>
      <c r="U1041" s="178"/>
      <c r="V1041" s="178"/>
      <c r="W1041" s="178"/>
      <c r="X1041" s="178"/>
      <c r="Y1041" s="178"/>
      <c r="Z1041" s="178"/>
    </row>
    <row r="1042" spans="1:26" s="20" customFormat="1" x14ac:dyDescent="0.2">
      <c r="A1042" s="109"/>
      <c r="C1042" s="178"/>
      <c r="D1042" s="178"/>
      <c r="E1042" s="178"/>
      <c r="F1042" s="178"/>
      <c r="G1042" s="178"/>
      <c r="H1042" s="178"/>
      <c r="I1042" s="178"/>
      <c r="J1042" s="178"/>
      <c r="K1042" s="178"/>
      <c r="L1042" s="178"/>
      <c r="M1042" s="178"/>
      <c r="N1042" s="178"/>
      <c r="O1042" s="178"/>
      <c r="P1042" s="178"/>
      <c r="Q1042" s="178"/>
      <c r="R1042" s="178"/>
      <c r="S1042" s="178"/>
      <c r="T1042" s="178"/>
      <c r="U1042" s="178"/>
      <c r="V1042" s="178"/>
      <c r="W1042" s="178"/>
      <c r="X1042" s="178"/>
      <c r="Y1042" s="178"/>
      <c r="Z1042" s="178"/>
    </row>
    <row r="1043" spans="1:26" s="20" customFormat="1" x14ac:dyDescent="0.2">
      <c r="A1043" s="109" t="s">
        <v>448</v>
      </c>
      <c r="C1043" s="117">
        <v>-2445.4038299065955</v>
      </c>
      <c r="D1043" s="117">
        <v>1813.2916266816874</v>
      </c>
      <c r="E1043" s="117">
        <v>2964.2806194449759</v>
      </c>
      <c r="F1043" s="117">
        <v>1996.0567931278338</v>
      </c>
      <c r="G1043" s="117">
        <v>-503.42076383696349</v>
      </c>
      <c r="H1043" s="117">
        <v>-2248.0264632600947</v>
      </c>
      <c r="I1043" s="117">
        <v>-1294.103087260758</v>
      </c>
      <c r="J1043" s="117">
        <v>-2093.7015245456914</v>
      </c>
      <c r="K1043" s="117">
        <v>-1020.3354472461215</v>
      </c>
      <c r="L1043" s="117">
        <v>810.2035373823901</v>
      </c>
      <c r="M1043" s="117">
        <v>2245.1699513893791</v>
      </c>
      <c r="N1043" s="117">
        <v>2679.848098121628</v>
      </c>
      <c r="O1043" s="117">
        <f t="shared" ref="O1043:Z1043" si="534">+O1037</f>
        <v>3196.7856666666662</v>
      </c>
      <c r="P1043" s="117">
        <f t="shared" si="534"/>
        <v>3520.0326666666665</v>
      </c>
      <c r="Q1043" s="117">
        <f t="shared" si="534"/>
        <v>5876.653666666667</v>
      </c>
      <c r="R1043" s="117">
        <f t="shared" si="534"/>
        <v>4084.5846666666662</v>
      </c>
      <c r="S1043" s="117">
        <f t="shared" si="534"/>
        <v>1305.8606666666669</v>
      </c>
      <c r="T1043" s="117">
        <f t="shared" si="534"/>
        <v>1973.5876666666668</v>
      </c>
      <c r="U1043" s="117">
        <f t="shared" si="534"/>
        <v>-358.93458333333319</v>
      </c>
      <c r="V1043" s="117">
        <f t="shared" si="534"/>
        <v>1798.2766666666671</v>
      </c>
      <c r="W1043" s="117">
        <f t="shared" si="534"/>
        <v>-617.86033333333353</v>
      </c>
      <c r="X1043" s="117">
        <f t="shared" si="534"/>
        <v>2669.0126666666661</v>
      </c>
      <c r="Y1043" s="117">
        <f t="shared" si="534"/>
        <v>3901.6716666666666</v>
      </c>
      <c r="Z1043" s="117">
        <f t="shared" si="534"/>
        <v>2335.8156666666669</v>
      </c>
    </row>
    <row r="1044" spans="1:26" s="20" customFormat="1" x14ac:dyDescent="0.2">
      <c r="A1044" s="109" t="s">
        <v>449</v>
      </c>
      <c r="C1044" s="117">
        <v>1196.5401202163987</v>
      </c>
      <c r="D1044" s="117">
        <v>1082.7438224310849</v>
      </c>
      <c r="E1044" s="117">
        <v>1237.2024282323985</v>
      </c>
      <c r="F1044" s="117">
        <v>1184.6714861029666</v>
      </c>
      <c r="G1044" s="117">
        <v>1179.9468197687968</v>
      </c>
      <c r="H1044" s="117">
        <v>1070.522243997427</v>
      </c>
      <c r="I1044" s="117">
        <v>1211.4835392106272</v>
      </c>
      <c r="J1044" s="117">
        <v>1201.0275823568561</v>
      </c>
      <c r="K1044" s="117">
        <v>848.77337692577112</v>
      </c>
      <c r="L1044" s="117">
        <v>833.11508655239845</v>
      </c>
      <c r="M1044" s="117">
        <v>914.81613333102564</v>
      </c>
      <c r="N1044" s="117">
        <v>0</v>
      </c>
      <c r="O1044" s="117">
        <f t="shared" ref="O1044:Z1044" si="535">+O1039</f>
        <v>770.02922456119575</v>
      </c>
      <c r="P1044" s="117">
        <f t="shared" si="535"/>
        <v>1094.9963947452002</v>
      </c>
      <c r="Q1044" s="117">
        <f t="shared" si="535"/>
        <v>1208.7727786152002</v>
      </c>
      <c r="R1044" s="117">
        <f t="shared" si="535"/>
        <v>991.48611870720015</v>
      </c>
      <c r="S1044" s="117">
        <f t="shared" si="535"/>
        <v>1060.972813998</v>
      </c>
      <c r="T1044" s="117">
        <f t="shared" si="535"/>
        <v>1104.679092285</v>
      </c>
      <c r="U1044" s="117">
        <f t="shared" si="535"/>
        <v>1193.4308168856001</v>
      </c>
      <c r="V1044" s="117">
        <f t="shared" si="535"/>
        <v>1185.7950462527999</v>
      </c>
      <c r="W1044" s="117">
        <f t="shared" si="535"/>
        <v>776.50493178240004</v>
      </c>
      <c r="X1044" s="117">
        <f t="shared" si="535"/>
        <v>818.83314470159996</v>
      </c>
      <c r="Y1044" s="117">
        <f t="shared" si="535"/>
        <v>850.2171206508001</v>
      </c>
      <c r="Z1044" s="117">
        <f t="shared" si="535"/>
        <v>0</v>
      </c>
    </row>
    <row r="1045" spans="1:26" s="20" customFormat="1" x14ac:dyDescent="0.2">
      <c r="A1045" s="109" t="s">
        <v>450</v>
      </c>
      <c r="C1045" s="178"/>
      <c r="D1045" s="178"/>
      <c r="E1045" s="178"/>
      <c r="F1045" s="178"/>
      <c r="G1045" s="178"/>
      <c r="H1045" s="178"/>
      <c r="I1045" s="178"/>
      <c r="J1045" s="178"/>
      <c r="K1045" s="178"/>
      <c r="L1045" s="178"/>
      <c r="M1045" s="178"/>
      <c r="N1045" s="117">
        <v>2903.85951009167</v>
      </c>
      <c r="O1045" s="178"/>
      <c r="P1045" s="178"/>
      <c r="Q1045" s="178"/>
      <c r="R1045" s="178"/>
      <c r="S1045" s="178"/>
      <c r="T1045" s="178"/>
      <c r="U1045" s="178"/>
      <c r="V1045" s="178"/>
      <c r="W1045" s="178"/>
      <c r="X1045" s="178"/>
      <c r="Y1045" s="178"/>
      <c r="Z1045" s="117">
        <f>+SUM(O1043:Z1043)</f>
        <v>29685.48675</v>
      </c>
    </row>
    <row r="1046" spans="1:26" s="20" customFormat="1" x14ac:dyDescent="0.2">
      <c r="A1046" s="109" t="s">
        <v>451</v>
      </c>
      <c r="C1046" s="178"/>
      <c r="D1046" s="178"/>
      <c r="E1046" s="178"/>
      <c r="F1046" s="178"/>
      <c r="G1046" s="178"/>
      <c r="H1046" s="178"/>
      <c r="I1046" s="178"/>
      <c r="J1046" s="178"/>
      <c r="K1046" s="178"/>
      <c r="L1046" s="178"/>
      <c r="M1046" s="178"/>
      <c r="N1046" s="117">
        <v>11960.842639125749</v>
      </c>
      <c r="O1046" s="178"/>
      <c r="P1046" s="178"/>
      <c r="Q1046" s="178"/>
      <c r="R1046" s="178"/>
      <c r="S1046" s="178"/>
      <c r="T1046" s="178"/>
      <c r="U1046" s="178"/>
      <c r="V1046" s="178"/>
      <c r="W1046" s="178"/>
      <c r="X1046" s="178"/>
      <c r="Y1046" s="178"/>
      <c r="Z1046" s="117">
        <f>+SUM(O1044:Z1044)</f>
        <v>11055.717483184999</v>
      </c>
    </row>
    <row r="1047" spans="1:26" s="20" customFormat="1" x14ac:dyDescent="0.2">
      <c r="A1047" s="109"/>
      <c r="C1047" s="178"/>
      <c r="D1047" s="178"/>
      <c r="E1047" s="178"/>
      <c r="F1047" s="178"/>
      <c r="G1047" s="178"/>
      <c r="H1047" s="178"/>
      <c r="I1047" s="178"/>
      <c r="J1047" s="178"/>
      <c r="K1047" s="178"/>
      <c r="L1047" s="178"/>
      <c r="M1047" s="178"/>
      <c r="N1047" s="178"/>
      <c r="O1047" s="178"/>
      <c r="P1047" s="178"/>
      <c r="Q1047" s="178"/>
      <c r="R1047" s="178"/>
      <c r="S1047" s="178"/>
      <c r="T1047" s="178"/>
      <c r="U1047" s="178"/>
      <c r="V1047" s="178"/>
      <c r="W1047" s="178"/>
      <c r="X1047" s="178"/>
      <c r="Y1047" s="178"/>
      <c r="Z1047" s="178"/>
    </row>
    <row r="1048" spans="1:26" s="20" customFormat="1" x14ac:dyDescent="0.2">
      <c r="A1048" s="109" t="s">
        <v>484</v>
      </c>
      <c r="C1048" s="117">
        <v>0</v>
      </c>
      <c r="D1048" s="117">
        <v>0</v>
      </c>
      <c r="E1048" s="117">
        <v>0</v>
      </c>
      <c r="F1048" s="117">
        <v>0</v>
      </c>
      <c r="G1048" s="117">
        <v>0</v>
      </c>
      <c r="H1048" s="117">
        <v>0</v>
      </c>
      <c r="I1048" s="117">
        <v>0</v>
      </c>
      <c r="J1048" s="117">
        <v>0</v>
      </c>
      <c r="K1048" s="117">
        <v>0</v>
      </c>
      <c r="L1048" s="117">
        <v>0</v>
      </c>
      <c r="M1048" s="117">
        <v>0</v>
      </c>
      <c r="N1048" s="117">
        <v>0</v>
      </c>
      <c r="O1048" s="117">
        <f t="shared" ref="O1048:Z1048" si="536">+O989-O1032-O1043</f>
        <v>0</v>
      </c>
      <c r="P1048" s="117">
        <f t="shared" si="536"/>
        <v>0</v>
      </c>
      <c r="Q1048" s="117">
        <f t="shared" si="536"/>
        <v>0</v>
      </c>
      <c r="R1048" s="117">
        <f t="shared" si="536"/>
        <v>0</v>
      </c>
      <c r="S1048" s="117">
        <f t="shared" si="536"/>
        <v>0</v>
      </c>
      <c r="T1048" s="117">
        <f t="shared" si="536"/>
        <v>0</v>
      </c>
      <c r="U1048" s="117">
        <f t="shared" si="536"/>
        <v>0</v>
      </c>
      <c r="V1048" s="117">
        <f t="shared" si="536"/>
        <v>0</v>
      </c>
      <c r="W1048" s="117">
        <f t="shared" si="536"/>
        <v>0</v>
      </c>
      <c r="X1048" s="117">
        <f t="shared" si="536"/>
        <v>0</v>
      </c>
      <c r="Y1048" s="117">
        <f t="shared" si="536"/>
        <v>0</v>
      </c>
      <c r="Z1048" s="117">
        <f t="shared" si="536"/>
        <v>0</v>
      </c>
    </row>
    <row r="1049" spans="1:26" s="20" customFormat="1" x14ac:dyDescent="0.2">
      <c r="A1049" s="109" t="s">
        <v>483</v>
      </c>
      <c r="C1049" s="178"/>
      <c r="D1049" s="178"/>
      <c r="E1049" s="178"/>
      <c r="F1049" s="178"/>
      <c r="G1049" s="178"/>
      <c r="H1049" s="178"/>
      <c r="I1049" s="178"/>
      <c r="J1049" s="178"/>
      <c r="K1049" s="178"/>
      <c r="L1049" s="178"/>
      <c r="M1049" s="178"/>
      <c r="N1049" s="117">
        <v>0</v>
      </c>
      <c r="O1049" s="178"/>
      <c r="P1049" s="178"/>
      <c r="Q1049" s="178"/>
      <c r="R1049" s="178"/>
      <c r="S1049" s="178"/>
      <c r="T1049" s="178"/>
      <c r="U1049" s="178"/>
      <c r="V1049" s="178"/>
      <c r="W1049" s="178"/>
      <c r="X1049" s="178"/>
      <c r="Y1049" s="178"/>
      <c r="Z1049" s="117">
        <f>+SUM(O1048:Z1048)</f>
        <v>0</v>
      </c>
    </row>
    <row r="1050" spans="1:26" s="20" customFormat="1" x14ac:dyDescent="0.2">
      <c r="A1050" s="109" t="s">
        <v>485</v>
      </c>
      <c r="C1050" s="117">
        <v>0</v>
      </c>
      <c r="D1050" s="117">
        <v>0</v>
      </c>
      <c r="E1050" s="117">
        <v>0</v>
      </c>
      <c r="F1050" s="117">
        <v>0</v>
      </c>
      <c r="G1050" s="117">
        <v>0</v>
      </c>
      <c r="H1050" s="117">
        <v>0</v>
      </c>
      <c r="I1050" s="117">
        <v>0</v>
      </c>
      <c r="J1050" s="117">
        <v>0</v>
      </c>
      <c r="K1050" s="117">
        <v>0</v>
      </c>
      <c r="L1050" s="117">
        <v>0</v>
      </c>
      <c r="M1050" s="117">
        <v>0</v>
      </c>
      <c r="N1050" s="117">
        <v>1015.9752190861698</v>
      </c>
      <c r="O1050" s="117">
        <f t="shared" ref="O1050:Z1050" si="537">+O990-O1034-O1044</f>
        <v>0</v>
      </c>
      <c r="P1050" s="117">
        <f t="shared" si="537"/>
        <v>0</v>
      </c>
      <c r="Q1050" s="117">
        <f t="shared" si="537"/>
        <v>0</v>
      </c>
      <c r="R1050" s="117">
        <f t="shared" si="537"/>
        <v>0</v>
      </c>
      <c r="S1050" s="117">
        <f t="shared" si="537"/>
        <v>0</v>
      </c>
      <c r="T1050" s="117">
        <f t="shared" si="537"/>
        <v>0</v>
      </c>
      <c r="U1050" s="117">
        <f t="shared" si="537"/>
        <v>0</v>
      </c>
      <c r="V1050" s="117">
        <f t="shared" si="537"/>
        <v>0</v>
      </c>
      <c r="W1050" s="117">
        <f t="shared" si="537"/>
        <v>0</v>
      </c>
      <c r="X1050" s="117">
        <f t="shared" si="537"/>
        <v>0</v>
      </c>
      <c r="Y1050" s="117">
        <f t="shared" si="537"/>
        <v>0</v>
      </c>
      <c r="Z1050" s="117">
        <f t="shared" si="537"/>
        <v>963.88194455460007</v>
      </c>
    </row>
    <row r="1051" spans="1:26" s="20" customFormat="1" x14ac:dyDescent="0.2">
      <c r="A1051" s="109" t="s">
        <v>486</v>
      </c>
      <c r="C1051" s="178"/>
      <c r="D1051" s="178"/>
      <c r="E1051" s="178"/>
      <c r="F1051" s="178"/>
      <c r="G1051" s="178"/>
      <c r="H1051" s="178"/>
      <c r="I1051" s="178"/>
      <c r="J1051" s="178"/>
      <c r="K1051" s="178"/>
      <c r="L1051" s="178"/>
      <c r="M1051" s="178"/>
      <c r="N1051" s="117"/>
      <c r="O1051" s="178"/>
      <c r="P1051" s="178"/>
      <c r="Q1051" s="178"/>
      <c r="R1051" s="178"/>
      <c r="S1051" s="178"/>
      <c r="T1051" s="178"/>
      <c r="U1051" s="178"/>
      <c r="V1051" s="178"/>
      <c r="W1051" s="178"/>
      <c r="X1051" s="178"/>
      <c r="Y1051" s="178"/>
      <c r="Z1051" s="117"/>
    </row>
    <row r="1052" spans="1:26" s="20" customFormat="1" x14ac:dyDescent="0.2">
      <c r="A1052" s="109"/>
      <c r="C1052" s="178"/>
      <c r="D1052" s="178"/>
      <c r="E1052" s="178"/>
      <c r="F1052" s="178"/>
      <c r="G1052" s="178"/>
      <c r="H1052" s="178"/>
      <c r="I1052" s="178"/>
      <c r="J1052" s="178"/>
      <c r="K1052" s="178"/>
      <c r="L1052" s="178"/>
      <c r="M1052" s="178"/>
      <c r="N1052" s="178"/>
      <c r="O1052" s="178"/>
      <c r="P1052" s="178"/>
      <c r="Q1052" s="178"/>
      <c r="R1052" s="178"/>
      <c r="S1052" s="178"/>
      <c r="T1052" s="178"/>
      <c r="U1052" s="178"/>
      <c r="V1052" s="178"/>
      <c r="W1052" s="178"/>
      <c r="X1052" s="178"/>
      <c r="Y1052" s="178"/>
      <c r="Z1052" s="178"/>
    </row>
    <row r="1053" spans="1:26" s="20" customFormat="1" x14ac:dyDescent="0.2">
      <c r="A1053" s="109" t="s">
        <v>452</v>
      </c>
      <c r="C1053" s="164">
        <v>-2645.7880999999979</v>
      </c>
      <c r="D1053" s="164">
        <v>-2868.4056928571486</v>
      </c>
      <c r="E1053" s="164">
        <v>-2538.5183000000034</v>
      </c>
      <c r="F1053" s="164">
        <v>4923.5626000000011</v>
      </c>
      <c r="G1053" s="164">
        <v>4902.719350000003</v>
      </c>
      <c r="H1053" s="164">
        <v>545.14979999999537</v>
      </c>
      <c r="I1053" s="164">
        <v>7104.9596999999994</v>
      </c>
      <c r="J1053" s="164">
        <v>4354.041500000003</v>
      </c>
      <c r="K1053" s="164">
        <v>8862.2337499999958</v>
      </c>
      <c r="L1053" s="164">
        <v>9538.8159000000032</v>
      </c>
      <c r="M1053" s="164">
        <v>6400.3995000000023</v>
      </c>
      <c r="N1053" s="164">
        <v>5626.1023690861684</v>
      </c>
      <c r="O1053" s="164">
        <f t="shared" ref="O1053:Z1053" si="538">-(O948-O951)+O988+O989+O990-O1032-O1043-O1044-O1034</f>
        <v>-8981.0690000000031</v>
      </c>
      <c r="P1053" s="164">
        <f t="shared" si="538"/>
        <v>-6421.9907931034468</v>
      </c>
      <c r="Q1053" s="164">
        <f t="shared" si="538"/>
        <v>-7414.1179999999977</v>
      </c>
      <c r="R1053" s="164">
        <f t="shared" si="538"/>
        <v>-4771.2900000000009</v>
      </c>
      <c r="S1053" s="164">
        <f t="shared" si="538"/>
        <v>-1477.2700000000007</v>
      </c>
      <c r="T1053" s="164">
        <f t="shared" si="538"/>
        <v>-589.62800000000107</v>
      </c>
      <c r="U1053" s="164">
        <f t="shared" si="538"/>
        <v>-48.674000000002252</v>
      </c>
      <c r="V1053" s="164">
        <f t="shared" si="538"/>
        <v>2640.0239999999976</v>
      </c>
      <c r="W1053" s="164">
        <f t="shared" si="538"/>
        <v>-2032.7639999999992</v>
      </c>
      <c r="X1053" s="164">
        <f t="shared" si="538"/>
        <v>365.35400000000288</v>
      </c>
      <c r="Y1053" s="164">
        <f t="shared" si="538"/>
        <v>356.43400000000065</v>
      </c>
      <c r="Z1053" s="164">
        <f t="shared" si="538"/>
        <v>-9713.9910554454018</v>
      </c>
    </row>
    <row r="1054" spans="1:26" s="20" customFormat="1" x14ac:dyDescent="0.2">
      <c r="A1054" s="109" t="s">
        <v>557</v>
      </c>
      <c r="C1054" s="179"/>
      <c r="D1054" s="179"/>
      <c r="E1054" s="179"/>
      <c r="F1054" s="179"/>
      <c r="G1054" s="179"/>
      <c r="H1054" s="179"/>
      <c r="I1054" s="179"/>
      <c r="J1054" s="179"/>
      <c r="K1054" s="179"/>
      <c r="L1054" s="179"/>
      <c r="M1054" s="179"/>
      <c r="N1054" s="164">
        <v>44205.272376229019</v>
      </c>
      <c r="O1054" s="179"/>
      <c r="P1054" s="179"/>
      <c r="Q1054" s="179"/>
      <c r="R1054" s="179"/>
      <c r="S1054" s="179"/>
      <c r="T1054" s="179"/>
      <c r="U1054" s="179"/>
      <c r="V1054" s="179"/>
      <c r="W1054" s="179"/>
      <c r="X1054" s="179"/>
      <c r="Y1054" s="179"/>
      <c r="Z1054" s="164">
        <f>+SUM(O1053:Z1053)</f>
        <v>-38088.982848548854</v>
      </c>
    </row>
    <row r="1055" spans="1:26" s="20" customFormat="1" x14ac:dyDescent="0.2">
      <c r="A1055" s="109" t="s">
        <v>559</v>
      </c>
      <c r="C1055" s="179"/>
      <c r="D1055" s="179"/>
      <c r="E1055" s="179"/>
      <c r="F1055" s="179"/>
      <c r="G1055" s="179"/>
      <c r="H1055" s="179"/>
      <c r="I1055" s="179"/>
      <c r="J1055" s="179"/>
      <c r="K1055" s="179"/>
      <c r="L1055" s="179"/>
      <c r="M1055" s="179"/>
      <c r="N1055" s="164">
        <v>0</v>
      </c>
      <c r="O1055" s="179"/>
      <c r="P1055" s="179"/>
      <c r="Q1055" s="179"/>
      <c r="R1055" s="179"/>
      <c r="S1055" s="179"/>
      <c r="T1055" s="179"/>
      <c r="U1055" s="179"/>
      <c r="V1055" s="179"/>
      <c r="W1055" s="179"/>
      <c r="X1055" s="179"/>
      <c r="Y1055" s="179"/>
      <c r="Z1055" s="164">
        <f>+N1060</f>
        <v>0</v>
      </c>
    </row>
    <row r="1056" spans="1:26" s="20" customFormat="1" x14ac:dyDescent="0.2">
      <c r="A1056" s="109" t="s">
        <v>563</v>
      </c>
      <c r="C1056" s="179"/>
      <c r="D1056" s="179"/>
      <c r="E1056" s="179"/>
      <c r="F1056" s="179"/>
      <c r="G1056" s="179"/>
      <c r="H1056" s="179"/>
      <c r="I1056" s="179"/>
      <c r="J1056" s="179"/>
      <c r="K1056" s="179"/>
      <c r="L1056" s="179"/>
      <c r="M1056" s="179"/>
      <c r="N1056" s="204">
        <v>0</v>
      </c>
      <c r="O1056" s="179"/>
      <c r="P1056" s="179"/>
      <c r="Q1056" s="179"/>
      <c r="R1056" s="179"/>
      <c r="S1056" s="179"/>
      <c r="T1056" s="179"/>
      <c r="U1056" s="179"/>
      <c r="V1056" s="179"/>
      <c r="W1056" s="179"/>
      <c r="X1056" s="179"/>
      <c r="Y1056" s="179"/>
      <c r="Z1056" s="204">
        <f>IF(Z1054&gt;0,Z1054,0)</f>
        <v>0</v>
      </c>
    </row>
    <row r="1057" spans="1:26" s="20" customFormat="1" x14ac:dyDescent="0.2">
      <c r="A1057" s="109" t="s">
        <v>561</v>
      </c>
      <c r="C1057" s="179"/>
      <c r="D1057" s="179"/>
      <c r="E1057" s="179"/>
      <c r="F1057" s="179"/>
      <c r="G1057" s="179"/>
      <c r="H1057" s="179"/>
      <c r="I1057" s="179"/>
      <c r="J1057" s="179"/>
      <c r="K1057" s="179"/>
      <c r="L1057" s="179"/>
      <c r="M1057" s="179"/>
      <c r="N1057" s="164">
        <v>0</v>
      </c>
      <c r="O1057" s="179"/>
      <c r="P1057" s="179"/>
      <c r="Q1057" s="179"/>
      <c r="R1057" s="179"/>
      <c r="S1057" s="179"/>
      <c r="T1057" s="179"/>
      <c r="U1057" s="179"/>
      <c r="V1057" s="179"/>
      <c r="W1057" s="179"/>
      <c r="X1057" s="179"/>
      <c r="Y1057" s="179"/>
      <c r="Z1057" s="164">
        <f>IF(Z1054&lt;0, IF(Z1055&gt;-Z1054,-Z1054,Z1055), 0)</f>
        <v>0</v>
      </c>
    </row>
    <row r="1058" spans="1:26" s="20" customFormat="1" x14ac:dyDescent="0.2">
      <c r="A1058" s="109" t="s">
        <v>558</v>
      </c>
      <c r="C1058" s="179"/>
      <c r="D1058" s="179"/>
      <c r="E1058" s="179"/>
      <c r="F1058" s="179"/>
      <c r="G1058" s="179"/>
      <c r="H1058" s="179"/>
      <c r="I1058" s="179"/>
      <c r="J1058" s="179"/>
      <c r="K1058" s="179"/>
      <c r="L1058" s="179"/>
      <c r="M1058" s="179"/>
      <c r="N1058" s="164">
        <v>44205.272376229019</v>
      </c>
      <c r="O1058" s="179"/>
      <c r="P1058" s="179"/>
      <c r="Q1058" s="179"/>
      <c r="R1058" s="179"/>
      <c r="S1058" s="179"/>
      <c r="T1058" s="179"/>
      <c r="U1058" s="179"/>
      <c r="V1058" s="179"/>
      <c r="W1058" s="179"/>
      <c r="X1058" s="179"/>
      <c r="Y1058" s="179"/>
      <c r="Z1058" s="164">
        <f>+Z1054-Z1056+Z1057</f>
        <v>-38088.982848548854</v>
      </c>
    </row>
    <row r="1059" spans="1:26" s="20" customFormat="1" x14ac:dyDescent="0.2">
      <c r="A1059" s="109" t="s">
        <v>562</v>
      </c>
      <c r="C1059" s="179"/>
      <c r="D1059" s="179"/>
      <c r="E1059" s="179"/>
      <c r="F1059" s="179"/>
      <c r="G1059" s="179"/>
      <c r="H1059" s="179"/>
      <c r="I1059" s="179"/>
      <c r="J1059" s="179"/>
      <c r="K1059" s="179"/>
      <c r="L1059" s="179"/>
      <c r="M1059" s="179"/>
      <c r="N1059" s="204"/>
      <c r="O1059" s="179"/>
      <c r="P1059" s="179"/>
      <c r="Q1059" s="179"/>
      <c r="R1059" s="179"/>
      <c r="S1059" s="179"/>
      <c r="T1059" s="179"/>
      <c r="U1059" s="179"/>
      <c r="V1059" s="179"/>
      <c r="W1059" s="179"/>
      <c r="X1059" s="179"/>
      <c r="Y1059" s="179"/>
      <c r="Z1059" s="204"/>
    </row>
    <row r="1060" spans="1:26" s="20" customFormat="1" x14ac:dyDescent="0.2">
      <c r="A1060" s="109" t="s">
        <v>560</v>
      </c>
      <c r="C1060" s="179"/>
      <c r="D1060" s="179"/>
      <c r="E1060" s="179"/>
      <c r="F1060" s="179"/>
      <c r="G1060" s="179"/>
      <c r="H1060" s="179"/>
      <c r="I1060" s="179"/>
      <c r="J1060" s="179"/>
      <c r="K1060" s="179"/>
      <c r="L1060" s="179"/>
      <c r="M1060" s="179"/>
      <c r="N1060" s="164">
        <v>0</v>
      </c>
      <c r="O1060" s="179"/>
      <c r="P1060" s="179"/>
      <c r="Q1060" s="179"/>
      <c r="R1060" s="179"/>
      <c r="S1060" s="179"/>
      <c r="T1060" s="179"/>
      <c r="U1060" s="179"/>
      <c r="V1060" s="179"/>
      <c r="W1060" s="179"/>
      <c r="X1060" s="179"/>
      <c r="Y1060" s="179"/>
      <c r="Z1060" s="164">
        <f>+Z1055+Z1056-Z1057-Z1059</f>
        <v>0</v>
      </c>
    </row>
    <row r="1061" spans="1:26" s="20" customFormat="1" x14ac:dyDescent="0.2">
      <c r="A1061" s="109" t="s">
        <v>615</v>
      </c>
      <c r="C1061" s="178"/>
      <c r="D1061" s="178"/>
      <c r="E1061" s="178"/>
      <c r="F1061" s="178"/>
      <c r="G1061" s="178"/>
      <c r="H1061" s="178"/>
      <c r="I1061" s="178"/>
      <c r="J1061" s="178"/>
      <c r="K1061" s="178"/>
      <c r="L1061" s="178"/>
      <c r="M1061" s="178"/>
      <c r="N1061" s="178"/>
      <c r="O1061" s="178"/>
      <c r="P1061" s="178"/>
      <c r="Q1061" s="178"/>
      <c r="R1061" s="178"/>
      <c r="S1061" s="178"/>
      <c r="T1061" s="178"/>
      <c r="U1061" s="178"/>
      <c r="V1061" s="178"/>
      <c r="W1061" s="178"/>
      <c r="X1061" s="178"/>
      <c r="Y1061" s="178"/>
      <c r="Z1061" s="178"/>
    </row>
    <row r="1062" spans="1:26" s="20" customFormat="1" x14ac:dyDescent="0.2">
      <c r="A1062" s="109"/>
      <c r="C1062" s="178"/>
      <c r="D1062" s="178"/>
      <c r="E1062" s="178"/>
      <c r="F1062" s="178"/>
      <c r="G1062" s="178"/>
      <c r="H1062" s="178"/>
      <c r="I1062" s="178"/>
      <c r="J1062" s="178"/>
      <c r="K1062" s="178"/>
      <c r="L1062" s="178"/>
      <c r="M1062" s="178"/>
      <c r="N1062" s="178"/>
      <c r="O1062" s="178"/>
      <c r="P1062" s="178"/>
      <c r="Q1062" s="178"/>
      <c r="R1062" s="178"/>
      <c r="S1062" s="178"/>
      <c r="T1062" s="178"/>
      <c r="U1062" s="178"/>
      <c r="V1062" s="178"/>
      <c r="W1062" s="178"/>
      <c r="X1062" s="178"/>
      <c r="Y1062" s="178"/>
      <c r="Z1062" s="178"/>
    </row>
    <row r="1063" spans="1:26" s="20" customFormat="1" x14ac:dyDescent="0.2">
      <c r="A1063" s="38" t="s">
        <v>585</v>
      </c>
      <c r="C1063" s="178"/>
      <c r="D1063" s="178"/>
      <c r="E1063" s="178"/>
      <c r="F1063" s="178"/>
      <c r="G1063" s="178"/>
      <c r="H1063" s="178"/>
      <c r="I1063" s="178"/>
      <c r="J1063" s="178"/>
      <c r="K1063" s="178"/>
      <c r="L1063" s="178"/>
      <c r="M1063" s="178"/>
      <c r="N1063" s="178"/>
      <c r="O1063" s="178"/>
      <c r="P1063" s="178"/>
      <c r="Q1063" s="178"/>
      <c r="R1063" s="178"/>
      <c r="S1063" s="178"/>
      <c r="T1063" s="178"/>
      <c r="U1063" s="178"/>
      <c r="V1063" s="178"/>
      <c r="W1063" s="178"/>
      <c r="X1063" s="178"/>
      <c r="Y1063" s="178"/>
      <c r="Z1063" s="178"/>
    </row>
    <row r="1064" spans="1:26" s="20" customFormat="1" x14ac:dyDescent="0.2">
      <c r="A1064" s="109" t="s">
        <v>586</v>
      </c>
      <c r="C1064" s="178"/>
      <c r="D1064" s="178"/>
      <c r="E1064" s="178"/>
      <c r="F1064" s="178"/>
      <c r="G1064" s="178"/>
      <c r="H1064" s="178"/>
      <c r="I1064" s="178"/>
      <c r="J1064" s="178"/>
      <c r="K1064" s="178"/>
      <c r="L1064" s="178"/>
      <c r="M1064" s="178"/>
      <c r="N1064" s="178"/>
      <c r="O1064" s="178"/>
      <c r="P1064" s="178"/>
      <c r="Q1064" s="178"/>
      <c r="R1064" s="178"/>
      <c r="S1064" s="178"/>
      <c r="T1064" s="178"/>
      <c r="U1064" s="178"/>
      <c r="V1064" s="178"/>
      <c r="W1064" s="178"/>
      <c r="X1064" s="178"/>
      <c r="Y1064" s="178"/>
      <c r="Z1064" s="178"/>
    </row>
    <row r="1065" spans="1:26" s="20" customFormat="1" x14ac:dyDescent="0.2">
      <c r="A1065" s="109"/>
      <c r="C1065" s="178"/>
      <c r="D1065" s="178"/>
      <c r="E1065" s="178"/>
      <c r="F1065" s="178"/>
      <c r="G1065" s="178"/>
      <c r="H1065" s="178"/>
      <c r="I1065" s="178"/>
      <c r="J1065" s="178"/>
      <c r="K1065" s="178"/>
      <c r="L1065" s="178"/>
      <c r="M1065" s="178"/>
      <c r="N1065" s="178"/>
      <c r="O1065" s="178"/>
      <c r="P1065" s="178"/>
      <c r="Q1065" s="178"/>
      <c r="R1065" s="178"/>
      <c r="S1065" s="178"/>
      <c r="T1065" s="178"/>
      <c r="U1065" s="178"/>
      <c r="V1065" s="178"/>
      <c r="W1065" s="178"/>
      <c r="X1065" s="178"/>
      <c r="Y1065" s="178"/>
      <c r="Z1065" s="178"/>
    </row>
    <row r="1066" spans="1:26" s="20" customFormat="1" x14ac:dyDescent="0.2">
      <c r="A1066" s="109"/>
      <c r="C1066" s="178"/>
      <c r="D1066" s="178"/>
      <c r="E1066" s="178"/>
      <c r="F1066" s="178"/>
      <c r="G1066" s="178"/>
      <c r="H1066" s="178"/>
      <c r="I1066" s="178"/>
      <c r="J1066" s="178"/>
      <c r="K1066" s="178"/>
      <c r="L1066" s="178"/>
      <c r="M1066" s="178"/>
      <c r="N1066" s="178"/>
      <c r="O1066" s="178"/>
      <c r="P1066" s="178"/>
      <c r="Q1066" s="178"/>
      <c r="R1066" s="178"/>
      <c r="S1066" s="178"/>
      <c r="T1066" s="178"/>
      <c r="U1066" s="178"/>
      <c r="V1066" s="178"/>
      <c r="W1066" s="178"/>
      <c r="X1066" s="178"/>
      <c r="Y1066" s="178"/>
      <c r="Z1066" s="178"/>
    </row>
    <row r="1067" spans="1:26" s="20" customFormat="1" x14ac:dyDescent="0.2">
      <c r="A1067" s="109" t="s">
        <v>587</v>
      </c>
      <c r="C1067" s="117">
        <v>0</v>
      </c>
      <c r="D1067" s="117">
        <v>0</v>
      </c>
      <c r="E1067" s="117">
        <v>0</v>
      </c>
      <c r="F1067" s="117">
        <v>0</v>
      </c>
      <c r="G1067" s="117">
        <v>0</v>
      </c>
      <c r="H1067" s="117">
        <v>0</v>
      </c>
      <c r="I1067" s="117">
        <v>0</v>
      </c>
      <c r="J1067" s="117">
        <v>0</v>
      </c>
      <c r="K1067" s="117">
        <v>0</v>
      </c>
      <c r="L1067" s="117">
        <v>0</v>
      </c>
      <c r="M1067" s="117">
        <v>0</v>
      </c>
      <c r="N1067" s="117">
        <v>0</v>
      </c>
      <c r="O1067" s="117">
        <f t="shared" ref="O1067:S1067" si="539">SUM(O1063:O1065)</f>
        <v>0</v>
      </c>
      <c r="P1067" s="117">
        <f t="shared" si="539"/>
        <v>0</v>
      </c>
      <c r="Q1067" s="117">
        <f t="shared" si="539"/>
        <v>0</v>
      </c>
      <c r="R1067" s="117">
        <f t="shared" si="539"/>
        <v>0</v>
      </c>
      <c r="S1067" s="117">
        <f t="shared" si="539"/>
        <v>0</v>
      </c>
      <c r="T1067" s="117">
        <f t="shared" ref="T1067:Z1067" si="540">SUM(T1063:T1065)</f>
        <v>0</v>
      </c>
      <c r="U1067" s="117">
        <f t="shared" si="540"/>
        <v>0</v>
      </c>
      <c r="V1067" s="117">
        <f t="shared" si="540"/>
        <v>0</v>
      </c>
      <c r="W1067" s="117">
        <f t="shared" si="540"/>
        <v>0</v>
      </c>
      <c r="X1067" s="117">
        <f t="shared" si="540"/>
        <v>0</v>
      </c>
      <c r="Y1067" s="117">
        <f t="shared" si="540"/>
        <v>0</v>
      </c>
      <c r="Z1067" s="117">
        <f t="shared" si="540"/>
        <v>0</v>
      </c>
    </row>
    <row r="1068" spans="1:26" s="20" customFormat="1" x14ac:dyDescent="0.2">
      <c r="A1068" s="109" t="s">
        <v>588</v>
      </c>
      <c r="C1068" s="178"/>
      <c r="D1068" s="178"/>
      <c r="E1068" s="178"/>
      <c r="F1068" s="178"/>
      <c r="G1068" s="178"/>
      <c r="H1068" s="178"/>
      <c r="I1068" s="178"/>
      <c r="J1068" s="178"/>
      <c r="K1068" s="178"/>
      <c r="L1068" s="178"/>
      <c r="M1068" s="178"/>
      <c r="N1068" s="117">
        <v>0</v>
      </c>
      <c r="O1068" s="178"/>
      <c r="P1068" s="178"/>
      <c r="Q1068" s="178"/>
      <c r="R1068" s="178"/>
      <c r="S1068" s="178"/>
      <c r="T1068" s="178"/>
      <c r="U1068" s="178"/>
      <c r="V1068" s="178"/>
      <c r="W1068" s="178"/>
      <c r="X1068" s="178"/>
      <c r="Y1068" s="178"/>
      <c r="Z1068" s="117">
        <f>SUM(O1067:Z1067)</f>
        <v>0</v>
      </c>
    </row>
    <row r="1069" spans="1:26" s="20" customFormat="1" x14ac:dyDescent="0.2">
      <c r="A1069" s="109"/>
      <c r="C1069" s="178"/>
      <c r="D1069" s="178"/>
      <c r="E1069" s="178"/>
      <c r="F1069" s="178"/>
      <c r="G1069" s="178"/>
      <c r="H1069" s="178"/>
      <c r="I1069" s="178"/>
      <c r="J1069" s="178"/>
      <c r="K1069" s="178"/>
      <c r="L1069" s="178"/>
      <c r="M1069" s="178"/>
      <c r="N1069" s="178"/>
      <c r="O1069" s="178"/>
      <c r="P1069" s="178"/>
      <c r="Q1069" s="178"/>
      <c r="R1069" s="178"/>
      <c r="S1069" s="178"/>
      <c r="T1069" s="178"/>
      <c r="U1069" s="178"/>
      <c r="V1069" s="178"/>
      <c r="W1069" s="178"/>
      <c r="X1069" s="178"/>
      <c r="Y1069" s="178"/>
      <c r="Z1069" s="178"/>
    </row>
    <row r="1070" spans="1:26" s="20" customFormat="1" x14ac:dyDescent="0.2">
      <c r="A1070" s="109" t="s">
        <v>589</v>
      </c>
      <c r="C1070" s="178"/>
      <c r="D1070" s="178"/>
      <c r="E1070" s="178"/>
      <c r="F1070" s="178"/>
      <c r="G1070" s="178"/>
      <c r="H1070" s="178"/>
      <c r="I1070" s="178"/>
      <c r="J1070" s="178"/>
      <c r="K1070" s="178"/>
      <c r="L1070" s="178"/>
      <c r="M1070" s="178"/>
      <c r="N1070" s="117">
        <v>16154.008405448792</v>
      </c>
      <c r="O1070" s="178"/>
      <c r="P1070" s="178"/>
      <c r="Q1070" s="178"/>
      <c r="R1070" s="178"/>
      <c r="S1070" s="178"/>
      <c r="T1070" s="178"/>
      <c r="U1070" s="178"/>
      <c r="V1070" s="178"/>
      <c r="W1070" s="178"/>
      <c r="X1070" s="178"/>
      <c r="Y1070" s="178"/>
      <c r="Z1070" s="117">
        <f>Z996-Z1068</f>
        <v>26779.264000000003</v>
      </c>
    </row>
    <row r="1071" spans="1:26" s="20" customFormat="1" x14ac:dyDescent="0.2">
      <c r="A1071" s="109"/>
      <c r="C1071" s="178"/>
      <c r="D1071" s="178"/>
      <c r="E1071" s="178"/>
      <c r="F1071" s="178"/>
      <c r="G1071" s="178"/>
      <c r="H1071" s="178"/>
      <c r="I1071" s="178"/>
      <c r="J1071" s="178"/>
      <c r="K1071" s="178"/>
      <c r="L1071" s="178"/>
      <c r="M1071" s="178"/>
      <c r="N1071" s="178"/>
      <c r="O1071" s="178"/>
      <c r="P1071" s="178"/>
      <c r="Q1071" s="178"/>
      <c r="R1071" s="178"/>
      <c r="S1071" s="178"/>
      <c r="T1071" s="178"/>
      <c r="U1071" s="178"/>
      <c r="V1071" s="178"/>
      <c r="W1071" s="178"/>
      <c r="X1071" s="178"/>
      <c r="Y1071" s="178"/>
      <c r="Z1071" s="178"/>
    </row>
    <row r="1072" spans="1:26" s="20" customFormat="1" x14ac:dyDescent="0.2">
      <c r="A1072" s="109"/>
      <c r="C1072" s="178"/>
      <c r="D1072" s="178"/>
      <c r="E1072" s="178"/>
      <c r="F1072" s="178"/>
      <c r="G1072" s="178"/>
      <c r="H1072" s="178"/>
      <c r="I1072" s="178"/>
      <c r="J1072" s="178"/>
      <c r="K1072" s="178"/>
      <c r="L1072" s="178"/>
      <c r="M1072" s="178"/>
      <c r="N1072" s="178"/>
      <c r="O1072" s="178"/>
      <c r="P1072" s="178"/>
      <c r="Q1072" s="178"/>
      <c r="R1072" s="178"/>
      <c r="S1072" s="178"/>
      <c r="T1072" s="178"/>
      <c r="U1072" s="178"/>
      <c r="V1072" s="178"/>
      <c r="W1072" s="178"/>
      <c r="X1072" s="178"/>
      <c r="Y1072" s="178"/>
      <c r="Z1072" s="178"/>
    </row>
    <row r="1073" spans="1:26" s="20" customFormat="1" x14ac:dyDescent="0.2">
      <c r="A1073" s="38" t="s">
        <v>457</v>
      </c>
      <c r="C1073" s="178"/>
      <c r="D1073" s="178"/>
      <c r="E1073" s="178"/>
      <c r="F1073" s="178"/>
      <c r="G1073" s="178"/>
      <c r="H1073" s="178"/>
      <c r="I1073" s="178"/>
      <c r="J1073" s="178"/>
      <c r="K1073" s="178"/>
      <c r="L1073" s="178"/>
      <c r="M1073" s="178"/>
      <c r="N1073" s="178"/>
      <c r="O1073" s="178"/>
      <c r="P1073" s="178"/>
      <c r="Q1073" s="178"/>
      <c r="R1073" s="178"/>
      <c r="S1073" s="178"/>
      <c r="T1073" s="178"/>
      <c r="U1073" s="178"/>
      <c r="V1073" s="178"/>
      <c r="W1073" s="178"/>
      <c r="X1073" s="178"/>
      <c r="Y1073" s="178"/>
      <c r="Z1073" s="178"/>
    </row>
    <row r="1074" spans="1:26" s="20" customFormat="1" x14ac:dyDescent="0.2">
      <c r="A1074" s="109" t="s">
        <v>576</v>
      </c>
      <c r="C1074" s="160">
        <v>-216687.5</v>
      </c>
      <c r="D1074" s="160">
        <v>-216687.5</v>
      </c>
      <c r="E1074" s="160">
        <v>-216687.5</v>
      </c>
      <c r="F1074" s="160">
        <v>-216687.5</v>
      </c>
      <c r="G1074" s="160">
        <v>-216687.5</v>
      </c>
      <c r="H1074" s="160">
        <v>-216687.5</v>
      </c>
      <c r="I1074" s="160">
        <v>-216687.5</v>
      </c>
      <c r="J1074" s="160">
        <v>-216687.5</v>
      </c>
      <c r="K1074" s="160">
        <v>-216687.5</v>
      </c>
      <c r="L1074" s="160">
        <v>-216687.5</v>
      </c>
      <c r="M1074" s="160">
        <v>-216687.5</v>
      </c>
      <c r="N1074" s="160">
        <v>-216687.5</v>
      </c>
      <c r="O1074" s="160">
        <f>+O1078</f>
        <v>-124916.66666666667</v>
      </c>
      <c r="P1074" s="160">
        <f t="shared" ref="P1074:S1074" si="541">+P1078</f>
        <v>-124916.66666666667</v>
      </c>
      <c r="Q1074" s="160">
        <f t="shared" si="541"/>
        <v>-124916.66666666667</v>
      </c>
      <c r="R1074" s="160">
        <f t="shared" si="541"/>
        <v>-124916.66666666667</v>
      </c>
      <c r="S1074" s="160">
        <f t="shared" si="541"/>
        <v>-124916.66666666667</v>
      </c>
      <c r="T1074" s="160">
        <f t="shared" ref="T1074:Z1074" si="542">+T1078</f>
        <v>-124916.66666666667</v>
      </c>
      <c r="U1074" s="160">
        <f t="shared" si="542"/>
        <v>-124916.66666666667</v>
      </c>
      <c r="V1074" s="160">
        <f t="shared" si="542"/>
        <v>-124916.66666666667</v>
      </c>
      <c r="W1074" s="160">
        <f t="shared" si="542"/>
        <v>-124916.66666666667</v>
      </c>
      <c r="X1074" s="160">
        <f t="shared" si="542"/>
        <v>-124916.66666666667</v>
      </c>
      <c r="Y1074" s="160">
        <f t="shared" si="542"/>
        <v>-124916.66666666667</v>
      </c>
      <c r="Z1074" s="160">
        <f t="shared" si="542"/>
        <v>-124916.66666666667</v>
      </c>
    </row>
    <row r="1075" spans="1:26" s="20" customFormat="1" x14ac:dyDescent="0.2">
      <c r="A1075" s="109" t="s">
        <v>577</v>
      </c>
      <c r="C1075" s="160">
        <v>0</v>
      </c>
      <c r="D1075" s="160">
        <v>0</v>
      </c>
      <c r="E1075" s="160">
        <v>0</v>
      </c>
      <c r="F1075" s="160">
        <v>0</v>
      </c>
      <c r="G1075" s="160">
        <v>0</v>
      </c>
      <c r="H1075" s="160">
        <v>0</v>
      </c>
      <c r="I1075" s="160">
        <v>0</v>
      </c>
      <c r="J1075" s="160">
        <v>0</v>
      </c>
      <c r="K1075" s="160">
        <v>0</v>
      </c>
      <c r="L1075" s="160">
        <v>0</v>
      </c>
      <c r="M1075" s="160">
        <v>0</v>
      </c>
      <c r="N1075" s="160">
        <v>0</v>
      </c>
      <c r="O1075" s="160">
        <f t="shared" ref="O1075:S1075" si="543">+O1079</f>
        <v>0</v>
      </c>
      <c r="P1075" s="160">
        <f t="shared" si="543"/>
        <v>0</v>
      </c>
      <c r="Q1075" s="160">
        <f t="shared" si="543"/>
        <v>0</v>
      </c>
      <c r="R1075" s="160">
        <f t="shared" si="543"/>
        <v>0</v>
      </c>
      <c r="S1075" s="160">
        <f t="shared" si="543"/>
        <v>0</v>
      </c>
      <c r="T1075" s="160">
        <f t="shared" ref="T1075:Z1075" si="544">+T1079</f>
        <v>0</v>
      </c>
      <c r="U1075" s="160">
        <f t="shared" si="544"/>
        <v>0</v>
      </c>
      <c r="V1075" s="160">
        <f t="shared" si="544"/>
        <v>0</v>
      </c>
      <c r="W1075" s="160">
        <f t="shared" si="544"/>
        <v>0</v>
      </c>
      <c r="X1075" s="160">
        <f t="shared" si="544"/>
        <v>0</v>
      </c>
      <c r="Y1075" s="160">
        <f t="shared" si="544"/>
        <v>0</v>
      </c>
      <c r="Z1075" s="160">
        <f t="shared" si="544"/>
        <v>0</v>
      </c>
    </row>
    <row r="1076" spans="1:26" s="20" customFormat="1" x14ac:dyDescent="0.2">
      <c r="A1076" s="109" t="s">
        <v>578</v>
      </c>
      <c r="C1076" s="116"/>
      <c r="D1076" s="116"/>
      <c r="E1076" s="116"/>
      <c r="F1076" s="116"/>
      <c r="G1076" s="116"/>
      <c r="H1076" s="116"/>
      <c r="I1076" s="116"/>
      <c r="J1076" s="116"/>
      <c r="K1076" s="116"/>
      <c r="L1076" s="116"/>
      <c r="M1076" s="116"/>
      <c r="N1076" s="116"/>
      <c r="O1076" s="116"/>
      <c r="P1076" s="116"/>
      <c r="Q1076" s="116"/>
      <c r="R1076" s="116"/>
      <c r="S1076" s="116"/>
      <c r="T1076" s="116"/>
      <c r="U1076" s="116"/>
      <c r="V1076" s="116"/>
      <c r="W1076" s="116"/>
      <c r="X1076" s="116"/>
      <c r="Y1076" s="116"/>
      <c r="Z1076" s="116"/>
    </row>
    <row r="1077" spans="1:26" s="20" customFormat="1" x14ac:dyDescent="0.2">
      <c r="A1077" s="109" t="s">
        <v>579</v>
      </c>
      <c r="C1077" s="116"/>
      <c r="D1077" s="116"/>
      <c r="E1077" s="116"/>
      <c r="F1077" s="116"/>
      <c r="G1077" s="116"/>
      <c r="H1077" s="116"/>
      <c r="I1077" s="116"/>
      <c r="J1077" s="116"/>
      <c r="K1077" s="116"/>
      <c r="L1077" s="116"/>
      <c r="M1077" s="116"/>
      <c r="N1077" s="116"/>
      <c r="O1077" s="116"/>
      <c r="P1077" s="116"/>
      <c r="Q1077" s="116"/>
      <c r="R1077" s="116"/>
      <c r="S1077" s="116"/>
      <c r="T1077" s="116"/>
      <c r="U1077" s="116"/>
      <c r="V1077" s="116"/>
      <c r="W1077" s="116"/>
      <c r="X1077" s="116"/>
      <c r="Y1077" s="116"/>
      <c r="Z1077" s="116"/>
    </row>
    <row r="1078" spans="1:26" s="20" customFormat="1" x14ac:dyDescent="0.2">
      <c r="A1078" s="109" t="s">
        <v>479</v>
      </c>
      <c r="C1078" s="165">
        <v>-216687.5</v>
      </c>
      <c r="D1078" s="165">
        <v>-216687.5</v>
      </c>
      <c r="E1078" s="165">
        <v>-216687.5</v>
      </c>
      <c r="F1078" s="165">
        <v>-216687.5</v>
      </c>
      <c r="G1078" s="165">
        <v>-216687.5</v>
      </c>
      <c r="H1078" s="165">
        <v>-216687.5</v>
      </c>
      <c r="I1078" s="165">
        <v>-216687.5</v>
      </c>
      <c r="J1078" s="165">
        <v>-216687.5</v>
      </c>
      <c r="K1078" s="165">
        <v>-216687.5</v>
      </c>
      <c r="L1078" s="165">
        <v>-216687.5</v>
      </c>
      <c r="M1078" s="165">
        <v>-216687.5</v>
      </c>
      <c r="N1078" s="165">
        <v>-216687.5</v>
      </c>
      <c r="O1078" s="165">
        <f>+SUM(O1144:O1173)</f>
        <v>-124916.66666666667</v>
      </c>
      <c r="P1078" s="165">
        <f t="shared" ref="P1078:Z1078" si="545">+SUM(P1144:P1173)</f>
        <v>-124916.66666666667</v>
      </c>
      <c r="Q1078" s="165">
        <f t="shared" si="545"/>
        <v>-124916.66666666667</v>
      </c>
      <c r="R1078" s="165">
        <f t="shared" si="545"/>
        <v>-124916.66666666667</v>
      </c>
      <c r="S1078" s="165">
        <f t="shared" si="545"/>
        <v>-124916.66666666667</v>
      </c>
      <c r="T1078" s="165">
        <f t="shared" si="545"/>
        <v>-124916.66666666667</v>
      </c>
      <c r="U1078" s="165">
        <f t="shared" si="545"/>
        <v>-124916.66666666667</v>
      </c>
      <c r="V1078" s="165">
        <f t="shared" si="545"/>
        <v>-124916.66666666667</v>
      </c>
      <c r="W1078" s="165">
        <f t="shared" si="545"/>
        <v>-124916.66666666667</v>
      </c>
      <c r="X1078" s="165">
        <f t="shared" si="545"/>
        <v>-124916.66666666667</v>
      </c>
      <c r="Y1078" s="165">
        <f t="shared" si="545"/>
        <v>-124916.66666666667</v>
      </c>
      <c r="Z1078" s="165">
        <f t="shared" si="545"/>
        <v>-124916.66666666667</v>
      </c>
    </row>
    <row r="1079" spans="1:26" s="20" customFormat="1" x14ac:dyDescent="0.2">
      <c r="A1079" s="109" t="s">
        <v>480</v>
      </c>
      <c r="C1079" s="165">
        <v>0</v>
      </c>
      <c r="D1079" s="165">
        <v>0</v>
      </c>
      <c r="E1079" s="165">
        <v>0</v>
      </c>
      <c r="F1079" s="165">
        <v>0</v>
      </c>
      <c r="G1079" s="165">
        <v>0</v>
      </c>
      <c r="H1079" s="165">
        <v>0</v>
      </c>
      <c r="I1079" s="165">
        <v>0</v>
      </c>
      <c r="J1079" s="165">
        <v>0</v>
      </c>
      <c r="K1079" s="165">
        <v>0</v>
      </c>
      <c r="L1079" s="165">
        <v>0</v>
      </c>
      <c r="M1079" s="165">
        <v>0</v>
      </c>
      <c r="N1079" s="165">
        <v>0</v>
      </c>
      <c r="O1079" s="165">
        <f t="shared" ref="O1079:Z1079" si="546">+SUM(O1174:O1175)</f>
        <v>0</v>
      </c>
      <c r="P1079" s="165">
        <f t="shared" si="546"/>
        <v>0</v>
      </c>
      <c r="Q1079" s="165">
        <f t="shared" si="546"/>
        <v>0</v>
      </c>
      <c r="R1079" s="165">
        <f t="shared" si="546"/>
        <v>0</v>
      </c>
      <c r="S1079" s="165">
        <f t="shared" si="546"/>
        <v>0</v>
      </c>
      <c r="T1079" s="165">
        <f t="shared" si="546"/>
        <v>0</v>
      </c>
      <c r="U1079" s="165">
        <f t="shared" si="546"/>
        <v>0</v>
      </c>
      <c r="V1079" s="165">
        <f t="shared" si="546"/>
        <v>0</v>
      </c>
      <c r="W1079" s="165">
        <f t="shared" si="546"/>
        <v>0</v>
      </c>
      <c r="X1079" s="165">
        <f t="shared" si="546"/>
        <v>0</v>
      </c>
      <c r="Y1079" s="165">
        <f t="shared" si="546"/>
        <v>0</v>
      </c>
      <c r="Z1079" s="165">
        <f t="shared" si="546"/>
        <v>0</v>
      </c>
    </row>
    <row r="1080" spans="1:26" s="20" customFormat="1" x14ac:dyDescent="0.2">
      <c r="A1080" s="109" t="s">
        <v>481</v>
      </c>
      <c r="C1080" s="181"/>
      <c r="D1080" s="181"/>
      <c r="E1080" s="181"/>
      <c r="F1080" s="181"/>
      <c r="G1080" s="181"/>
      <c r="H1080" s="181"/>
      <c r="I1080" s="181"/>
      <c r="J1080" s="181"/>
      <c r="K1080" s="181"/>
      <c r="L1080" s="181"/>
      <c r="M1080" s="181"/>
      <c r="N1080" s="165">
        <v>-113250.52089357516</v>
      </c>
      <c r="O1080" s="181"/>
      <c r="P1080" s="181"/>
      <c r="Q1080" s="181"/>
      <c r="R1080" s="181"/>
      <c r="S1080" s="181"/>
      <c r="T1080" s="181"/>
      <c r="U1080" s="181"/>
      <c r="V1080" s="181"/>
      <c r="W1080" s="181"/>
      <c r="X1080" s="181"/>
      <c r="Y1080" s="181"/>
      <c r="Z1080" s="165">
        <f>+SUM(O1176:Z1176)</f>
        <v>-1157733.98325</v>
      </c>
    </row>
    <row r="1081" spans="1:26" s="20" customFormat="1" x14ac:dyDescent="0.2">
      <c r="A1081" s="109" t="s">
        <v>482</v>
      </c>
      <c r="C1081" s="178"/>
      <c r="D1081" s="178"/>
      <c r="E1081" s="178"/>
      <c r="F1081" s="178"/>
      <c r="G1081" s="178"/>
      <c r="H1081" s="178"/>
      <c r="I1081" s="178"/>
      <c r="J1081" s="178"/>
      <c r="K1081" s="178"/>
      <c r="L1081" s="178"/>
      <c r="M1081" s="178"/>
      <c r="N1081" s="165">
        <v>-466472.86292590434</v>
      </c>
      <c r="O1081" s="178"/>
      <c r="P1081" s="178"/>
      <c r="Q1081" s="178"/>
      <c r="R1081" s="178"/>
      <c r="S1081" s="178"/>
      <c r="T1081" s="178"/>
      <c r="U1081" s="178"/>
      <c r="V1081" s="178"/>
      <c r="W1081" s="178"/>
      <c r="X1081" s="178"/>
      <c r="Y1081" s="178"/>
      <c r="Z1081" s="165">
        <f>+SUM(O1177:Z1177)</f>
        <v>-431172.9818442149</v>
      </c>
    </row>
    <row r="1082" spans="1:26" s="20" customFormat="1" x14ac:dyDescent="0.2">
      <c r="A1082" s="109" t="s">
        <v>458</v>
      </c>
      <c r="C1082" s="178"/>
      <c r="D1082" s="178"/>
      <c r="E1082" s="178"/>
      <c r="F1082" s="178"/>
      <c r="G1082" s="178"/>
      <c r="H1082" s="178"/>
      <c r="I1082" s="178"/>
      <c r="J1082" s="178"/>
      <c r="K1082" s="178"/>
      <c r="L1082" s="178"/>
      <c r="M1082" s="178"/>
      <c r="N1082" s="165">
        <v>-110513.18094057255</v>
      </c>
      <c r="O1082" s="178"/>
      <c r="P1082" s="178"/>
      <c r="Q1082" s="178"/>
      <c r="R1082" s="178"/>
      <c r="S1082" s="178"/>
      <c r="T1082" s="178"/>
      <c r="U1082" s="178"/>
      <c r="V1082" s="178"/>
      <c r="W1082" s="178"/>
      <c r="X1082" s="178"/>
      <c r="Y1082" s="178"/>
      <c r="Z1082" s="165">
        <f>-Z1058*Z51</f>
        <v>142833.68568205822</v>
      </c>
    </row>
    <row r="1083" spans="1:26" s="20" customFormat="1" x14ac:dyDescent="0.2">
      <c r="A1083" s="109" t="s">
        <v>590</v>
      </c>
      <c r="C1083" s="181"/>
      <c r="D1083" s="181"/>
      <c r="E1083" s="181"/>
      <c r="F1083" s="181"/>
      <c r="G1083" s="181"/>
      <c r="H1083" s="181"/>
      <c r="I1083" s="181"/>
      <c r="J1083" s="181"/>
      <c r="K1083" s="181"/>
      <c r="L1083" s="181"/>
      <c r="M1083" s="181"/>
      <c r="N1083" s="165">
        <v>0</v>
      </c>
      <c r="O1083" s="181"/>
      <c r="P1083" s="181"/>
      <c r="Q1083" s="181"/>
      <c r="R1083" s="181"/>
      <c r="S1083" s="181"/>
      <c r="T1083" s="181"/>
      <c r="U1083" s="181"/>
      <c r="V1083" s="181"/>
      <c r="W1083" s="181"/>
      <c r="X1083" s="181"/>
      <c r="Y1083" s="181"/>
      <c r="Z1083" s="165">
        <f>SUM(O1178:Z1178)</f>
        <v>0</v>
      </c>
    </row>
    <row r="1084" spans="1:26" s="20" customFormat="1" x14ac:dyDescent="0.2">
      <c r="A1084" s="109" t="s">
        <v>591</v>
      </c>
      <c r="C1084" s="178"/>
      <c r="D1084" s="178"/>
      <c r="E1084" s="178"/>
      <c r="F1084" s="178"/>
      <c r="G1084" s="178"/>
      <c r="H1084" s="178"/>
      <c r="I1084" s="178"/>
      <c r="J1084" s="178"/>
      <c r="K1084" s="178"/>
      <c r="L1084" s="178"/>
      <c r="M1084" s="178"/>
      <c r="N1084" s="165">
        <v>-630006.32781250286</v>
      </c>
      <c r="O1084" s="178"/>
      <c r="P1084" s="178"/>
      <c r="Q1084" s="178"/>
      <c r="R1084" s="178"/>
      <c r="S1084" s="178"/>
      <c r="T1084" s="178"/>
      <c r="U1084" s="178"/>
      <c r="V1084" s="178"/>
      <c r="W1084" s="178"/>
      <c r="X1084" s="178"/>
      <c r="Y1084" s="178"/>
      <c r="Z1084" s="165">
        <f>+IF(Z1070&gt;0,-Z1070*Z49,-Z54*Z1070)</f>
        <v>-1044391.2960000001</v>
      </c>
    </row>
    <row r="1085" spans="1:26" s="20" customFormat="1" ht="28.2" x14ac:dyDescent="0.5">
      <c r="A1085" s="222" t="s">
        <v>643</v>
      </c>
      <c r="C1085" s="178"/>
      <c r="D1085" s="178"/>
      <c r="E1085" s="178"/>
      <c r="F1085" s="178"/>
      <c r="G1085" s="178"/>
      <c r="H1085" s="178"/>
      <c r="I1085" s="178"/>
      <c r="J1085" s="178"/>
      <c r="K1085" s="178"/>
      <c r="L1085" s="178"/>
      <c r="M1085" s="178"/>
      <c r="N1085" s="165">
        <v>307182.46852371312</v>
      </c>
      <c r="O1085" s="230"/>
      <c r="P1085" s="178"/>
      <c r="Q1085" s="178"/>
      <c r="R1085" s="178"/>
      <c r="S1085" s="178"/>
      <c r="T1085" s="178"/>
      <c r="U1085" s="178"/>
      <c r="V1085" s="178"/>
      <c r="W1085" s="178"/>
      <c r="X1085" s="178"/>
      <c r="Y1085" s="178"/>
      <c r="Z1085" s="165">
        <f>-Z956*Z51</f>
        <v>574003.73275862087</v>
      </c>
    </row>
    <row r="1086" spans="1:26" s="20" customFormat="1" x14ac:dyDescent="0.2">
      <c r="A1086" s="109" t="s">
        <v>565</v>
      </c>
      <c r="C1086" s="165">
        <v>-216687.5</v>
      </c>
      <c r="D1086" s="165">
        <v>-216687.5</v>
      </c>
      <c r="E1086" s="165">
        <v>-216687.5</v>
      </c>
      <c r="F1086" s="165">
        <v>-216687.5</v>
      </c>
      <c r="G1086" s="165">
        <v>-216687.5</v>
      </c>
      <c r="H1086" s="165">
        <v>-216687.5</v>
      </c>
      <c r="I1086" s="165">
        <v>-216687.5</v>
      </c>
      <c r="J1086" s="165">
        <v>-216687.5</v>
      </c>
      <c r="K1086" s="165">
        <v>-216687.5</v>
      </c>
      <c r="L1086" s="165">
        <v>-216687.5</v>
      </c>
      <c r="M1086" s="165">
        <v>-216687.5</v>
      </c>
      <c r="N1086" s="165">
        <v>-1229747.9240488417</v>
      </c>
      <c r="O1086" s="165">
        <f t="shared" ref="O1086:Y1086" si="547">+SUM(O1078:O1085)</f>
        <v>-124916.66666666667</v>
      </c>
      <c r="P1086" s="165">
        <f t="shared" si="547"/>
        <v>-124916.66666666667</v>
      </c>
      <c r="Q1086" s="165">
        <f t="shared" si="547"/>
        <v>-124916.66666666667</v>
      </c>
      <c r="R1086" s="165">
        <f t="shared" si="547"/>
        <v>-124916.66666666667</v>
      </c>
      <c r="S1086" s="165">
        <f t="shared" si="547"/>
        <v>-124916.66666666667</v>
      </c>
      <c r="T1086" s="165">
        <f t="shared" si="547"/>
        <v>-124916.66666666667</v>
      </c>
      <c r="U1086" s="165">
        <f t="shared" si="547"/>
        <v>-124916.66666666667</v>
      </c>
      <c r="V1086" s="165">
        <f t="shared" si="547"/>
        <v>-124916.66666666667</v>
      </c>
      <c r="W1086" s="165">
        <f t="shared" si="547"/>
        <v>-124916.66666666667</v>
      </c>
      <c r="X1086" s="165">
        <f t="shared" si="547"/>
        <v>-124916.66666666667</v>
      </c>
      <c r="Y1086" s="165">
        <f t="shared" si="547"/>
        <v>-124916.66666666667</v>
      </c>
      <c r="Z1086" s="165">
        <f>+SUM(Z1078:Z1085)</f>
        <v>-2041377.5093202027</v>
      </c>
    </row>
    <row r="1087" spans="1:26" s="20" customFormat="1" x14ac:dyDescent="0.2">
      <c r="A1087" s="109"/>
      <c r="C1087" s="165"/>
      <c r="D1087" s="165"/>
      <c r="E1087" s="165"/>
      <c r="F1087" s="165"/>
      <c r="G1087" s="165"/>
      <c r="H1087" s="165"/>
      <c r="I1087" s="165"/>
      <c r="J1087" s="165"/>
      <c r="K1087" s="165"/>
      <c r="L1087" s="165"/>
      <c r="M1087" s="165"/>
      <c r="N1087" s="165"/>
      <c r="O1087" s="165"/>
      <c r="P1087" s="165"/>
      <c r="Q1087" s="165"/>
      <c r="R1087" s="165"/>
      <c r="S1087" s="165"/>
      <c r="T1087" s="165"/>
      <c r="U1087" s="165"/>
      <c r="V1087" s="165"/>
      <c r="W1087" s="165"/>
      <c r="X1087" s="165"/>
      <c r="Y1087" s="165"/>
      <c r="Z1087" s="165"/>
    </row>
    <row r="1088" spans="1:26" s="20" customFormat="1" x14ac:dyDescent="0.2">
      <c r="A1088" s="109"/>
      <c r="C1088" s="165"/>
      <c r="D1088" s="165"/>
      <c r="E1088" s="165"/>
      <c r="F1088" s="165"/>
      <c r="G1088" s="165"/>
      <c r="H1088" s="165"/>
      <c r="I1088" s="165"/>
      <c r="J1088" s="165"/>
      <c r="K1088" s="165"/>
      <c r="L1088" s="165"/>
      <c r="M1088" s="165"/>
      <c r="N1088" s="165"/>
      <c r="O1088" s="165"/>
      <c r="P1088" s="165"/>
      <c r="Q1088" s="165"/>
      <c r="R1088" s="165"/>
      <c r="S1088" s="165"/>
      <c r="T1088" s="165"/>
      <c r="U1088" s="165"/>
      <c r="V1088" s="165"/>
      <c r="W1088" s="165"/>
      <c r="X1088" s="165"/>
      <c r="Y1088" s="165"/>
      <c r="Z1088" s="165"/>
    </row>
    <row r="1089" spans="1:26" s="20" customFormat="1" x14ac:dyDescent="0.2">
      <c r="A1089" s="109"/>
      <c r="C1089" s="165"/>
      <c r="D1089" s="165"/>
      <c r="E1089" s="165"/>
      <c r="F1089" s="165"/>
      <c r="G1089" s="165"/>
      <c r="H1089" s="165"/>
      <c r="I1089" s="165"/>
      <c r="J1089" s="165"/>
      <c r="K1089" s="165"/>
      <c r="L1089" s="165"/>
      <c r="M1089" s="165"/>
      <c r="N1089" s="165"/>
      <c r="O1089" s="165"/>
      <c r="P1089" s="165"/>
      <c r="Q1089" s="165"/>
      <c r="R1089" s="165"/>
      <c r="S1089" s="165"/>
      <c r="T1089" s="165"/>
      <c r="U1089" s="165"/>
      <c r="V1089" s="165"/>
      <c r="W1089" s="165"/>
      <c r="X1089" s="165"/>
      <c r="Y1089" s="165"/>
      <c r="Z1089" s="165"/>
    </row>
    <row r="1090" spans="1:26" s="20" customFormat="1" x14ac:dyDescent="0.2">
      <c r="A1090" s="38" t="s">
        <v>567</v>
      </c>
      <c r="C1090" s="165"/>
      <c r="D1090" s="165"/>
      <c r="E1090" s="165"/>
      <c r="F1090" s="165"/>
      <c r="G1090" s="165"/>
      <c r="H1090" s="165"/>
      <c r="I1090" s="165"/>
      <c r="J1090" s="165"/>
      <c r="K1090" s="165"/>
      <c r="L1090" s="165"/>
      <c r="M1090" s="165"/>
      <c r="N1090" s="165"/>
      <c r="O1090" s="165"/>
      <c r="P1090" s="165"/>
      <c r="Q1090" s="165"/>
      <c r="R1090" s="165"/>
      <c r="S1090" s="165"/>
      <c r="T1090" s="165"/>
      <c r="U1090" s="165"/>
      <c r="V1090" s="165"/>
      <c r="W1090" s="165"/>
      <c r="X1090" s="165"/>
      <c r="Y1090" s="165"/>
      <c r="Z1090" s="165"/>
    </row>
    <row r="1091" spans="1:26" s="20" customFormat="1" x14ac:dyDescent="0.2">
      <c r="A1091" s="109" t="s">
        <v>569</v>
      </c>
      <c r="C1091" s="165"/>
      <c r="D1091" s="165"/>
      <c r="E1091" s="165"/>
      <c r="F1091" s="165"/>
      <c r="G1091" s="165"/>
      <c r="H1091" s="165"/>
      <c r="I1091" s="165"/>
      <c r="J1091" s="165"/>
      <c r="K1091" s="165"/>
      <c r="L1091" s="165"/>
      <c r="M1091" s="165"/>
      <c r="N1091" s="165">
        <v>0</v>
      </c>
      <c r="O1091" s="165"/>
      <c r="P1091" s="165"/>
      <c r="Q1091" s="165"/>
      <c r="R1091" s="165"/>
      <c r="S1091" s="165"/>
      <c r="T1091" s="165"/>
      <c r="U1091" s="165"/>
      <c r="V1091" s="165"/>
      <c r="W1091" s="165"/>
      <c r="X1091" s="165"/>
      <c r="Y1091" s="165"/>
      <c r="Z1091" s="165">
        <f>IF(Z1080&gt;0,Z1080,0)</f>
        <v>0</v>
      </c>
    </row>
    <row r="1092" spans="1:26" s="20" customFormat="1" x14ac:dyDescent="0.2">
      <c r="A1092" s="109" t="s">
        <v>570</v>
      </c>
      <c r="C1092" s="165"/>
      <c r="D1092" s="165"/>
      <c r="E1092" s="165"/>
      <c r="F1092" s="165"/>
      <c r="G1092" s="165"/>
      <c r="H1092" s="165"/>
      <c r="I1092" s="165"/>
      <c r="J1092" s="165"/>
      <c r="K1092" s="165"/>
      <c r="L1092" s="165"/>
      <c r="M1092" s="165"/>
      <c r="N1092" s="165">
        <v>0</v>
      </c>
      <c r="O1092" s="165"/>
      <c r="P1092" s="165"/>
      <c r="Q1092" s="165"/>
      <c r="R1092" s="165"/>
      <c r="S1092" s="165"/>
      <c r="T1092" s="165"/>
      <c r="U1092" s="165"/>
      <c r="V1092" s="165"/>
      <c r="W1092" s="165"/>
      <c r="X1092" s="165"/>
      <c r="Y1092" s="165"/>
      <c r="Z1092" s="165">
        <f>IF(Z1081&gt;0,Z1081,0)</f>
        <v>0</v>
      </c>
    </row>
    <row r="1093" spans="1:26" s="20" customFormat="1" x14ac:dyDescent="0.2">
      <c r="A1093" s="109" t="s">
        <v>571</v>
      </c>
      <c r="C1093" s="165"/>
      <c r="D1093" s="165"/>
      <c r="E1093" s="165"/>
      <c r="F1093" s="165"/>
      <c r="G1093" s="165"/>
      <c r="H1093" s="165"/>
      <c r="I1093" s="165"/>
      <c r="J1093" s="165"/>
      <c r="K1093" s="165"/>
      <c r="L1093" s="165"/>
      <c r="M1093" s="165"/>
      <c r="N1093" s="165">
        <v>0</v>
      </c>
      <c r="O1093" s="165"/>
      <c r="P1093" s="165"/>
      <c r="Q1093" s="165"/>
      <c r="R1093" s="165"/>
      <c r="S1093" s="165"/>
      <c r="T1093" s="165"/>
      <c r="U1093" s="165"/>
      <c r="V1093" s="165"/>
      <c r="W1093" s="165"/>
      <c r="X1093" s="165"/>
      <c r="Y1093" s="165"/>
      <c r="Z1093" s="165">
        <f>IF(Z1082&gt;0,Z1082,0)</f>
        <v>142833.68568205822</v>
      </c>
    </row>
    <row r="1094" spans="1:26" s="20" customFormat="1" x14ac:dyDescent="0.2">
      <c r="A1094" s="109" t="s">
        <v>572</v>
      </c>
      <c r="C1094" s="165"/>
      <c r="D1094" s="165"/>
      <c r="E1094" s="165"/>
      <c r="F1094" s="165"/>
      <c r="G1094" s="165"/>
      <c r="H1094" s="165"/>
      <c r="I1094" s="165"/>
      <c r="J1094" s="165"/>
      <c r="K1094" s="165"/>
      <c r="L1094" s="165"/>
      <c r="M1094" s="165"/>
      <c r="N1094" s="165">
        <v>0</v>
      </c>
      <c r="O1094" s="165"/>
      <c r="P1094" s="165"/>
      <c r="Q1094" s="165"/>
      <c r="R1094" s="165"/>
      <c r="S1094" s="165"/>
      <c r="T1094" s="165"/>
      <c r="U1094" s="165"/>
      <c r="V1094" s="165"/>
      <c r="W1094" s="165"/>
      <c r="X1094" s="165"/>
      <c r="Y1094" s="165"/>
      <c r="Z1094" s="165">
        <f t="shared" ref="Z1094" si="548">IF(Z1084&gt;0,Z1084,0)</f>
        <v>0</v>
      </c>
    </row>
    <row r="1095" spans="1:26" s="20" customFormat="1" x14ac:dyDescent="0.2">
      <c r="A1095" s="109"/>
      <c r="C1095" s="165"/>
      <c r="D1095" s="165"/>
      <c r="E1095" s="165"/>
      <c r="F1095" s="165"/>
      <c r="G1095" s="165"/>
      <c r="H1095" s="165"/>
      <c r="I1095" s="165"/>
      <c r="J1095" s="165"/>
      <c r="K1095" s="165"/>
      <c r="L1095" s="165"/>
      <c r="M1095" s="165"/>
      <c r="N1095" s="165"/>
      <c r="O1095" s="165"/>
      <c r="P1095" s="165"/>
      <c r="Q1095" s="165"/>
      <c r="R1095" s="165"/>
      <c r="S1095" s="165"/>
      <c r="T1095" s="165"/>
      <c r="U1095" s="165"/>
      <c r="V1095" s="165"/>
      <c r="W1095" s="165"/>
      <c r="X1095" s="165"/>
      <c r="Y1095" s="165"/>
      <c r="Z1095" s="165"/>
    </row>
    <row r="1096" spans="1:26" s="20" customFormat="1" x14ac:dyDescent="0.2">
      <c r="A1096" s="109"/>
      <c r="C1096" s="165"/>
      <c r="D1096" s="165"/>
      <c r="E1096" s="165"/>
      <c r="F1096" s="165"/>
      <c r="G1096" s="165"/>
      <c r="H1096" s="165"/>
      <c r="I1096" s="165"/>
      <c r="J1096" s="165"/>
      <c r="K1096" s="165"/>
      <c r="L1096" s="165"/>
      <c r="M1096" s="165"/>
      <c r="N1096" s="165"/>
      <c r="O1096" s="165"/>
      <c r="P1096" s="165"/>
      <c r="Q1096" s="165"/>
      <c r="R1096" s="165"/>
      <c r="S1096" s="165"/>
      <c r="T1096" s="165"/>
      <c r="U1096" s="165"/>
      <c r="V1096" s="165"/>
      <c r="W1096" s="165"/>
      <c r="X1096" s="165"/>
      <c r="Y1096" s="165"/>
      <c r="Z1096" s="165"/>
    </row>
    <row r="1097" spans="1:26" s="20" customFormat="1" x14ac:dyDescent="0.2">
      <c r="A1097" s="38" t="s">
        <v>568</v>
      </c>
      <c r="C1097" s="165"/>
      <c r="D1097" s="165"/>
      <c r="E1097" s="165"/>
      <c r="F1097" s="165"/>
      <c r="G1097" s="165"/>
      <c r="H1097" s="165"/>
      <c r="I1097" s="165"/>
      <c r="J1097" s="165"/>
      <c r="K1097" s="165"/>
      <c r="L1097" s="165"/>
      <c r="M1097" s="165"/>
      <c r="N1097" s="165"/>
      <c r="O1097" s="165"/>
      <c r="P1097" s="165"/>
      <c r="Q1097" s="165"/>
      <c r="R1097" s="165"/>
      <c r="S1097" s="165"/>
      <c r="T1097" s="165"/>
      <c r="U1097" s="165"/>
      <c r="V1097" s="165"/>
      <c r="W1097" s="165"/>
      <c r="X1097" s="165"/>
      <c r="Y1097" s="165"/>
      <c r="Z1097" s="165"/>
    </row>
    <row r="1098" spans="1:26" s="20" customFormat="1" x14ac:dyDescent="0.2">
      <c r="A1098" s="109" t="s">
        <v>481</v>
      </c>
      <c r="C1098" s="165"/>
      <c r="D1098" s="165"/>
      <c r="E1098" s="165"/>
      <c r="F1098" s="165"/>
      <c r="G1098" s="165"/>
      <c r="H1098" s="165"/>
      <c r="I1098" s="165"/>
      <c r="J1098" s="165"/>
      <c r="K1098" s="165"/>
      <c r="L1098" s="165"/>
      <c r="M1098" s="165"/>
      <c r="N1098" s="165">
        <v>-113250.52089357516</v>
      </c>
      <c r="O1098" s="165"/>
      <c r="P1098" s="165"/>
      <c r="Q1098" s="165"/>
      <c r="R1098" s="165"/>
      <c r="S1098" s="165"/>
      <c r="T1098" s="165"/>
      <c r="U1098" s="165"/>
      <c r="V1098" s="165"/>
      <c r="W1098" s="165"/>
      <c r="X1098" s="165"/>
      <c r="Y1098" s="165"/>
      <c r="Z1098" s="165">
        <f>IF(Z1080&lt;0,Z1080,0)</f>
        <v>-1157733.98325</v>
      </c>
    </row>
    <row r="1099" spans="1:26" s="20" customFormat="1" x14ac:dyDescent="0.2">
      <c r="A1099" s="109" t="s">
        <v>482</v>
      </c>
      <c r="C1099" s="165"/>
      <c r="D1099" s="165"/>
      <c r="E1099" s="165"/>
      <c r="F1099" s="165"/>
      <c r="G1099" s="165"/>
      <c r="H1099" s="165"/>
      <c r="I1099" s="165"/>
      <c r="J1099" s="165"/>
      <c r="K1099" s="165"/>
      <c r="L1099" s="165"/>
      <c r="M1099" s="165"/>
      <c r="N1099" s="165">
        <v>-466472.86292590434</v>
      </c>
      <c r="O1099" s="165"/>
      <c r="P1099" s="165"/>
      <c r="Q1099" s="165"/>
      <c r="R1099" s="165"/>
      <c r="S1099" s="165"/>
      <c r="T1099" s="165"/>
      <c r="U1099" s="165"/>
      <c r="V1099" s="165"/>
      <c r="W1099" s="165"/>
      <c r="X1099" s="165"/>
      <c r="Y1099" s="165"/>
      <c r="Z1099" s="165">
        <f>IF(Z1081&lt;0,Z1081,0)</f>
        <v>-431172.9818442149</v>
      </c>
    </row>
    <row r="1100" spans="1:26" s="20" customFormat="1" x14ac:dyDescent="0.2">
      <c r="A1100" s="109"/>
      <c r="C1100" s="165"/>
      <c r="D1100" s="165"/>
      <c r="E1100" s="165"/>
      <c r="F1100" s="165"/>
      <c r="G1100" s="165"/>
      <c r="H1100" s="165"/>
      <c r="I1100" s="165"/>
      <c r="J1100" s="165"/>
      <c r="K1100" s="165"/>
      <c r="L1100" s="165"/>
      <c r="M1100" s="165"/>
      <c r="N1100" s="165"/>
      <c r="O1100" s="165"/>
      <c r="P1100" s="165"/>
      <c r="Q1100" s="165"/>
      <c r="R1100" s="165"/>
      <c r="S1100" s="165"/>
      <c r="T1100" s="165"/>
      <c r="U1100" s="165"/>
      <c r="V1100" s="165"/>
      <c r="W1100" s="165"/>
      <c r="X1100" s="165"/>
      <c r="Y1100" s="165"/>
      <c r="Z1100" s="165"/>
    </row>
    <row r="1101" spans="1:26" s="20" customFormat="1" x14ac:dyDescent="0.2">
      <c r="A1101" s="109" t="s">
        <v>574</v>
      </c>
      <c r="C1101" s="165"/>
      <c r="D1101" s="165"/>
      <c r="E1101" s="165"/>
      <c r="F1101" s="165"/>
      <c r="G1101" s="165"/>
      <c r="H1101" s="165"/>
      <c r="I1101" s="165"/>
      <c r="J1101" s="165"/>
      <c r="K1101" s="165"/>
      <c r="L1101" s="165"/>
      <c r="M1101" s="165"/>
      <c r="N1101" s="165">
        <v>-110513.18094057255</v>
      </c>
      <c r="O1101" s="165"/>
      <c r="P1101" s="165"/>
      <c r="Q1101" s="165"/>
      <c r="R1101" s="165"/>
      <c r="S1101" s="165"/>
      <c r="T1101" s="165"/>
      <c r="U1101" s="165"/>
      <c r="V1101" s="165"/>
      <c r="W1101" s="165"/>
      <c r="X1101" s="165"/>
      <c r="Y1101" s="165"/>
      <c r="Z1101" s="113">
        <f>IF(Z1082&lt;0,Z1082,0)+(-10000*9.5)</f>
        <v>-95000</v>
      </c>
    </row>
    <row r="1102" spans="1:26" s="20" customFormat="1" x14ac:dyDescent="0.2">
      <c r="A1102" s="109" t="s">
        <v>573</v>
      </c>
      <c r="C1102" s="165"/>
      <c r="D1102" s="165"/>
      <c r="E1102" s="165"/>
      <c r="F1102" s="165"/>
      <c r="G1102" s="165"/>
      <c r="H1102" s="165"/>
      <c r="I1102" s="165"/>
      <c r="J1102" s="165"/>
      <c r="K1102" s="165"/>
      <c r="L1102" s="165"/>
      <c r="M1102" s="165"/>
      <c r="N1102" s="165">
        <v>-630006.32781250286</v>
      </c>
      <c r="O1102" s="165"/>
      <c r="P1102" s="165"/>
      <c r="Q1102" s="165"/>
      <c r="R1102" s="165"/>
      <c r="S1102" s="165"/>
      <c r="T1102" s="165"/>
      <c r="U1102" s="165"/>
      <c r="V1102" s="165"/>
      <c r="W1102" s="165"/>
      <c r="X1102" s="165"/>
      <c r="Y1102" s="165"/>
      <c r="Z1102" s="165">
        <f t="shared" ref="Z1102" si="549">IF(Z1084&lt;0,Z1084,0)</f>
        <v>-1044391.2960000001</v>
      </c>
    </row>
    <row r="1103" spans="1:26" s="20" customFormat="1" x14ac:dyDescent="0.2">
      <c r="A1103" s="222" t="s">
        <v>643</v>
      </c>
      <c r="C1103" s="165"/>
      <c r="D1103" s="165"/>
      <c r="E1103" s="165"/>
      <c r="F1103" s="165"/>
      <c r="G1103" s="165"/>
      <c r="H1103" s="165"/>
      <c r="I1103" s="165"/>
      <c r="J1103" s="165"/>
      <c r="K1103" s="165"/>
      <c r="L1103" s="165"/>
      <c r="M1103" s="165"/>
      <c r="N1103" s="165">
        <v>307182.46852371312</v>
      </c>
      <c r="O1103" s="165"/>
      <c r="P1103" s="165"/>
      <c r="Q1103" s="165"/>
      <c r="R1103" s="165"/>
      <c r="S1103" s="165"/>
      <c r="T1103" s="165"/>
      <c r="U1103" s="165"/>
      <c r="V1103" s="165"/>
      <c r="W1103" s="165"/>
      <c r="X1103" s="165"/>
      <c r="Y1103" s="165"/>
      <c r="Z1103" s="165">
        <f>Z1085</f>
        <v>574003.73275862087</v>
      </c>
    </row>
    <row r="1104" spans="1:26" s="20" customFormat="1" x14ac:dyDescent="0.2">
      <c r="A1104" s="109"/>
      <c r="C1104" s="165"/>
      <c r="D1104" s="165"/>
      <c r="E1104" s="165"/>
      <c r="F1104" s="165"/>
      <c r="G1104" s="165"/>
      <c r="H1104" s="165"/>
      <c r="I1104" s="165"/>
      <c r="J1104" s="165"/>
      <c r="K1104" s="165"/>
      <c r="L1104" s="165"/>
      <c r="M1104" s="165"/>
      <c r="N1104" s="165"/>
      <c r="O1104" s="165"/>
      <c r="P1104" s="165"/>
      <c r="Q1104" s="165"/>
      <c r="R1104" s="165"/>
      <c r="S1104" s="165"/>
      <c r="T1104" s="165"/>
      <c r="U1104" s="165"/>
      <c r="V1104" s="165"/>
      <c r="W1104" s="165"/>
      <c r="X1104" s="165"/>
      <c r="Y1104" s="165"/>
      <c r="Z1104" s="165"/>
    </row>
    <row r="1105" spans="1:26" s="20" customFormat="1" x14ac:dyDescent="0.2">
      <c r="A1105" s="109"/>
      <c r="C1105" s="178"/>
      <c r="D1105" s="178"/>
      <c r="E1105" s="178"/>
      <c r="F1105" s="178"/>
      <c r="G1105" s="178"/>
      <c r="H1105" s="178"/>
      <c r="I1105" s="178"/>
      <c r="J1105" s="178"/>
      <c r="K1105" s="178"/>
      <c r="L1105" s="178"/>
      <c r="M1105" s="178"/>
      <c r="N1105" s="178"/>
      <c r="O1105" s="178"/>
      <c r="P1105" s="178"/>
      <c r="Q1105" s="178"/>
      <c r="R1105" s="178"/>
      <c r="S1105" s="178"/>
      <c r="T1105" s="178"/>
      <c r="U1105" s="178"/>
      <c r="V1105" s="178"/>
      <c r="W1105" s="178"/>
      <c r="X1105" s="178"/>
      <c r="Y1105" s="178"/>
      <c r="Z1105" s="178"/>
    </row>
    <row r="1106" spans="1:26" s="20" customFormat="1" x14ac:dyDescent="0.2">
      <c r="A1106" s="109"/>
      <c r="C1106" s="178"/>
      <c r="D1106" s="178"/>
      <c r="E1106" s="178"/>
      <c r="F1106" s="178"/>
      <c r="G1106" s="178"/>
      <c r="H1106" s="178"/>
      <c r="I1106" s="178"/>
      <c r="J1106" s="178"/>
      <c r="K1106" s="178"/>
      <c r="L1106" s="178"/>
      <c r="M1106" s="178"/>
      <c r="N1106" s="178"/>
      <c r="O1106" s="178"/>
      <c r="P1106" s="178"/>
      <c r="Q1106" s="178"/>
      <c r="R1106" s="178"/>
      <c r="S1106" s="178"/>
      <c r="T1106" s="178"/>
      <c r="U1106" s="178"/>
      <c r="V1106" s="178"/>
      <c r="W1106" s="178"/>
      <c r="X1106" s="178"/>
      <c r="Y1106" s="178"/>
      <c r="Z1106" s="178"/>
    </row>
    <row r="1107" spans="1:26" s="20" customFormat="1" x14ac:dyDescent="0.2">
      <c r="A1107" s="38" t="s">
        <v>456</v>
      </c>
      <c r="C1107" s="178"/>
      <c r="D1107" s="178"/>
      <c r="E1107" s="178"/>
      <c r="F1107" s="178"/>
      <c r="G1107" s="178"/>
      <c r="H1107" s="178"/>
      <c r="I1107" s="178"/>
      <c r="J1107" s="178"/>
      <c r="K1107" s="178"/>
      <c r="L1107" s="178"/>
      <c r="M1107" s="178"/>
      <c r="N1107" s="178"/>
      <c r="O1107" s="178"/>
      <c r="P1107" s="178"/>
      <c r="Q1107" s="178"/>
      <c r="R1107" s="178"/>
      <c r="S1107" s="178"/>
      <c r="T1107" s="178"/>
      <c r="U1107" s="178"/>
      <c r="V1107" s="178"/>
      <c r="W1107" s="178"/>
      <c r="X1107" s="178"/>
      <c r="Y1107" s="178"/>
      <c r="Z1107" s="178"/>
    </row>
    <row r="1108" spans="1:26" s="20" customFormat="1" x14ac:dyDescent="0.2">
      <c r="A1108" s="109" t="str">
        <f t="shared" ref="A1108:A1127" si="550">+A1000</f>
        <v>Constellation Sale - 2011-10-07 - MWh</v>
      </c>
      <c r="C1108" s="111"/>
      <c r="D1108" s="111"/>
      <c r="E1108" s="111"/>
      <c r="F1108" s="111"/>
      <c r="G1108" s="111"/>
      <c r="H1108" s="111"/>
      <c r="I1108" s="111"/>
      <c r="J1108" s="111"/>
      <c r="K1108" s="111"/>
      <c r="L1108" s="111"/>
      <c r="M1108" s="111"/>
      <c r="N1108" s="111"/>
      <c r="O1108" s="111"/>
      <c r="P1108" s="111"/>
      <c r="Q1108" s="111"/>
      <c r="R1108" s="111"/>
      <c r="S1108" s="111"/>
      <c r="T1108" s="111"/>
      <c r="U1108" s="111"/>
      <c r="V1108" s="111"/>
      <c r="W1108" s="111"/>
      <c r="X1108" s="111"/>
      <c r="Y1108" s="111"/>
      <c r="Z1108" s="111"/>
    </row>
    <row r="1109" spans="1:26" s="20" customFormat="1" x14ac:dyDescent="0.2">
      <c r="A1109" s="109" t="str">
        <f t="shared" si="550"/>
        <v>EDF Trading KCW First 10,000 RECs - $/MWh</v>
      </c>
      <c r="C1109" s="24"/>
      <c r="D1109" s="24"/>
      <c r="E1109" s="24"/>
      <c r="F1109" s="24"/>
      <c r="G1109" s="24"/>
      <c r="H1109" s="24"/>
      <c r="I1109" s="24"/>
      <c r="J1109" s="24"/>
      <c r="K1109" s="24"/>
      <c r="L1109" s="24"/>
      <c r="M1109" s="24"/>
      <c r="N1109" s="24"/>
      <c r="O1109" s="24"/>
      <c r="P1109" s="24"/>
      <c r="Q1109" s="24"/>
      <c r="R1109" s="24"/>
      <c r="S1109" s="24"/>
      <c r="T1109" s="24"/>
      <c r="U1109" s="24"/>
      <c r="V1109" s="24"/>
      <c r="W1109" s="24"/>
      <c r="X1109" s="24"/>
      <c r="Y1109" s="24"/>
      <c r="Z1109" s="24"/>
    </row>
    <row r="1110" spans="1:26" s="20" customFormat="1" x14ac:dyDescent="0.2">
      <c r="A1110" s="109" t="str">
        <f t="shared" si="550"/>
        <v>EDF Trading KCW RECs 10,001 - 20,000</v>
      </c>
      <c r="C1110" s="24"/>
      <c r="D1110" s="24"/>
      <c r="E1110" s="24"/>
      <c r="F1110" s="24"/>
      <c r="G1110" s="24"/>
      <c r="H1110" s="24"/>
      <c r="I1110" s="24"/>
      <c r="J1110" s="24"/>
      <c r="K1110" s="24"/>
      <c r="L1110" s="24"/>
      <c r="M1110" s="24"/>
      <c r="N1110" s="24"/>
      <c r="O1110" s="24"/>
      <c r="P1110" s="24"/>
      <c r="Q1110" s="24"/>
      <c r="R1110" s="24"/>
      <c r="S1110" s="24"/>
      <c r="T1110" s="24"/>
      <c r="U1110" s="24"/>
      <c r="V1110" s="24"/>
      <c r="W1110" s="24"/>
      <c r="X1110" s="24"/>
      <c r="Y1110" s="24"/>
      <c r="Z1110" s="24"/>
    </row>
    <row r="1111" spans="1:26" s="20" customFormat="1" x14ac:dyDescent="0.2">
      <c r="A1111" s="109" t="str">
        <f t="shared" si="550"/>
        <v>EDF Trading 10,000 Firm RECs - 2012-10-22</v>
      </c>
      <c r="C1111" s="24"/>
      <c r="D1111" s="24"/>
      <c r="E1111" s="24"/>
      <c r="F1111" s="24"/>
      <c r="G1111" s="24"/>
      <c r="H1111" s="24"/>
      <c r="I1111" s="24"/>
      <c r="J1111" s="24"/>
      <c r="K1111" s="24"/>
      <c r="L1111" s="24"/>
      <c r="M1111" s="24"/>
      <c r="N1111" s="24"/>
      <c r="O1111" s="24"/>
      <c r="P1111" s="24"/>
      <c r="Q1111" s="24"/>
      <c r="R1111" s="24"/>
      <c r="S1111" s="24"/>
      <c r="T1111" s="24"/>
      <c r="U1111" s="24"/>
      <c r="V1111" s="24"/>
      <c r="W1111" s="24"/>
      <c r="X1111" s="24"/>
      <c r="Y1111" s="24"/>
      <c r="Z1111" s="24"/>
    </row>
    <row r="1112" spans="1:26" s="20" customFormat="1" x14ac:dyDescent="0.2">
      <c r="A1112" s="109" t="str">
        <f t="shared" si="550"/>
        <v>EDF Trading 5,000 Firm RECs - 2012-12-12</v>
      </c>
      <c r="C1112" s="24"/>
      <c r="D1112" s="24"/>
      <c r="E1112" s="24"/>
      <c r="F1112" s="24"/>
      <c r="G1112" s="24"/>
      <c r="H1112" s="24"/>
      <c r="I1112" s="24"/>
      <c r="J1112" s="24"/>
      <c r="K1112" s="24"/>
      <c r="L1112" s="24"/>
      <c r="M1112" s="24"/>
      <c r="N1112" s="24"/>
      <c r="O1112" s="24"/>
      <c r="P1112" s="24"/>
      <c r="Q1112" s="24"/>
      <c r="R1112" s="24"/>
      <c r="S1112" s="24"/>
      <c r="T1112" s="24"/>
      <c r="U1112" s="24"/>
      <c r="V1112" s="24"/>
      <c r="W1112" s="24"/>
      <c r="X1112" s="24"/>
      <c r="Y1112" s="24"/>
      <c r="Z1112" s="24"/>
    </row>
    <row r="1113" spans="1:26" s="20" customFormat="1" x14ac:dyDescent="0.2">
      <c r="A1113" s="109" t="str">
        <f t="shared" si="550"/>
        <v>NRG - $39.25 2024 05 07</v>
      </c>
      <c r="C1113" s="24"/>
      <c r="D1113" s="24"/>
      <c r="E1113" s="24"/>
      <c r="F1113" s="24"/>
      <c r="G1113" s="24"/>
      <c r="H1113" s="24"/>
      <c r="I1113" s="24"/>
      <c r="J1113" s="24"/>
      <c r="K1113" s="24"/>
      <c r="L1113" s="24"/>
      <c r="M1113" s="24"/>
      <c r="N1113" s="24"/>
      <c r="O1113" s="24">
        <v>39.25</v>
      </c>
      <c r="P1113" s="24">
        <v>39.25</v>
      </c>
      <c r="Q1113" s="24">
        <v>39.25</v>
      </c>
      <c r="R1113" s="24">
        <v>39.25</v>
      </c>
      <c r="S1113" s="24">
        <v>39.25</v>
      </c>
      <c r="T1113" s="24">
        <v>39.25</v>
      </c>
      <c r="U1113" s="24">
        <v>39.25</v>
      </c>
      <c r="V1113" s="24">
        <v>39.25</v>
      </c>
      <c r="W1113" s="24">
        <v>39.25</v>
      </c>
      <c r="X1113" s="24">
        <v>39.25</v>
      </c>
      <c r="Y1113" s="24">
        <v>39.25</v>
      </c>
      <c r="Z1113" s="24">
        <v>39.25</v>
      </c>
    </row>
    <row r="1114" spans="1:26" s="20" customFormat="1" x14ac:dyDescent="0.2">
      <c r="A1114" s="109" t="str">
        <f t="shared" si="550"/>
        <v>EDF Trading 10,000 Firm RECS - 2015-08-26</v>
      </c>
      <c r="C1114" s="24"/>
      <c r="D1114" s="24"/>
      <c r="E1114" s="24"/>
      <c r="F1114" s="24"/>
      <c r="G1114" s="24"/>
      <c r="H1114" s="24"/>
      <c r="I1114" s="24"/>
      <c r="J1114" s="24"/>
      <c r="K1114" s="24"/>
      <c r="L1114" s="24"/>
      <c r="M1114" s="24"/>
      <c r="N1114" s="24"/>
      <c r="O1114" s="24"/>
      <c r="P1114" s="24"/>
      <c r="Q1114" s="24"/>
      <c r="R1114" s="24"/>
      <c r="S1114" s="24"/>
      <c r="T1114" s="24"/>
      <c r="U1114" s="24"/>
      <c r="V1114" s="24"/>
      <c r="W1114" s="24"/>
      <c r="X1114" s="24"/>
      <c r="Y1114" s="24"/>
      <c r="Z1114" s="24"/>
    </row>
    <row r="1115" spans="1:26" s="20" customFormat="1" x14ac:dyDescent="0.2">
      <c r="A1115" s="109" t="str">
        <f t="shared" si="550"/>
        <v>EDF Trading 10,000 Firm RECs - 2013-03-25</v>
      </c>
      <c r="C1115" s="24"/>
      <c r="D1115" s="24"/>
      <c r="E1115" s="24"/>
      <c r="F1115" s="24"/>
      <c r="G1115" s="24"/>
      <c r="H1115" s="24"/>
      <c r="I1115" s="24"/>
      <c r="J1115" s="24"/>
      <c r="K1115" s="24"/>
      <c r="L1115" s="24"/>
      <c r="M1115" s="24"/>
      <c r="N1115" s="24"/>
      <c r="O1115" s="24"/>
      <c r="P1115" s="24"/>
      <c r="Q1115" s="24"/>
      <c r="R1115" s="24"/>
      <c r="S1115" s="24"/>
      <c r="T1115" s="24"/>
      <c r="U1115" s="24"/>
      <c r="V1115" s="24"/>
      <c r="W1115" s="24"/>
      <c r="X1115" s="24"/>
      <c r="Y1115" s="24"/>
      <c r="Z1115" s="24"/>
    </row>
    <row r="1116" spans="1:26" s="20" customFormat="1" x14ac:dyDescent="0.2">
      <c r="A1116" s="109" t="str">
        <f t="shared" si="550"/>
        <v>EDF Trading 10,000 Firm 2015 RECs  - 2014-04-07</v>
      </c>
      <c r="C1116" s="24"/>
      <c r="D1116" s="24"/>
      <c r="E1116" s="24"/>
      <c r="F1116" s="24"/>
      <c r="G1116" s="24"/>
      <c r="H1116" s="24"/>
      <c r="I1116" s="24"/>
      <c r="J1116" s="24"/>
      <c r="K1116" s="24"/>
      <c r="L1116" s="24"/>
      <c r="M1116" s="24"/>
      <c r="N1116" s="24"/>
      <c r="O1116" s="24"/>
      <c r="P1116" s="24"/>
      <c r="Q1116" s="24"/>
      <c r="R1116" s="24"/>
      <c r="S1116" s="24"/>
      <c r="T1116" s="24"/>
      <c r="U1116" s="24"/>
      <c r="V1116" s="24"/>
      <c r="W1116" s="24"/>
      <c r="X1116" s="24"/>
      <c r="Y1116" s="24"/>
      <c r="Z1116" s="24"/>
    </row>
    <row r="1117" spans="1:26" s="20" customFormat="1" x14ac:dyDescent="0.2">
      <c r="A1117" s="109" t="str">
        <f t="shared" si="550"/>
        <v>EDF Trading 5,000 Firm RECs - 2014-08-07</v>
      </c>
      <c r="C1117" s="24"/>
      <c r="D1117" s="24"/>
      <c r="E1117" s="24"/>
      <c r="F1117" s="24"/>
      <c r="G1117" s="24"/>
      <c r="H1117" s="24"/>
      <c r="I1117" s="24"/>
      <c r="J1117" s="24"/>
      <c r="K1117" s="24"/>
      <c r="L1117" s="24"/>
      <c r="M1117" s="24"/>
      <c r="N1117" s="24"/>
      <c r="O1117" s="24"/>
      <c r="P1117" s="24"/>
      <c r="Q1117" s="24"/>
      <c r="R1117" s="24"/>
      <c r="S1117" s="24"/>
      <c r="T1117" s="24"/>
      <c r="U1117" s="24"/>
      <c r="V1117" s="24"/>
      <c r="W1117" s="24"/>
      <c r="X1117" s="24"/>
      <c r="Y1117" s="24"/>
      <c r="Z1117" s="24"/>
    </row>
    <row r="1118" spans="1:26" s="20" customFormat="1" x14ac:dyDescent="0.2">
      <c r="A1118" s="109" t="str">
        <f t="shared" si="550"/>
        <v>EDF Trading 5,000 Firm REC - 2019-04-04</v>
      </c>
      <c r="C1118" s="24"/>
      <c r="D1118" s="24"/>
      <c r="E1118" s="24"/>
      <c r="F1118" s="24"/>
      <c r="G1118" s="24"/>
      <c r="H1118" s="24"/>
      <c r="I1118" s="24"/>
      <c r="J1118" s="24"/>
      <c r="K1118" s="24"/>
      <c r="L1118" s="24"/>
      <c r="M1118" s="24"/>
      <c r="N1118" s="24"/>
      <c r="O1118" s="24"/>
      <c r="P1118" s="24"/>
      <c r="Q1118" s="24"/>
      <c r="R1118" s="24"/>
      <c r="S1118" s="24"/>
      <c r="T1118" s="24"/>
      <c r="U1118" s="24"/>
      <c r="V1118" s="24"/>
      <c r="W1118" s="24"/>
      <c r="X1118" s="24"/>
      <c r="Y1118" s="24"/>
      <c r="Z1118" s="24"/>
    </row>
    <row r="1119" spans="1:26" s="20" customFormat="1" x14ac:dyDescent="0.2">
      <c r="A1119" s="109" t="str">
        <f t="shared" si="550"/>
        <v>EDF Trading 10,000 MA Class I - 2020-04-16</v>
      </c>
      <c r="C1119" s="24">
        <v>27</v>
      </c>
      <c r="D1119" s="24">
        <v>27</v>
      </c>
      <c r="E1119" s="24">
        <v>27</v>
      </c>
      <c r="F1119" s="24">
        <v>27</v>
      </c>
      <c r="G1119" s="24">
        <v>27</v>
      </c>
      <c r="H1119" s="24">
        <v>27</v>
      </c>
      <c r="I1119" s="24">
        <v>27</v>
      </c>
      <c r="J1119" s="24">
        <v>27</v>
      </c>
      <c r="K1119" s="24">
        <v>27</v>
      </c>
      <c r="L1119" s="24">
        <v>27</v>
      </c>
      <c r="M1119" s="24">
        <v>27</v>
      </c>
      <c r="N1119" s="24">
        <v>27</v>
      </c>
      <c r="O1119" s="24"/>
      <c r="P1119" s="24"/>
      <c r="Q1119" s="24"/>
      <c r="R1119" s="24"/>
      <c r="S1119" s="24"/>
      <c r="T1119" s="24"/>
      <c r="U1119" s="24"/>
      <c r="V1119" s="24"/>
      <c r="W1119" s="24"/>
      <c r="X1119" s="24"/>
      <c r="Y1119" s="24"/>
      <c r="Z1119" s="24"/>
    </row>
    <row r="1120" spans="1:26" s="20" customFormat="1" x14ac:dyDescent="0.2">
      <c r="A1120" s="109" t="str">
        <f t="shared" si="550"/>
        <v>Just Energy - 5000 Firme 2014 RECs - 2014-11-14</v>
      </c>
      <c r="C1120" s="24"/>
      <c r="D1120" s="24"/>
      <c r="E1120" s="24"/>
      <c r="F1120" s="24"/>
      <c r="G1120" s="24"/>
      <c r="H1120" s="24"/>
      <c r="I1120" s="24"/>
      <c r="J1120" s="24"/>
      <c r="K1120" s="24"/>
      <c r="L1120" s="24"/>
      <c r="M1120" s="24"/>
      <c r="N1120" s="24"/>
      <c r="O1120" s="24"/>
      <c r="P1120" s="24"/>
      <c r="Q1120" s="24"/>
      <c r="R1120" s="24"/>
      <c r="S1120" s="24"/>
      <c r="T1120" s="24"/>
      <c r="U1120" s="24"/>
      <c r="V1120" s="24"/>
      <c r="W1120" s="24"/>
      <c r="X1120" s="24"/>
      <c r="Y1120" s="24"/>
      <c r="Z1120" s="24"/>
    </row>
    <row r="1121" spans="1:26" s="20" customFormat="1" x14ac:dyDescent="0.2">
      <c r="A1121" s="109" t="str">
        <f t="shared" si="550"/>
        <v>Direct Energy - 2015-04-25</v>
      </c>
      <c r="C1121" s="24"/>
      <c r="D1121" s="24"/>
      <c r="E1121" s="24"/>
      <c r="F1121" s="24"/>
      <c r="G1121" s="24"/>
      <c r="H1121" s="24"/>
      <c r="I1121" s="24"/>
      <c r="J1121" s="24"/>
      <c r="K1121" s="24"/>
      <c r="L1121" s="24"/>
      <c r="M1121" s="24"/>
      <c r="N1121" s="24"/>
      <c r="O1121" s="24"/>
      <c r="P1121" s="24"/>
      <c r="Q1121" s="24"/>
      <c r="R1121" s="24"/>
      <c r="S1121" s="24"/>
      <c r="T1121" s="24"/>
      <c r="U1121" s="24"/>
      <c r="V1121" s="24"/>
      <c r="W1121" s="24"/>
      <c r="X1121" s="24"/>
      <c r="Y1121" s="24"/>
      <c r="Z1121" s="24"/>
    </row>
    <row r="1122" spans="1:26" s="20" customFormat="1" x14ac:dyDescent="0.2">
      <c r="A1122" s="109" t="str">
        <f t="shared" si="550"/>
        <v>Direct Energy - 2015-12-09</v>
      </c>
      <c r="C1122" s="24"/>
      <c r="D1122" s="24"/>
      <c r="E1122" s="24"/>
      <c r="F1122" s="24"/>
      <c r="G1122" s="24"/>
      <c r="H1122" s="24"/>
      <c r="I1122" s="24"/>
      <c r="J1122" s="24"/>
      <c r="K1122" s="24"/>
      <c r="L1122" s="24"/>
      <c r="M1122" s="24"/>
      <c r="N1122" s="24"/>
      <c r="O1122" s="24"/>
      <c r="P1122" s="24"/>
      <c r="Q1122" s="24"/>
      <c r="R1122" s="24"/>
      <c r="S1122" s="24"/>
      <c r="T1122" s="24"/>
      <c r="U1122" s="24"/>
      <c r="V1122" s="24"/>
      <c r="W1122" s="24"/>
      <c r="X1122" s="24"/>
      <c r="Y1122" s="24"/>
      <c r="Z1122" s="24"/>
    </row>
    <row r="1123" spans="1:26" s="20" customFormat="1" x14ac:dyDescent="0.2">
      <c r="A1123" s="109" t="str">
        <f t="shared" si="550"/>
        <v>Direct Energy - 2015-12-09</v>
      </c>
      <c r="C1123" s="24"/>
      <c r="D1123" s="24"/>
      <c r="E1123" s="24"/>
      <c r="F1123" s="24"/>
      <c r="G1123" s="24"/>
      <c r="H1123" s="24"/>
      <c r="I1123" s="24"/>
      <c r="J1123" s="24"/>
      <c r="K1123" s="24"/>
      <c r="L1123" s="24"/>
      <c r="M1123" s="24"/>
      <c r="N1123" s="24"/>
      <c r="O1123" s="24"/>
      <c r="P1123" s="24"/>
      <c r="Q1123" s="24"/>
      <c r="R1123" s="24"/>
      <c r="S1123" s="24"/>
      <c r="T1123" s="24"/>
      <c r="U1123" s="24"/>
      <c r="V1123" s="24"/>
      <c r="W1123" s="24"/>
      <c r="X1123" s="24"/>
      <c r="Y1123" s="24"/>
      <c r="Z1123" s="24"/>
    </row>
    <row r="1124" spans="1:26" s="20" customFormat="1" x14ac:dyDescent="0.2">
      <c r="A1124" s="109" t="str">
        <f t="shared" si="550"/>
        <v>Direct Energy - 2019-01-25</v>
      </c>
      <c r="C1124" s="24"/>
      <c r="D1124" s="24"/>
      <c r="E1124" s="24"/>
      <c r="F1124" s="24"/>
      <c r="G1124" s="24"/>
      <c r="H1124" s="24"/>
      <c r="I1124" s="24"/>
      <c r="J1124" s="24"/>
      <c r="K1124" s="24"/>
      <c r="L1124" s="24"/>
      <c r="M1124" s="24"/>
      <c r="N1124" s="24"/>
      <c r="O1124" s="24"/>
      <c r="P1124" s="24"/>
      <c r="Q1124" s="24"/>
      <c r="R1124" s="24"/>
      <c r="S1124" s="24"/>
      <c r="T1124" s="24"/>
      <c r="U1124" s="24"/>
      <c r="V1124" s="24"/>
      <c r="W1124" s="24"/>
      <c r="X1124" s="24"/>
      <c r="Y1124" s="24"/>
      <c r="Z1124" s="24"/>
    </row>
    <row r="1125" spans="1:26" s="20" customFormat="1" x14ac:dyDescent="0.2">
      <c r="A1125" s="109" t="str">
        <f t="shared" si="550"/>
        <v>Skyview - 2018-02-08</v>
      </c>
      <c r="C1125" s="24"/>
      <c r="D1125" s="24"/>
      <c r="E1125" s="24"/>
      <c r="F1125" s="24"/>
      <c r="G1125" s="24"/>
      <c r="H1125" s="24"/>
      <c r="I1125" s="24"/>
      <c r="J1125" s="24"/>
      <c r="K1125" s="24"/>
      <c r="L1125" s="24"/>
      <c r="M1125" s="24"/>
      <c r="N1125" s="24"/>
      <c r="O1125" s="24"/>
      <c r="P1125" s="24"/>
      <c r="Q1125" s="24"/>
      <c r="R1125" s="24"/>
      <c r="S1125" s="24"/>
      <c r="T1125" s="24"/>
      <c r="U1125" s="24"/>
      <c r="V1125" s="24"/>
      <c r="W1125" s="24"/>
      <c r="X1125" s="24"/>
      <c r="Y1125" s="24"/>
      <c r="Z1125" s="24"/>
    </row>
    <row r="1126" spans="1:26" s="20" customFormat="1" x14ac:dyDescent="0.2">
      <c r="A1126" s="109" t="str">
        <f t="shared" si="550"/>
        <v>Vitol - 2015-04-24</v>
      </c>
      <c r="C1126" s="24"/>
      <c r="D1126" s="24"/>
      <c r="E1126" s="24"/>
      <c r="F1126" s="24"/>
      <c r="G1126" s="24"/>
      <c r="H1126" s="24"/>
      <c r="I1126" s="24"/>
      <c r="J1126" s="24"/>
      <c r="K1126" s="24"/>
      <c r="L1126" s="24"/>
      <c r="M1126" s="24"/>
      <c r="N1126" s="24"/>
      <c r="O1126" s="24"/>
      <c r="P1126" s="24"/>
      <c r="Q1126" s="24"/>
      <c r="R1126" s="24"/>
      <c r="S1126" s="24"/>
      <c r="T1126" s="24"/>
      <c r="U1126" s="24"/>
      <c r="V1126" s="24"/>
      <c r="W1126" s="24"/>
      <c r="X1126" s="24"/>
      <c r="Y1126" s="24"/>
      <c r="Z1126" s="24"/>
    </row>
    <row r="1127" spans="1:26" s="20" customFormat="1" x14ac:dyDescent="0.2">
      <c r="A1127" s="109" t="str">
        <f t="shared" si="550"/>
        <v>Vitol - 2022-12-08</v>
      </c>
      <c r="C1127" s="24">
        <v>36.5</v>
      </c>
      <c r="D1127" s="24">
        <v>36.5</v>
      </c>
      <c r="E1127" s="24">
        <v>36.5</v>
      </c>
      <c r="F1127" s="24">
        <v>36.5</v>
      </c>
      <c r="G1127" s="24">
        <v>36.5</v>
      </c>
      <c r="H1127" s="24">
        <v>36.5</v>
      </c>
      <c r="I1127" s="24">
        <v>36.5</v>
      </c>
      <c r="J1127" s="24">
        <v>36.5</v>
      </c>
      <c r="K1127" s="24">
        <v>36.5</v>
      </c>
      <c r="L1127" s="24">
        <v>36.5</v>
      </c>
      <c r="M1127" s="24">
        <v>36.5</v>
      </c>
      <c r="N1127" s="24">
        <v>36.5</v>
      </c>
      <c r="O1127" s="24"/>
      <c r="P1127" s="24"/>
      <c r="Q1127" s="24"/>
      <c r="R1127" s="24"/>
      <c r="S1127" s="24"/>
      <c r="T1127" s="24"/>
      <c r="U1127" s="24"/>
      <c r="V1127" s="24"/>
      <c r="W1127" s="24"/>
      <c r="X1127" s="24"/>
      <c r="Y1127" s="24"/>
      <c r="Z1127" s="24"/>
    </row>
    <row r="1128" spans="1:26" s="20" customFormat="1" x14ac:dyDescent="0.2">
      <c r="A1128" s="109" t="s">
        <v>603</v>
      </c>
      <c r="C1128" s="24"/>
      <c r="D1128" s="24"/>
      <c r="E1128" s="24"/>
      <c r="F1128" s="24"/>
      <c r="G1128" s="24"/>
      <c r="H1128" s="24"/>
      <c r="I1128" s="24"/>
      <c r="J1128" s="24"/>
      <c r="K1128" s="24"/>
      <c r="L1128" s="24"/>
      <c r="M1128" s="24"/>
      <c r="N1128" s="24"/>
      <c r="O1128" s="24"/>
      <c r="P1128" s="24"/>
      <c r="Q1128" s="24"/>
      <c r="R1128" s="24"/>
      <c r="S1128" s="24"/>
      <c r="T1128" s="24"/>
      <c r="U1128" s="24"/>
      <c r="V1128" s="24"/>
      <c r="W1128" s="24"/>
      <c r="X1128" s="24"/>
      <c r="Y1128" s="24"/>
      <c r="Z1128" s="24"/>
    </row>
    <row r="1129" spans="1:26" s="20" customFormat="1" x14ac:dyDescent="0.2">
      <c r="A1129" s="109" t="s">
        <v>629</v>
      </c>
      <c r="C1129" s="24">
        <v>34.25</v>
      </c>
      <c r="D1129" s="24">
        <v>34.25</v>
      </c>
      <c r="E1129" s="24">
        <v>34.25</v>
      </c>
      <c r="F1129" s="24">
        <v>34.25</v>
      </c>
      <c r="G1129" s="24">
        <v>34.25</v>
      </c>
      <c r="H1129" s="24">
        <v>34.25</v>
      </c>
      <c r="I1129" s="24">
        <v>34.25</v>
      </c>
      <c r="J1129" s="24">
        <v>34.25</v>
      </c>
      <c r="K1129" s="24">
        <v>34.25</v>
      </c>
      <c r="L1129" s="24">
        <v>34.25</v>
      </c>
      <c r="M1129" s="24">
        <v>34.25</v>
      </c>
      <c r="N1129" s="24">
        <v>34.25</v>
      </c>
      <c r="O1129" s="24">
        <v>34.25</v>
      </c>
      <c r="P1129" s="24">
        <v>34.25</v>
      </c>
      <c r="Q1129" s="24">
        <v>34.25</v>
      </c>
      <c r="R1129" s="24">
        <v>34.25</v>
      </c>
      <c r="S1129" s="24">
        <v>34.25</v>
      </c>
      <c r="T1129" s="24">
        <v>34.25</v>
      </c>
      <c r="U1129" s="24">
        <v>34.25</v>
      </c>
      <c r="V1129" s="24">
        <v>34.25</v>
      </c>
      <c r="W1129" s="24">
        <v>34.25</v>
      </c>
      <c r="X1129" s="24">
        <v>34.25</v>
      </c>
      <c r="Y1129" s="24">
        <v>34.25</v>
      </c>
      <c r="Z1129" s="24">
        <v>34.25</v>
      </c>
    </row>
    <row r="1130" spans="1:26" s="20" customFormat="1" x14ac:dyDescent="0.2">
      <c r="A1130" s="109" t="str">
        <f t="shared" ref="A1130:A1136" si="551">+A1022</f>
        <v>Energy America Sale - 2014-02-13</v>
      </c>
      <c r="C1130" s="24"/>
      <c r="D1130" s="24"/>
      <c r="E1130" s="24"/>
      <c r="F1130" s="24"/>
      <c r="G1130" s="24"/>
      <c r="H1130" s="24"/>
      <c r="I1130" s="24"/>
      <c r="J1130" s="24"/>
      <c r="K1130" s="24"/>
      <c r="L1130" s="24"/>
      <c r="M1130" s="24"/>
      <c r="N1130" s="24"/>
      <c r="O1130" s="24"/>
      <c r="P1130" s="24"/>
      <c r="Q1130" s="24"/>
      <c r="R1130" s="24"/>
      <c r="S1130" s="24"/>
      <c r="T1130" s="24"/>
      <c r="U1130" s="24"/>
      <c r="V1130" s="24"/>
      <c r="W1130" s="24"/>
      <c r="X1130" s="24"/>
      <c r="Y1130" s="24"/>
      <c r="Z1130" s="24"/>
    </row>
    <row r="1131" spans="1:26" s="20" customFormat="1" x14ac:dyDescent="0.2">
      <c r="A1131" s="109" t="str">
        <f t="shared" si="551"/>
        <v>Energy America Sale - 2012-08-23</v>
      </c>
      <c r="C1131" s="24"/>
      <c r="D1131" s="24"/>
      <c r="E1131" s="24"/>
      <c r="F1131" s="24"/>
      <c r="G1131" s="24"/>
      <c r="H1131" s="24"/>
      <c r="I1131" s="24"/>
      <c r="J1131" s="24"/>
      <c r="K1131" s="24"/>
      <c r="L1131" s="24"/>
      <c r="M1131" s="24"/>
      <c r="N1131" s="24"/>
      <c r="O1131" s="24"/>
      <c r="P1131" s="24"/>
      <c r="Q1131" s="24"/>
      <c r="R1131" s="24"/>
      <c r="S1131" s="24"/>
      <c r="T1131" s="24"/>
      <c r="U1131" s="24"/>
      <c r="V1131" s="24"/>
      <c r="W1131" s="24"/>
      <c r="X1131" s="24"/>
      <c r="Y1131" s="24"/>
      <c r="Z1131" s="24"/>
    </row>
    <row r="1132" spans="1:26" s="20" customFormat="1" x14ac:dyDescent="0.2">
      <c r="A1132" s="109" t="str">
        <f t="shared" si="551"/>
        <v>Direct Energy - 2016-04-13</v>
      </c>
      <c r="C1132" s="24"/>
      <c r="D1132" s="24"/>
      <c r="E1132" s="24"/>
      <c r="F1132" s="24"/>
      <c r="G1132" s="24"/>
      <c r="H1132" s="24"/>
      <c r="I1132" s="24"/>
      <c r="J1132" s="24"/>
      <c r="K1132" s="24"/>
      <c r="L1132" s="24"/>
      <c r="M1132" s="24"/>
      <c r="N1132" s="24"/>
      <c r="O1132" s="24"/>
      <c r="P1132" s="24"/>
      <c r="Q1132" s="24"/>
      <c r="R1132" s="24"/>
      <c r="S1132" s="24"/>
      <c r="T1132" s="24"/>
      <c r="U1132" s="24"/>
      <c r="V1132" s="24"/>
      <c r="W1132" s="24"/>
      <c r="X1132" s="24"/>
      <c r="Y1132" s="24"/>
      <c r="Z1132" s="24"/>
    </row>
    <row r="1133" spans="1:26" s="20" customFormat="1" x14ac:dyDescent="0.2">
      <c r="A1133" s="109" t="str">
        <f t="shared" si="551"/>
        <v>Direct Energy - 2016-05-26</v>
      </c>
      <c r="C1133" s="24"/>
      <c r="D1133" s="24"/>
      <c r="E1133" s="24"/>
      <c r="F1133" s="24"/>
      <c r="G1133" s="24"/>
      <c r="H1133" s="24"/>
      <c r="I1133" s="24"/>
      <c r="J1133" s="24"/>
      <c r="K1133" s="24"/>
      <c r="L1133" s="24"/>
      <c r="M1133" s="24"/>
      <c r="N1133" s="24"/>
      <c r="O1133" s="24"/>
      <c r="P1133" s="24"/>
      <c r="Q1133" s="24"/>
      <c r="R1133" s="24"/>
      <c r="S1133" s="24"/>
      <c r="T1133" s="24"/>
      <c r="U1133" s="24"/>
      <c r="V1133" s="24"/>
      <c r="W1133" s="24"/>
      <c r="X1133" s="24"/>
      <c r="Y1133" s="24"/>
      <c r="Z1133" s="24"/>
    </row>
    <row r="1134" spans="1:26" s="20" customFormat="1" x14ac:dyDescent="0.2">
      <c r="A1134" s="109" t="str">
        <f t="shared" si="551"/>
        <v>Exelon - 2018-07-31 - MA/CT REC Sale</v>
      </c>
      <c r="C1134" s="24"/>
      <c r="D1134" s="24"/>
      <c r="E1134" s="24"/>
      <c r="F1134" s="24"/>
      <c r="G1134" s="24"/>
      <c r="H1134" s="24"/>
      <c r="I1134" s="24"/>
      <c r="J1134" s="24"/>
      <c r="K1134" s="24"/>
      <c r="L1134" s="24"/>
      <c r="M1134" s="24"/>
      <c r="N1134" s="24"/>
      <c r="O1134" s="24"/>
      <c r="P1134" s="24"/>
      <c r="Q1134" s="24"/>
      <c r="R1134" s="24"/>
      <c r="S1134" s="24"/>
      <c r="T1134" s="24"/>
      <c r="U1134" s="24"/>
      <c r="V1134" s="24"/>
      <c r="W1134" s="24"/>
      <c r="X1134" s="24"/>
      <c r="Y1134" s="24"/>
      <c r="Z1134" s="24"/>
    </row>
    <row r="1135" spans="1:26" s="20" customFormat="1" x14ac:dyDescent="0.2">
      <c r="A1135" s="109" t="str">
        <f t="shared" si="551"/>
        <v>Exelon - 2020-04-14</v>
      </c>
      <c r="C1135" s="24">
        <v>28</v>
      </c>
      <c r="D1135" s="24">
        <v>28</v>
      </c>
      <c r="E1135" s="24">
        <v>28</v>
      </c>
      <c r="F1135" s="24">
        <v>28</v>
      </c>
      <c r="G1135" s="24">
        <v>28</v>
      </c>
      <c r="H1135" s="24">
        <v>28</v>
      </c>
      <c r="I1135" s="24">
        <v>28</v>
      </c>
      <c r="J1135" s="24">
        <v>28</v>
      </c>
      <c r="K1135" s="24">
        <v>28</v>
      </c>
      <c r="L1135" s="24">
        <v>28</v>
      </c>
      <c r="M1135" s="24">
        <v>28</v>
      </c>
      <c r="N1135" s="24">
        <v>28</v>
      </c>
      <c r="O1135" s="24"/>
      <c r="P1135" s="24"/>
      <c r="Q1135" s="24"/>
      <c r="R1135" s="24"/>
      <c r="S1135" s="24"/>
      <c r="T1135" s="24"/>
      <c r="U1135" s="24"/>
      <c r="V1135" s="24"/>
      <c r="W1135" s="24"/>
      <c r="X1135" s="24"/>
      <c r="Y1135" s="24"/>
      <c r="Z1135" s="24"/>
    </row>
    <row r="1136" spans="1:26" s="20" customFormat="1" x14ac:dyDescent="0.2">
      <c r="A1136" s="109" t="str">
        <f t="shared" si="551"/>
        <v>Vitol MA 1 - 10/14/20</v>
      </c>
      <c r="C1136" s="24">
        <v>32</v>
      </c>
      <c r="D1136" s="24">
        <v>32</v>
      </c>
      <c r="E1136" s="24">
        <v>32</v>
      </c>
      <c r="F1136" s="24">
        <v>32</v>
      </c>
      <c r="G1136" s="24">
        <v>32</v>
      </c>
      <c r="H1136" s="24">
        <v>32</v>
      </c>
      <c r="I1136" s="24">
        <v>32</v>
      </c>
      <c r="J1136" s="24">
        <v>32</v>
      </c>
      <c r="K1136" s="24">
        <v>32</v>
      </c>
      <c r="L1136" s="24">
        <v>32</v>
      </c>
      <c r="M1136" s="24">
        <v>32</v>
      </c>
      <c r="N1136" s="24">
        <v>32</v>
      </c>
      <c r="O1136" s="24"/>
      <c r="P1136" s="24"/>
      <c r="Q1136" s="24"/>
      <c r="R1136" s="24"/>
      <c r="S1136" s="24"/>
      <c r="T1136" s="24"/>
      <c r="U1136" s="24"/>
      <c r="V1136" s="24"/>
      <c r="W1136" s="24"/>
      <c r="X1136" s="24"/>
      <c r="Y1136" s="24"/>
      <c r="Z1136" s="24"/>
    </row>
    <row r="1137" spans="1:26" s="20" customFormat="1" x14ac:dyDescent="0.2">
      <c r="A1137" s="109" t="str">
        <f>+A1029</f>
        <v>Constellation - 6/8/2023</v>
      </c>
      <c r="C1137" s="24">
        <v>38.200000000000003</v>
      </c>
      <c r="D1137" s="24">
        <v>38.200000000000003</v>
      </c>
      <c r="E1137" s="24">
        <v>38.200000000000003</v>
      </c>
      <c r="F1137" s="24">
        <v>38.200000000000003</v>
      </c>
      <c r="G1137" s="24">
        <v>38.200000000000003</v>
      </c>
      <c r="H1137" s="24">
        <v>38.200000000000003</v>
      </c>
      <c r="I1137" s="24">
        <v>38.200000000000003</v>
      </c>
      <c r="J1137" s="24">
        <v>38.200000000000003</v>
      </c>
      <c r="K1137" s="24">
        <v>38.200000000000003</v>
      </c>
      <c r="L1137" s="24">
        <v>38.200000000000003</v>
      </c>
      <c r="M1137" s="24">
        <v>38.200000000000003</v>
      </c>
      <c r="N1137" s="24">
        <v>38.200000000000003</v>
      </c>
      <c r="O1137" s="24">
        <v>38.200000000000003</v>
      </c>
      <c r="P1137" s="24">
        <v>38.200000000000003</v>
      </c>
      <c r="Q1137" s="24">
        <v>38.200000000000003</v>
      </c>
      <c r="R1137" s="24">
        <v>38.200000000000003</v>
      </c>
      <c r="S1137" s="24">
        <v>38.200000000000003</v>
      </c>
      <c r="T1137" s="24">
        <v>38.200000000000003</v>
      </c>
      <c r="U1137" s="24">
        <v>38.200000000000003</v>
      </c>
      <c r="V1137" s="24">
        <v>38.200000000000003</v>
      </c>
      <c r="W1137" s="24">
        <v>38.200000000000003</v>
      </c>
      <c r="X1137" s="24">
        <v>38.200000000000003</v>
      </c>
      <c r="Y1137" s="24">
        <v>38.200000000000003</v>
      </c>
      <c r="Z1137" s="24">
        <v>38.200000000000003</v>
      </c>
    </row>
    <row r="1138" spans="1:26" s="20" customFormat="1" x14ac:dyDescent="0.2">
      <c r="A1138" s="109" t="str">
        <f>+A1030</f>
        <v>Exelon - 2018-05-16 - CT REC Sale</v>
      </c>
      <c r="C1138" s="24"/>
      <c r="D1138" s="24"/>
      <c r="E1138" s="24"/>
      <c r="F1138" s="24"/>
      <c r="G1138" s="24"/>
      <c r="H1138" s="24"/>
      <c r="I1138" s="24"/>
      <c r="J1138" s="24"/>
      <c r="K1138" s="24"/>
      <c r="L1138" s="24"/>
      <c r="M1138" s="24"/>
      <c r="N1138" s="24"/>
      <c r="O1138" s="24"/>
      <c r="P1138" s="24"/>
      <c r="Q1138" s="24"/>
      <c r="R1138" s="24"/>
      <c r="S1138" s="24"/>
      <c r="T1138" s="24"/>
      <c r="U1138" s="24"/>
      <c r="V1138" s="24"/>
      <c r="W1138" s="24"/>
      <c r="X1138" s="24"/>
      <c r="Y1138" s="24"/>
      <c r="Z1138" s="24"/>
    </row>
    <row r="1139" spans="1:26" s="20" customFormat="1" x14ac:dyDescent="0.2">
      <c r="A1139" s="109" t="str">
        <f t="shared" ref="A1139" si="552">+A1031</f>
        <v>3Degrees CT Class I - 2020-04-15</v>
      </c>
      <c r="C1139" s="24"/>
      <c r="D1139" s="24"/>
      <c r="E1139" s="24"/>
      <c r="F1139" s="24"/>
      <c r="G1139" s="24"/>
      <c r="H1139" s="24"/>
      <c r="I1139" s="24"/>
      <c r="J1139" s="24"/>
      <c r="K1139" s="24"/>
      <c r="L1139" s="24"/>
      <c r="M1139" s="24"/>
      <c r="N1139" s="24"/>
      <c r="O1139" s="24"/>
      <c r="P1139" s="24"/>
      <c r="Q1139" s="24"/>
      <c r="R1139" s="24"/>
      <c r="S1139" s="24"/>
      <c r="T1139" s="24"/>
      <c r="U1139" s="24"/>
      <c r="V1139" s="24"/>
      <c r="W1139" s="24"/>
      <c r="X1139" s="24"/>
      <c r="Y1139" s="24"/>
      <c r="Z1139" s="24"/>
    </row>
    <row r="1140" spans="1:26" s="20" customFormat="1" x14ac:dyDescent="0.2">
      <c r="A1140" s="109" t="str">
        <f>+A1043</f>
        <v>Proxy Sale of MA RECs - Monthly</v>
      </c>
      <c r="C1140" s="127">
        <v>39</v>
      </c>
      <c r="D1140" s="127">
        <v>39</v>
      </c>
      <c r="E1140" s="127">
        <v>39</v>
      </c>
      <c r="F1140" s="127">
        <v>39</v>
      </c>
      <c r="G1140" s="127">
        <v>39</v>
      </c>
      <c r="H1140" s="127">
        <v>39</v>
      </c>
      <c r="I1140" s="127">
        <v>39</v>
      </c>
      <c r="J1140" s="127">
        <v>39</v>
      </c>
      <c r="K1140" s="127">
        <v>39</v>
      </c>
      <c r="L1140" s="127">
        <v>39</v>
      </c>
      <c r="M1140" s="127">
        <v>39</v>
      </c>
      <c r="N1140" s="127">
        <v>39</v>
      </c>
      <c r="O1140" s="127">
        <f t="shared" ref="O1140:Z1140" si="553">+O49</f>
        <v>39</v>
      </c>
      <c r="P1140" s="127">
        <f t="shared" si="553"/>
        <v>39</v>
      </c>
      <c r="Q1140" s="127">
        <f t="shared" si="553"/>
        <v>39</v>
      </c>
      <c r="R1140" s="127">
        <f t="shared" si="553"/>
        <v>39</v>
      </c>
      <c r="S1140" s="127">
        <f t="shared" si="553"/>
        <v>39</v>
      </c>
      <c r="T1140" s="127">
        <f t="shared" si="553"/>
        <v>39</v>
      </c>
      <c r="U1140" s="127">
        <f t="shared" si="553"/>
        <v>39</v>
      </c>
      <c r="V1140" s="127">
        <f t="shared" si="553"/>
        <v>39</v>
      </c>
      <c r="W1140" s="127">
        <f t="shared" si="553"/>
        <v>39</v>
      </c>
      <c r="X1140" s="127">
        <f t="shared" si="553"/>
        <v>39</v>
      </c>
      <c r="Y1140" s="127">
        <f t="shared" si="553"/>
        <v>39</v>
      </c>
      <c r="Z1140" s="127">
        <f t="shared" si="553"/>
        <v>39</v>
      </c>
    </row>
    <row r="1141" spans="1:26" s="20" customFormat="1" x14ac:dyDescent="0.2">
      <c r="A1141" s="109" t="str">
        <f>+A1044</f>
        <v>Proxy Sale of CT 1 RECs - Monthly</v>
      </c>
      <c r="C1141" s="127">
        <v>39</v>
      </c>
      <c r="D1141" s="127">
        <v>39</v>
      </c>
      <c r="E1141" s="127">
        <v>39</v>
      </c>
      <c r="F1141" s="127">
        <v>39</v>
      </c>
      <c r="G1141" s="127">
        <v>39</v>
      </c>
      <c r="H1141" s="127">
        <v>39</v>
      </c>
      <c r="I1141" s="127">
        <v>39</v>
      </c>
      <c r="J1141" s="127">
        <v>39</v>
      </c>
      <c r="K1141" s="127">
        <v>39</v>
      </c>
      <c r="L1141" s="127">
        <v>39</v>
      </c>
      <c r="M1141" s="127">
        <v>39</v>
      </c>
      <c r="N1141" s="127">
        <v>39</v>
      </c>
      <c r="O1141" s="127">
        <f t="shared" ref="O1141:Z1141" si="554">+O50</f>
        <v>39</v>
      </c>
      <c r="P1141" s="127">
        <f t="shared" si="554"/>
        <v>39</v>
      </c>
      <c r="Q1141" s="127">
        <f t="shared" si="554"/>
        <v>39</v>
      </c>
      <c r="R1141" s="127">
        <f t="shared" si="554"/>
        <v>39</v>
      </c>
      <c r="S1141" s="127">
        <f t="shared" si="554"/>
        <v>39</v>
      </c>
      <c r="T1141" s="127">
        <f t="shared" si="554"/>
        <v>39</v>
      </c>
      <c r="U1141" s="127">
        <f t="shared" si="554"/>
        <v>39</v>
      </c>
      <c r="V1141" s="127">
        <f t="shared" si="554"/>
        <v>39</v>
      </c>
      <c r="W1141" s="127">
        <f t="shared" si="554"/>
        <v>39</v>
      </c>
      <c r="X1141" s="127">
        <f t="shared" si="554"/>
        <v>39</v>
      </c>
      <c r="Y1141" s="127">
        <f t="shared" si="554"/>
        <v>39</v>
      </c>
      <c r="Z1141" s="127">
        <f t="shared" si="554"/>
        <v>39</v>
      </c>
    </row>
    <row r="1142" spans="1:26" s="20" customFormat="1" x14ac:dyDescent="0.2">
      <c r="A1142" s="20" t="str">
        <f>+A1064</f>
        <v>Direct Energy - MA Class 1 (10/2/19 Email)</v>
      </c>
    </row>
    <row r="1143" spans="1:26" s="20" customFormat="1" x14ac:dyDescent="0.2"/>
    <row r="1144" spans="1:26" s="119" customFormat="1" x14ac:dyDescent="0.2">
      <c r="A1144" s="109" t="s">
        <v>302</v>
      </c>
      <c r="C1144" s="113">
        <v>0</v>
      </c>
      <c r="D1144" s="113">
        <v>0</v>
      </c>
      <c r="E1144" s="113">
        <v>0</v>
      </c>
      <c r="F1144" s="113">
        <v>0</v>
      </c>
      <c r="G1144" s="113">
        <v>0</v>
      </c>
      <c r="H1144" s="113">
        <v>0</v>
      </c>
      <c r="I1144" s="113">
        <v>0</v>
      </c>
      <c r="J1144" s="113">
        <v>0</v>
      </c>
      <c r="K1144" s="113">
        <v>0</v>
      </c>
      <c r="L1144" s="113">
        <v>0</v>
      </c>
      <c r="M1144" s="113">
        <v>0</v>
      </c>
      <c r="N1144" s="113">
        <v>0</v>
      </c>
      <c r="O1144" s="113">
        <f t="shared" ref="O1144:Z1144" si="555">+O1108*-O1000</f>
        <v>0</v>
      </c>
      <c r="P1144" s="113">
        <f t="shared" si="555"/>
        <v>0</v>
      </c>
      <c r="Q1144" s="113">
        <f t="shared" si="555"/>
        <v>0</v>
      </c>
      <c r="R1144" s="113">
        <f t="shared" si="555"/>
        <v>0</v>
      </c>
      <c r="S1144" s="113">
        <f t="shared" si="555"/>
        <v>0</v>
      </c>
      <c r="T1144" s="113">
        <f t="shared" si="555"/>
        <v>0</v>
      </c>
      <c r="U1144" s="113">
        <f t="shared" si="555"/>
        <v>0</v>
      </c>
      <c r="V1144" s="113">
        <f t="shared" si="555"/>
        <v>0</v>
      </c>
      <c r="W1144" s="113">
        <f t="shared" si="555"/>
        <v>0</v>
      </c>
      <c r="X1144" s="113">
        <f t="shared" si="555"/>
        <v>0</v>
      </c>
      <c r="Y1144" s="113">
        <f t="shared" si="555"/>
        <v>0</v>
      </c>
      <c r="Z1144" s="113">
        <f t="shared" si="555"/>
        <v>0</v>
      </c>
    </row>
    <row r="1145" spans="1:26" x14ac:dyDescent="0.2">
      <c r="A1145" s="109" t="str">
        <f t="shared" ref="A1145:A1163" si="556">+A1001</f>
        <v>EDF Trading KCW First 10,000 RECs - $/MWh</v>
      </c>
      <c r="C1145" s="113">
        <v>0</v>
      </c>
      <c r="D1145" s="113">
        <v>0</v>
      </c>
      <c r="E1145" s="113">
        <v>0</v>
      </c>
      <c r="F1145" s="113">
        <v>0</v>
      </c>
      <c r="G1145" s="113">
        <v>0</v>
      </c>
      <c r="H1145" s="113">
        <v>0</v>
      </c>
      <c r="I1145" s="113">
        <v>0</v>
      </c>
      <c r="J1145" s="113">
        <v>0</v>
      </c>
      <c r="K1145" s="113">
        <v>0</v>
      </c>
      <c r="L1145" s="113">
        <v>0</v>
      </c>
      <c r="M1145" s="113">
        <v>0</v>
      </c>
      <c r="N1145" s="113">
        <v>0</v>
      </c>
      <c r="O1145" s="113">
        <f t="shared" ref="O1145:Z1145" si="557">+O1109*-O1001</f>
        <v>0</v>
      </c>
      <c r="P1145" s="113">
        <f t="shared" si="557"/>
        <v>0</v>
      </c>
      <c r="Q1145" s="113">
        <f t="shared" si="557"/>
        <v>0</v>
      </c>
      <c r="R1145" s="113">
        <f t="shared" si="557"/>
        <v>0</v>
      </c>
      <c r="S1145" s="113">
        <f t="shared" si="557"/>
        <v>0</v>
      </c>
      <c r="T1145" s="113">
        <f t="shared" si="557"/>
        <v>0</v>
      </c>
      <c r="U1145" s="113">
        <f t="shared" si="557"/>
        <v>0</v>
      </c>
      <c r="V1145" s="113">
        <f t="shared" si="557"/>
        <v>0</v>
      </c>
      <c r="W1145" s="113">
        <f t="shared" si="557"/>
        <v>0</v>
      </c>
      <c r="X1145" s="113">
        <f t="shared" si="557"/>
        <v>0</v>
      </c>
      <c r="Y1145" s="113">
        <f t="shared" si="557"/>
        <v>0</v>
      </c>
      <c r="Z1145" s="113">
        <f t="shared" si="557"/>
        <v>0</v>
      </c>
    </row>
    <row r="1146" spans="1:26" s="20" customFormat="1" x14ac:dyDescent="0.2">
      <c r="A1146" s="109" t="str">
        <f t="shared" si="556"/>
        <v>EDF Trading KCW RECs 10,001 - 20,000</v>
      </c>
      <c r="C1146" s="113">
        <v>0</v>
      </c>
      <c r="D1146" s="113">
        <v>0</v>
      </c>
      <c r="E1146" s="113">
        <v>0</v>
      </c>
      <c r="F1146" s="113">
        <v>0</v>
      </c>
      <c r="G1146" s="113">
        <v>0</v>
      </c>
      <c r="H1146" s="113">
        <v>0</v>
      </c>
      <c r="I1146" s="113">
        <v>0</v>
      </c>
      <c r="J1146" s="113">
        <v>0</v>
      </c>
      <c r="K1146" s="113">
        <v>0</v>
      </c>
      <c r="L1146" s="113">
        <v>0</v>
      </c>
      <c r="M1146" s="113">
        <v>0</v>
      </c>
      <c r="N1146" s="113">
        <v>0</v>
      </c>
      <c r="O1146" s="113">
        <f t="shared" ref="O1146:Z1146" si="558">+O1110*-O1002</f>
        <v>0</v>
      </c>
      <c r="P1146" s="113">
        <f t="shared" si="558"/>
        <v>0</v>
      </c>
      <c r="Q1146" s="113">
        <f t="shared" si="558"/>
        <v>0</v>
      </c>
      <c r="R1146" s="113">
        <f t="shared" si="558"/>
        <v>0</v>
      </c>
      <c r="S1146" s="113">
        <f t="shared" si="558"/>
        <v>0</v>
      </c>
      <c r="T1146" s="113">
        <f t="shared" si="558"/>
        <v>0</v>
      </c>
      <c r="U1146" s="113">
        <f t="shared" si="558"/>
        <v>0</v>
      </c>
      <c r="V1146" s="113">
        <f t="shared" si="558"/>
        <v>0</v>
      </c>
      <c r="W1146" s="113">
        <f t="shared" si="558"/>
        <v>0</v>
      </c>
      <c r="X1146" s="113">
        <f t="shared" si="558"/>
        <v>0</v>
      </c>
      <c r="Y1146" s="113">
        <f t="shared" si="558"/>
        <v>0</v>
      </c>
      <c r="Z1146" s="113">
        <f t="shared" si="558"/>
        <v>0</v>
      </c>
    </row>
    <row r="1147" spans="1:26" s="20" customFormat="1" x14ac:dyDescent="0.2">
      <c r="A1147" s="109" t="str">
        <f t="shared" si="556"/>
        <v>EDF Trading 10,000 Firm RECs - 2012-10-22</v>
      </c>
      <c r="C1147" s="113">
        <v>0</v>
      </c>
      <c r="D1147" s="113">
        <v>0</v>
      </c>
      <c r="E1147" s="113">
        <v>0</v>
      </c>
      <c r="F1147" s="113">
        <v>0</v>
      </c>
      <c r="G1147" s="113">
        <v>0</v>
      </c>
      <c r="H1147" s="113">
        <v>0</v>
      </c>
      <c r="I1147" s="113">
        <v>0</v>
      </c>
      <c r="J1147" s="113">
        <v>0</v>
      </c>
      <c r="K1147" s="113">
        <v>0</v>
      </c>
      <c r="L1147" s="113">
        <v>0</v>
      </c>
      <c r="M1147" s="113">
        <v>0</v>
      </c>
      <c r="N1147" s="113">
        <v>0</v>
      </c>
      <c r="O1147" s="113">
        <f t="shared" ref="O1147:Z1147" si="559">+O1111*-O1003</f>
        <v>0</v>
      </c>
      <c r="P1147" s="113">
        <f t="shared" si="559"/>
        <v>0</v>
      </c>
      <c r="Q1147" s="113">
        <f t="shared" si="559"/>
        <v>0</v>
      </c>
      <c r="R1147" s="113">
        <f t="shared" si="559"/>
        <v>0</v>
      </c>
      <c r="S1147" s="113">
        <f t="shared" si="559"/>
        <v>0</v>
      </c>
      <c r="T1147" s="113">
        <f t="shared" si="559"/>
        <v>0</v>
      </c>
      <c r="U1147" s="113">
        <f t="shared" si="559"/>
        <v>0</v>
      </c>
      <c r="V1147" s="113">
        <f t="shared" si="559"/>
        <v>0</v>
      </c>
      <c r="W1147" s="113">
        <f t="shared" si="559"/>
        <v>0</v>
      </c>
      <c r="X1147" s="113">
        <f t="shared" si="559"/>
        <v>0</v>
      </c>
      <c r="Y1147" s="113">
        <f t="shared" si="559"/>
        <v>0</v>
      </c>
      <c r="Z1147" s="113">
        <f t="shared" si="559"/>
        <v>0</v>
      </c>
    </row>
    <row r="1148" spans="1:26" s="20" customFormat="1" x14ac:dyDescent="0.2">
      <c r="A1148" s="109" t="str">
        <f t="shared" si="556"/>
        <v>EDF Trading 5,000 Firm RECs - 2012-12-12</v>
      </c>
      <c r="C1148" s="113">
        <v>0</v>
      </c>
      <c r="D1148" s="113">
        <v>0</v>
      </c>
      <c r="E1148" s="113">
        <v>0</v>
      </c>
      <c r="F1148" s="113">
        <v>0</v>
      </c>
      <c r="G1148" s="113">
        <v>0</v>
      </c>
      <c r="H1148" s="113">
        <v>0</v>
      </c>
      <c r="I1148" s="113">
        <v>0</v>
      </c>
      <c r="J1148" s="113">
        <v>0</v>
      </c>
      <c r="K1148" s="113">
        <v>0</v>
      </c>
      <c r="L1148" s="113">
        <v>0</v>
      </c>
      <c r="M1148" s="113">
        <v>0</v>
      </c>
      <c r="N1148" s="113">
        <v>0</v>
      </c>
      <c r="O1148" s="113">
        <f t="shared" ref="O1148:Z1148" si="560">+O1112*-O1004</f>
        <v>0</v>
      </c>
      <c r="P1148" s="113">
        <f t="shared" si="560"/>
        <v>0</v>
      </c>
      <c r="Q1148" s="113">
        <f t="shared" si="560"/>
        <v>0</v>
      </c>
      <c r="R1148" s="113">
        <f t="shared" si="560"/>
        <v>0</v>
      </c>
      <c r="S1148" s="113">
        <f t="shared" si="560"/>
        <v>0</v>
      </c>
      <c r="T1148" s="113">
        <f t="shared" si="560"/>
        <v>0</v>
      </c>
      <c r="U1148" s="113">
        <f t="shared" si="560"/>
        <v>0</v>
      </c>
      <c r="V1148" s="113">
        <f t="shared" si="560"/>
        <v>0</v>
      </c>
      <c r="W1148" s="113">
        <f t="shared" si="560"/>
        <v>0</v>
      </c>
      <c r="X1148" s="113">
        <f t="shared" si="560"/>
        <v>0</v>
      </c>
      <c r="Y1148" s="113">
        <f t="shared" si="560"/>
        <v>0</v>
      </c>
      <c r="Z1148" s="113">
        <f t="shared" si="560"/>
        <v>0</v>
      </c>
    </row>
    <row r="1149" spans="1:26" s="20" customFormat="1" x14ac:dyDescent="0.2">
      <c r="A1149" s="109" t="str">
        <f t="shared" si="556"/>
        <v>NRG - $39.25 2024 05 07</v>
      </c>
      <c r="C1149" s="113">
        <v>0</v>
      </c>
      <c r="D1149" s="113">
        <v>0</v>
      </c>
      <c r="E1149" s="113">
        <v>0</v>
      </c>
      <c r="F1149" s="113">
        <v>0</v>
      </c>
      <c r="G1149" s="113">
        <v>0</v>
      </c>
      <c r="H1149" s="113">
        <v>0</v>
      </c>
      <c r="I1149" s="113">
        <v>0</v>
      </c>
      <c r="J1149" s="113">
        <v>0</v>
      </c>
      <c r="K1149" s="113">
        <v>0</v>
      </c>
      <c r="L1149" s="113">
        <v>0</v>
      </c>
      <c r="M1149" s="113">
        <v>0</v>
      </c>
      <c r="N1149" s="113">
        <v>0</v>
      </c>
      <c r="O1149" s="113">
        <f>+O1113*-O1005</f>
        <v>-32708.333333333336</v>
      </c>
      <c r="P1149" s="113">
        <f t="shared" ref="P1149:Z1149" si="561">+P1113*-P1005</f>
        <v>-32708.333333333336</v>
      </c>
      <c r="Q1149" s="113">
        <f t="shared" si="561"/>
        <v>-32708.333333333336</v>
      </c>
      <c r="R1149" s="113">
        <f t="shared" si="561"/>
        <v>-32708.333333333336</v>
      </c>
      <c r="S1149" s="113">
        <f t="shared" si="561"/>
        <v>-32708.333333333336</v>
      </c>
      <c r="T1149" s="113">
        <f t="shared" si="561"/>
        <v>-32708.333333333336</v>
      </c>
      <c r="U1149" s="113">
        <f t="shared" si="561"/>
        <v>-32708.333333333336</v>
      </c>
      <c r="V1149" s="113">
        <f t="shared" si="561"/>
        <v>-32708.333333333336</v>
      </c>
      <c r="W1149" s="113">
        <f t="shared" si="561"/>
        <v>-32708.333333333336</v>
      </c>
      <c r="X1149" s="113">
        <f t="shared" si="561"/>
        <v>-32708.333333333336</v>
      </c>
      <c r="Y1149" s="113">
        <f t="shared" si="561"/>
        <v>-32708.333333333336</v>
      </c>
      <c r="Z1149" s="113">
        <f t="shared" si="561"/>
        <v>-32708.333333333336</v>
      </c>
    </row>
    <row r="1150" spans="1:26" s="20" customFormat="1" x14ac:dyDescent="0.2">
      <c r="A1150" s="109" t="str">
        <f t="shared" si="556"/>
        <v>EDF Trading 10,000 Firm RECS - 2015-08-26</v>
      </c>
      <c r="C1150" s="113">
        <v>0</v>
      </c>
      <c r="D1150" s="113">
        <v>0</v>
      </c>
      <c r="E1150" s="113">
        <v>0</v>
      </c>
      <c r="F1150" s="113">
        <v>0</v>
      </c>
      <c r="G1150" s="113">
        <v>0</v>
      </c>
      <c r="H1150" s="113">
        <v>0</v>
      </c>
      <c r="I1150" s="113">
        <v>0</v>
      </c>
      <c r="J1150" s="113">
        <v>0</v>
      </c>
      <c r="K1150" s="113">
        <v>0</v>
      </c>
      <c r="L1150" s="113">
        <v>0</v>
      </c>
      <c r="M1150" s="113">
        <v>0</v>
      </c>
      <c r="N1150" s="113">
        <v>0</v>
      </c>
      <c r="O1150" s="113">
        <f t="shared" ref="O1150:Z1150" si="562">+O1114*-O1006</f>
        <v>0</v>
      </c>
      <c r="P1150" s="113">
        <f t="shared" si="562"/>
        <v>0</v>
      </c>
      <c r="Q1150" s="113">
        <f t="shared" si="562"/>
        <v>0</v>
      </c>
      <c r="R1150" s="113">
        <f t="shared" si="562"/>
        <v>0</v>
      </c>
      <c r="S1150" s="113">
        <f t="shared" si="562"/>
        <v>0</v>
      </c>
      <c r="T1150" s="113">
        <f t="shared" si="562"/>
        <v>0</v>
      </c>
      <c r="U1150" s="113">
        <f t="shared" si="562"/>
        <v>0</v>
      </c>
      <c r="V1150" s="113">
        <f t="shared" si="562"/>
        <v>0</v>
      </c>
      <c r="W1150" s="113">
        <f t="shared" si="562"/>
        <v>0</v>
      </c>
      <c r="X1150" s="113">
        <f t="shared" si="562"/>
        <v>0</v>
      </c>
      <c r="Y1150" s="113">
        <f t="shared" si="562"/>
        <v>0</v>
      </c>
      <c r="Z1150" s="113">
        <f t="shared" si="562"/>
        <v>0</v>
      </c>
    </row>
    <row r="1151" spans="1:26" s="20" customFormat="1" x14ac:dyDescent="0.2">
      <c r="A1151" s="109" t="str">
        <f t="shared" si="556"/>
        <v>EDF Trading 10,000 Firm RECs - 2013-03-25</v>
      </c>
      <c r="C1151" s="113">
        <v>0</v>
      </c>
      <c r="D1151" s="113">
        <v>0</v>
      </c>
      <c r="E1151" s="113">
        <v>0</v>
      </c>
      <c r="F1151" s="113">
        <v>0</v>
      </c>
      <c r="G1151" s="113">
        <v>0</v>
      </c>
      <c r="H1151" s="113">
        <v>0</v>
      </c>
      <c r="I1151" s="113">
        <v>0</v>
      </c>
      <c r="J1151" s="113">
        <v>0</v>
      </c>
      <c r="K1151" s="113">
        <v>0</v>
      </c>
      <c r="L1151" s="113">
        <v>0</v>
      </c>
      <c r="M1151" s="113">
        <v>0</v>
      </c>
      <c r="N1151" s="113">
        <v>0</v>
      </c>
      <c r="O1151" s="113">
        <f t="shared" ref="O1151:Z1151" si="563">+O1115*-O1007</f>
        <v>0</v>
      </c>
      <c r="P1151" s="113">
        <f t="shared" si="563"/>
        <v>0</v>
      </c>
      <c r="Q1151" s="113">
        <f t="shared" si="563"/>
        <v>0</v>
      </c>
      <c r="R1151" s="113">
        <f t="shared" si="563"/>
        <v>0</v>
      </c>
      <c r="S1151" s="113">
        <f t="shared" si="563"/>
        <v>0</v>
      </c>
      <c r="T1151" s="113">
        <f t="shared" si="563"/>
        <v>0</v>
      </c>
      <c r="U1151" s="113">
        <f t="shared" si="563"/>
        <v>0</v>
      </c>
      <c r="V1151" s="113">
        <f t="shared" si="563"/>
        <v>0</v>
      </c>
      <c r="W1151" s="113">
        <f t="shared" si="563"/>
        <v>0</v>
      </c>
      <c r="X1151" s="113">
        <f t="shared" si="563"/>
        <v>0</v>
      </c>
      <c r="Y1151" s="113">
        <f t="shared" si="563"/>
        <v>0</v>
      </c>
      <c r="Z1151" s="113">
        <f t="shared" si="563"/>
        <v>0</v>
      </c>
    </row>
    <row r="1152" spans="1:26" s="20" customFormat="1" x14ac:dyDescent="0.2">
      <c r="A1152" s="109" t="str">
        <f t="shared" si="556"/>
        <v>EDF Trading 10,000 Firm 2015 RECs  - 2014-04-07</v>
      </c>
      <c r="C1152" s="113">
        <v>0</v>
      </c>
      <c r="D1152" s="113">
        <v>0</v>
      </c>
      <c r="E1152" s="113">
        <v>0</v>
      </c>
      <c r="F1152" s="113">
        <v>0</v>
      </c>
      <c r="G1152" s="113">
        <v>0</v>
      </c>
      <c r="H1152" s="113">
        <v>0</v>
      </c>
      <c r="I1152" s="113">
        <v>0</v>
      </c>
      <c r="J1152" s="113">
        <v>0</v>
      </c>
      <c r="K1152" s="113">
        <v>0</v>
      </c>
      <c r="L1152" s="113">
        <v>0</v>
      </c>
      <c r="M1152" s="113">
        <v>0</v>
      </c>
      <c r="N1152" s="113">
        <v>0</v>
      </c>
      <c r="O1152" s="113">
        <f t="shared" ref="O1152:Z1152" si="564">+O1116*-O1008</f>
        <v>0</v>
      </c>
      <c r="P1152" s="113">
        <f t="shared" si="564"/>
        <v>0</v>
      </c>
      <c r="Q1152" s="113">
        <f t="shared" si="564"/>
        <v>0</v>
      </c>
      <c r="R1152" s="113">
        <f t="shared" si="564"/>
        <v>0</v>
      </c>
      <c r="S1152" s="113">
        <f t="shared" si="564"/>
        <v>0</v>
      </c>
      <c r="T1152" s="113">
        <f t="shared" si="564"/>
        <v>0</v>
      </c>
      <c r="U1152" s="113">
        <f t="shared" si="564"/>
        <v>0</v>
      </c>
      <c r="V1152" s="113">
        <f t="shared" si="564"/>
        <v>0</v>
      </c>
      <c r="W1152" s="113">
        <f t="shared" si="564"/>
        <v>0</v>
      </c>
      <c r="X1152" s="113">
        <f t="shared" si="564"/>
        <v>0</v>
      </c>
      <c r="Y1152" s="113">
        <f t="shared" si="564"/>
        <v>0</v>
      </c>
      <c r="Z1152" s="113">
        <f t="shared" si="564"/>
        <v>0</v>
      </c>
    </row>
    <row r="1153" spans="1:26" s="20" customFormat="1" x14ac:dyDescent="0.2">
      <c r="A1153" s="109" t="str">
        <f t="shared" si="556"/>
        <v>EDF Trading 5,000 Firm RECs - 2014-08-07</v>
      </c>
      <c r="C1153" s="113">
        <v>0</v>
      </c>
      <c r="D1153" s="113">
        <v>0</v>
      </c>
      <c r="E1153" s="113">
        <v>0</v>
      </c>
      <c r="F1153" s="113">
        <v>0</v>
      </c>
      <c r="G1153" s="113">
        <v>0</v>
      </c>
      <c r="H1153" s="113">
        <v>0</v>
      </c>
      <c r="I1153" s="113">
        <v>0</v>
      </c>
      <c r="J1153" s="113">
        <v>0</v>
      </c>
      <c r="K1153" s="113">
        <v>0</v>
      </c>
      <c r="L1153" s="113">
        <v>0</v>
      </c>
      <c r="M1153" s="113">
        <v>0</v>
      </c>
      <c r="N1153" s="113">
        <v>0</v>
      </c>
      <c r="O1153" s="113">
        <f t="shared" ref="O1153:Z1153" si="565">+O1117*-O1009</f>
        <v>0</v>
      </c>
      <c r="P1153" s="113">
        <f t="shared" si="565"/>
        <v>0</v>
      </c>
      <c r="Q1153" s="113">
        <f t="shared" si="565"/>
        <v>0</v>
      </c>
      <c r="R1153" s="113">
        <f t="shared" si="565"/>
        <v>0</v>
      </c>
      <c r="S1153" s="113">
        <f t="shared" si="565"/>
        <v>0</v>
      </c>
      <c r="T1153" s="113">
        <f t="shared" si="565"/>
        <v>0</v>
      </c>
      <c r="U1153" s="113">
        <f t="shared" si="565"/>
        <v>0</v>
      </c>
      <c r="V1153" s="113">
        <f t="shared" si="565"/>
        <v>0</v>
      </c>
      <c r="W1153" s="113">
        <f t="shared" si="565"/>
        <v>0</v>
      </c>
      <c r="X1153" s="113">
        <f t="shared" si="565"/>
        <v>0</v>
      </c>
      <c r="Y1153" s="113">
        <f t="shared" si="565"/>
        <v>0</v>
      </c>
      <c r="Z1153" s="113">
        <f t="shared" si="565"/>
        <v>0</v>
      </c>
    </row>
    <row r="1154" spans="1:26" s="20" customFormat="1" x14ac:dyDescent="0.2">
      <c r="A1154" s="109" t="str">
        <f t="shared" si="556"/>
        <v>EDF Trading 5,000 Firm REC - 2019-04-04</v>
      </c>
      <c r="C1154" s="113">
        <v>0</v>
      </c>
      <c r="D1154" s="113">
        <v>0</v>
      </c>
      <c r="E1154" s="113">
        <v>0</v>
      </c>
      <c r="F1154" s="113">
        <v>0</v>
      </c>
      <c r="G1154" s="113">
        <v>0</v>
      </c>
      <c r="H1154" s="113">
        <v>0</v>
      </c>
      <c r="I1154" s="113">
        <v>0</v>
      </c>
      <c r="J1154" s="113">
        <v>0</v>
      </c>
      <c r="K1154" s="113">
        <v>0</v>
      </c>
      <c r="L1154" s="113">
        <v>0</v>
      </c>
      <c r="M1154" s="113">
        <v>0</v>
      </c>
      <c r="N1154" s="113">
        <v>0</v>
      </c>
      <c r="O1154" s="113">
        <f t="shared" ref="O1154:Z1154" si="566">+O1118*-O1010</f>
        <v>0</v>
      </c>
      <c r="P1154" s="113">
        <f t="shared" si="566"/>
        <v>0</v>
      </c>
      <c r="Q1154" s="113">
        <f t="shared" si="566"/>
        <v>0</v>
      </c>
      <c r="R1154" s="113">
        <f t="shared" si="566"/>
        <v>0</v>
      </c>
      <c r="S1154" s="113">
        <f t="shared" si="566"/>
        <v>0</v>
      </c>
      <c r="T1154" s="113">
        <f t="shared" si="566"/>
        <v>0</v>
      </c>
      <c r="U1154" s="113">
        <f t="shared" si="566"/>
        <v>0</v>
      </c>
      <c r="V1154" s="113">
        <f t="shared" si="566"/>
        <v>0</v>
      </c>
      <c r="W1154" s="113">
        <f t="shared" si="566"/>
        <v>0</v>
      </c>
      <c r="X1154" s="113">
        <f t="shared" si="566"/>
        <v>0</v>
      </c>
      <c r="Y1154" s="113">
        <f t="shared" si="566"/>
        <v>0</v>
      </c>
      <c r="Z1154" s="113">
        <f t="shared" si="566"/>
        <v>0</v>
      </c>
    </row>
    <row r="1155" spans="1:26" s="20" customFormat="1" x14ac:dyDescent="0.2">
      <c r="A1155" s="109" t="str">
        <f t="shared" si="556"/>
        <v>EDF Trading 10,000 MA Class I - 2020-04-16</v>
      </c>
      <c r="C1155" s="113">
        <v>-22500</v>
      </c>
      <c r="D1155" s="113">
        <v>-22500</v>
      </c>
      <c r="E1155" s="113">
        <v>-22500</v>
      </c>
      <c r="F1155" s="113">
        <v>-22500</v>
      </c>
      <c r="G1155" s="113">
        <v>-22500</v>
      </c>
      <c r="H1155" s="113">
        <v>-22500</v>
      </c>
      <c r="I1155" s="113">
        <v>-22500</v>
      </c>
      <c r="J1155" s="113">
        <v>-22500</v>
      </c>
      <c r="K1155" s="113">
        <v>-22500</v>
      </c>
      <c r="L1155" s="113">
        <v>-22500</v>
      </c>
      <c r="M1155" s="113">
        <v>-22500</v>
      </c>
      <c r="N1155" s="113">
        <v>-22500</v>
      </c>
      <c r="O1155" s="113">
        <f t="shared" ref="O1155:Z1155" si="567">+O1119*-O1011</f>
        <v>0</v>
      </c>
      <c r="P1155" s="113">
        <f t="shared" si="567"/>
        <v>0</v>
      </c>
      <c r="Q1155" s="113">
        <f t="shared" si="567"/>
        <v>0</v>
      </c>
      <c r="R1155" s="113">
        <f t="shared" si="567"/>
        <v>0</v>
      </c>
      <c r="S1155" s="113">
        <f t="shared" si="567"/>
        <v>0</v>
      </c>
      <c r="T1155" s="113">
        <f t="shared" si="567"/>
        <v>0</v>
      </c>
      <c r="U1155" s="113">
        <f t="shared" si="567"/>
        <v>0</v>
      </c>
      <c r="V1155" s="113">
        <f t="shared" si="567"/>
        <v>0</v>
      </c>
      <c r="W1155" s="113">
        <f t="shared" si="567"/>
        <v>0</v>
      </c>
      <c r="X1155" s="113">
        <f t="shared" si="567"/>
        <v>0</v>
      </c>
      <c r="Y1155" s="113">
        <f t="shared" si="567"/>
        <v>0</v>
      </c>
      <c r="Z1155" s="113">
        <f t="shared" si="567"/>
        <v>0</v>
      </c>
    </row>
    <row r="1156" spans="1:26" s="20" customFormat="1" x14ac:dyDescent="0.2">
      <c r="A1156" s="109" t="str">
        <f t="shared" si="556"/>
        <v>Just Energy - 5000 Firme 2014 RECs - 2014-11-14</v>
      </c>
      <c r="C1156" s="113">
        <v>0</v>
      </c>
      <c r="D1156" s="113">
        <v>0</v>
      </c>
      <c r="E1156" s="113">
        <v>0</v>
      </c>
      <c r="F1156" s="113">
        <v>0</v>
      </c>
      <c r="G1156" s="113">
        <v>0</v>
      </c>
      <c r="H1156" s="113">
        <v>0</v>
      </c>
      <c r="I1156" s="113">
        <v>0</v>
      </c>
      <c r="J1156" s="113">
        <v>0</v>
      </c>
      <c r="K1156" s="113">
        <v>0</v>
      </c>
      <c r="L1156" s="113">
        <v>0</v>
      </c>
      <c r="M1156" s="113">
        <v>0</v>
      </c>
      <c r="N1156" s="113">
        <v>0</v>
      </c>
      <c r="O1156" s="113">
        <f t="shared" ref="O1156:Z1156" si="568">+O1120*-O1012</f>
        <v>0</v>
      </c>
      <c r="P1156" s="113">
        <f t="shared" si="568"/>
        <v>0</v>
      </c>
      <c r="Q1156" s="113">
        <f t="shared" si="568"/>
        <v>0</v>
      </c>
      <c r="R1156" s="113">
        <f t="shared" si="568"/>
        <v>0</v>
      </c>
      <c r="S1156" s="113">
        <f t="shared" si="568"/>
        <v>0</v>
      </c>
      <c r="T1156" s="113">
        <f t="shared" si="568"/>
        <v>0</v>
      </c>
      <c r="U1156" s="113">
        <f t="shared" si="568"/>
        <v>0</v>
      </c>
      <c r="V1156" s="113">
        <f t="shared" si="568"/>
        <v>0</v>
      </c>
      <c r="W1156" s="113">
        <f t="shared" si="568"/>
        <v>0</v>
      </c>
      <c r="X1156" s="113">
        <f t="shared" si="568"/>
        <v>0</v>
      </c>
      <c r="Y1156" s="113">
        <f t="shared" si="568"/>
        <v>0</v>
      </c>
      <c r="Z1156" s="113">
        <f t="shared" si="568"/>
        <v>0</v>
      </c>
    </row>
    <row r="1157" spans="1:26" s="20" customFormat="1" x14ac:dyDescent="0.2">
      <c r="A1157" s="109" t="str">
        <f t="shared" si="556"/>
        <v>Direct Energy - 2015-04-25</v>
      </c>
      <c r="C1157" s="113">
        <v>0</v>
      </c>
      <c r="D1157" s="113">
        <v>0</v>
      </c>
      <c r="E1157" s="113">
        <v>0</v>
      </c>
      <c r="F1157" s="113">
        <v>0</v>
      </c>
      <c r="G1157" s="113">
        <v>0</v>
      </c>
      <c r="H1157" s="113">
        <v>0</v>
      </c>
      <c r="I1157" s="113">
        <v>0</v>
      </c>
      <c r="J1157" s="113">
        <v>0</v>
      </c>
      <c r="K1157" s="113">
        <v>0</v>
      </c>
      <c r="L1157" s="113">
        <v>0</v>
      </c>
      <c r="M1157" s="113">
        <v>0</v>
      </c>
      <c r="N1157" s="113">
        <v>0</v>
      </c>
      <c r="O1157" s="113">
        <f t="shared" ref="O1157:Z1157" si="569">+O1121*-O1013</f>
        <v>0</v>
      </c>
      <c r="P1157" s="113">
        <f t="shared" si="569"/>
        <v>0</v>
      </c>
      <c r="Q1157" s="113">
        <f t="shared" si="569"/>
        <v>0</v>
      </c>
      <c r="R1157" s="113">
        <f t="shared" si="569"/>
        <v>0</v>
      </c>
      <c r="S1157" s="113">
        <f t="shared" si="569"/>
        <v>0</v>
      </c>
      <c r="T1157" s="113">
        <f t="shared" si="569"/>
        <v>0</v>
      </c>
      <c r="U1157" s="113">
        <f t="shared" si="569"/>
        <v>0</v>
      </c>
      <c r="V1157" s="113">
        <f t="shared" si="569"/>
        <v>0</v>
      </c>
      <c r="W1157" s="113">
        <f t="shared" si="569"/>
        <v>0</v>
      </c>
      <c r="X1157" s="113">
        <f t="shared" si="569"/>
        <v>0</v>
      </c>
      <c r="Y1157" s="113">
        <f t="shared" si="569"/>
        <v>0</v>
      </c>
      <c r="Z1157" s="113">
        <f t="shared" si="569"/>
        <v>0</v>
      </c>
    </row>
    <row r="1158" spans="1:26" s="20" customFormat="1" x14ac:dyDescent="0.2">
      <c r="A1158" s="109" t="str">
        <f t="shared" si="556"/>
        <v>Direct Energy - 2015-12-09</v>
      </c>
      <c r="C1158" s="113">
        <v>0</v>
      </c>
      <c r="D1158" s="113">
        <v>0</v>
      </c>
      <c r="E1158" s="113">
        <v>0</v>
      </c>
      <c r="F1158" s="113">
        <v>0</v>
      </c>
      <c r="G1158" s="113">
        <v>0</v>
      </c>
      <c r="H1158" s="113">
        <v>0</v>
      </c>
      <c r="I1158" s="113">
        <v>0</v>
      </c>
      <c r="J1158" s="113">
        <v>0</v>
      </c>
      <c r="K1158" s="113">
        <v>0</v>
      </c>
      <c r="L1158" s="113">
        <v>0</v>
      </c>
      <c r="M1158" s="113">
        <v>0</v>
      </c>
      <c r="N1158" s="113">
        <v>0</v>
      </c>
      <c r="O1158" s="113">
        <f t="shared" ref="O1158:Z1158" si="570">+O1122*-O1014</f>
        <v>0</v>
      </c>
      <c r="P1158" s="113">
        <f t="shared" si="570"/>
        <v>0</v>
      </c>
      <c r="Q1158" s="113">
        <f t="shared" si="570"/>
        <v>0</v>
      </c>
      <c r="R1158" s="113">
        <f t="shared" si="570"/>
        <v>0</v>
      </c>
      <c r="S1158" s="113">
        <f t="shared" si="570"/>
        <v>0</v>
      </c>
      <c r="T1158" s="113">
        <f t="shared" si="570"/>
        <v>0</v>
      </c>
      <c r="U1158" s="113">
        <f t="shared" si="570"/>
        <v>0</v>
      </c>
      <c r="V1158" s="113">
        <f t="shared" si="570"/>
        <v>0</v>
      </c>
      <c r="W1158" s="113">
        <f t="shared" si="570"/>
        <v>0</v>
      </c>
      <c r="X1158" s="113">
        <f t="shared" si="570"/>
        <v>0</v>
      </c>
      <c r="Y1158" s="113">
        <f t="shared" si="570"/>
        <v>0</v>
      </c>
      <c r="Z1158" s="113">
        <f t="shared" si="570"/>
        <v>0</v>
      </c>
    </row>
    <row r="1159" spans="1:26" s="20" customFormat="1" x14ac:dyDescent="0.2">
      <c r="A1159" s="109" t="str">
        <f t="shared" si="556"/>
        <v>Direct Energy - 2015-12-09</v>
      </c>
      <c r="C1159" s="113">
        <v>0</v>
      </c>
      <c r="D1159" s="113">
        <v>0</v>
      </c>
      <c r="E1159" s="113">
        <v>0</v>
      </c>
      <c r="F1159" s="113">
        <v>0</v>
      </c>
      <c r="G1159" s="113">
        <v>0</v>
      </c>
      <c r="H1159" s="113">
        <v>0</v>
      </c>
      <c r="I1159" s="113">
        <v>0</v>
      </c>
      <c r="J1159" s="113">
        <v>0</v>
      </c>
      <c r="K1159" s="113">
        <v>0</v>
      </c>
      <c r="L1159" s="113">
        <v>0</v>
      </c>
      <c r="M1159" s="113">
        <v>0</v>
      </c>
      <c r="N1159" s="113">
        <v>0</v>
      </c>
      <c r="O1159" s="113">
        <f t="shared" ref="O1159:Z1159" si="571">+O1123*-O1015</f>
        <v>0</v>
      </c>
      <c r="P1159" s="113">
        <f t="shared" si="571"/>
        <v>0</v>
      </c>
      <c r="Q1159" s="113">
        <f t="shared" si="571"/>
        <v>0</v>
      </c>
      <c r="R1159" s="113">
        <f t="shared" si="571"/>
        <v>0</v>
      </c>
      <c r="S1159" s="113">
        <f t="shared" si="571"/>
        <v>0</v>
      </c>
      <c r="T1159" s="113">
        <f t="shared" si="571"/>
        <v>0</v>
      </c>
      <c r="U1159" s="113">
        <f t="shared" si="571"/>
        <v>0</v>
      </c>
      <c r="V1159" s="113">
        <f t="shared" si="571"/>
        <v>0</v>
      </c>
      <c r="W1159" s="113">
        <f t="shared" si="571"/>
        <v>0</v>
      </c>
      <c r="X1159" s="113">
        <f t="shared" si="571"/>
        <v>0</v>
      </c>
      <c r="Y1159" s="113">
        <f t="shared" si="571"/>
        <v>0</v>
      </c>
      <c r="Z1159" s="113">
        <f t="shared" si="571"/>
        <v>0</v>
      </c>
    </row>
    <row r="1160" spans="1:26" s="20" customFormat="1" x14ac:dyDescent="0.2">
      <c r="A1160" s="109" t="str">
        <f t="shared" si="556"/>
        <v>Direct Energy - 2019-01-25</v>
      </c>
      <c r="C1160" s="113">
        <v>0</v>
      </c>
      <c r="D1160" s="113">
        <v>0</v>
      </c>
      <c r="E1160" s="113">
        <v>0</v>
      </c>
      <c r="F1160" s="113">
        <v>0</v>
      </c>
      <c r="G1160" s="113">
        <v>0</v>
      </c>
      <c r="H1160" s="113">
        <v>0</v>
      </c>
      <c r="I1160" s="113">
        <v>0</v>
      </c>
      <c r="J1160" s="113">
        <v>0</v>
      </c>
      <c r="K1160" s="113">
        <v>0</v>
      </c>
      <c r="L1160" s="113">
        <v>0</v>
      </c>
      <c r="M1160" s="113">
        <v>0</v>
      </c>
      <c r="N1160" s="113">
        <v>0</v>
      </c>
      <c r="O1160" s="113">
        <f t="shared" ref="O1160:R1160" si="572">+O1124*-O1016</f>
        <v>0</v>
      </c>
      <c r="P1160" s="113">
        <f t="shared" si="572"/>
        <v>0</v>
      </c>
      <c r="Q1160" s="113">
        <f t="shared" si="572"/>
        <v>0</v>
      </c>
      <c r="R1160" s="113">
        <f t="shared" si="572"/>
        <v>0</v>
      </c>
      <c r="S1160" s="113">
        <f t="shared" ref="S1160:Z1160" si="573">+S1124*-S1016</f>
        <v>0</v>
      </c>
      <c r="T1160" s="113">
        <f t="shared" si="573"/>
        <v>0</v>
      </c>
      <c r="U1160" s="113">
        <f t="shared" si="573"/>
        <v>0</v>
      </c>
      <c r="V1160" s="113">
        <f t="shared" si="573"/>
        <v>0</v>
      </c>
      <c r="W1160" s="113">
        <f t="shared" si="573"/>
        <v>0</v>
      </c>
      <c r="X1160" s="113">
        <f t="shared" si="573"/>
        <v>0</v>
      </c>
      <c r="Y1160" s="113">
        <f t="shared" si="573"/>
        <v>0</v>
      </c>
      <c r="Z1160" s="113">
        <f t="shared" si="573"/>
        <v>0</v>
      </c>
    </row>
    <row r="1161" spans="1:26" s="20" customFormat="1" x14ac:dyDescent="0.2">
      <c r="A1161" s="109" t="str">
        <f t="shared" si="556"/>
        <v>Skyview - 2018-02-08</v>
      </c>
      <c r="C1161" s="113">
        <v>0</v>
      </c>
      <c r="D1161" s="113">
        <v>0</v>
      </c>
      <c r="E1161" s="113">
        <v>0</v>
      </c>
      <c r="F1161" s="113">
        <v>0</v>
      </c>
      <c r="G1161" s="113">
        <v>0</v>
      </c>
      <c r="H1161" s="113">
        <v>0</v>
      </c>
      <c r="I1161" s="113">
        <v>0</v>
      </c>
      <c r="J1161" s="113">
        <v>0</v>
      </c>
      <c r="K1161" s="113">
        <v>0</v>
      </c>
      <c r="L1161" s="113">
        <v>0</v>
      </c>
      <c r="M1161" s="113">
        <v>0</v>
      </c>
      <c r="N1161" s="113">
        <v>0</v>
      </c>
      <c r="O1161" s="113">
        <f t="shared" ref="O1161:R1161" si="574">+O1125*-O1017</f>
        <v>0</v>
      </c>
      <c r="P1161" s="113">
        <f t="shared" si="574"/>
        <v>0</v>
      </c>
      <c r="Q1161" s="113">
        <f t="shared" si="574"/>
        <v>0</v>
      </c>
      <c r="R1161" s="113">
        <f t="shared" si="574"/>
        <v>0</v>
      </c>
      <c r="S1161" s="113">
        <f t="shared" ref="S1161:Z1161" si="575">+S1125*-S1017</f>
        <v>0</v>
      </c>
      <c r="T1161" s="113">
        <f t="shared" si="575"/>
        <v>0</v>
      </c>
      <c r="U1161" s="113">
        <f t="shared" si="575"/>
        <v>0</v>
      </c>
      <c r="V1161" s="113">
        <f t="shared" si="575"/>
        <v>0</v>
      </c>
      <c r="W1161" s="113">
        <f t="shared" si="575"/>
        <v>0</v>
      </c>
      <c r="X1161" s="113">
        <f t="shared" si="575"/>
        <v>0</v>
      </c>
      <c r="Y1161" s="113">
        <f t="shared" si="575"/>
        <v>0</v>
      </c>
      <c r="Z1161" s="113">
        <f t="shared" si="575"/>
        <v>0</v>
      </c>
    </row>
    <row r="1162" spans="1:26" s="20" customFormat="1" x14ac:dyDescent="0.2">
      <c r="A1162" s="109" t="str">
        <f t="shared" si="556"/>
        <v>Vitol - 2015-04-24</v>
      </c>
      <c r="C1162" s="113">
        <v>0</v>
      </c>
      <c r="D1162" s="113">
        <v>0</v>
      </c>
      <c r="E1162" s="113">
        <v>0</v>
      </c>
      <c r="F1162" s="113">
        <v>0</v>
      </c>
      <c r="G1162" s="113">
        <v>0</v>
      </c>
      <c r="H1162" s="113">
        <v>0</v>
      </c>
      <c r="I1162" s="113">
        <v>0</v>
      </c>
      <c r="J1162" s="113">
        <v>0</v>
      </c>
      <c r="K1162" s="113">
        <v>0</v>
      </c>
      <c r="L1162" s="113">
        <v>0</v>
      </c>
      <c r="M1162" s="113">
        <v>0</v>
      </c>
      <c r="N1162" s="113">
        <v>0</v>
      </c>
      <c r="O1162" s="113">
        <f t="shared" ref="O1162:R1162" si="576">+O1126*-O1018</f>
        <v>0</v>
      </c>
      <c r="P1162" s="113">
        <f t="shared" si="576"/>
        <v>0</v>
      </c>
      <c r="Q1162" s="113">
        <f t="shared" si="576"/>
        <v>0</v>
      </c>
      <c r="R1162" s="113">
        <f t="shared" si="576"/>
        <v>0</v>
      </c>
      <c r="S1162" s="113">
        <f t="shared" ref="S1162:Z1162" si="577">+S1126*-S1018</f>
        <v>0</v>
      </c>
      <c r="T1162" s="113">
        <f t="shared" si="577"/>
        <v>0</v>
      </c>
      <c r="U1162" s="113">
        <f t="shared" si="577"/>
        <v>0</v>
      </c>
      <c r="V1162" s="113">
        <f t="shared" si="577"/>
        <v>0</v>
      </c>
      <c r="W1162" s="113">
        <f t="shared" si="577"/>
        <v>0</v>
      </c>
      <c r="X1162" s="113">
        <f t="shared" si="577"/>
        <v>0</v>
      </c>
      <c r="Y1162" s="113">
        <f t="shared" si="577"/>
        <v>0</v>
      </c>
      <c r="Z1162" s="113">
        <f t="shared" si="577"/>
        <v>0</v>
      </c>
    </row>
    <row r="1163" spans="1:26" s="20" customFormat="1" x14ac:dyDescent="0.2">
      <c r="A1163" s="109" t="str">
        <f t="shared" si="556"/>
        <v>Vitol - 2022-12-08</v>
      </c>
      <c r="C1163" s="113">
        <v>-91250</v>
      </c>
      <c r="D1163" s="113">
        <v>-91250</v>
      </c>
      <c r="E1163" s="113">
        <v>-91250</v>
      </c>
      <c r="F1163" s="113">
        <v>-91250</v>
      </c>
      <c r="G1163" s="113">
        <v>-91250</v>
      </c>
      <c r="H1163" s="113">
        <v>-91250</v>
      </c>
      <c r="I1163" s="113">
        <v>-91250</v>
      </c>
      <c r="J1163" s="113">
        <v>-91250</v>
      </c>
      <c r="K1163" s="113">
        <v>-91250</v>
      </c>
      <c r="L1163" s="113">
        <v>-91250</v>
      </c>
      <c r="M1163" s="113">
        <v>-91250</v>
      </c>
      <c r="N1163" s="113">
        <v>-91250</v>
      </c>
      <c r="O1163" s="113">
        <f t="shared" ref="O1163:R1163" si="578">+O1127*-O1019</f>
        <v>0</v>
      </c>
      <c r="P1163" s="113">
        <f t="shared" si="578"/>
        <v>0</v>
      </c>
      <c r="Q1163" s="113">
        <f t="shared" si="578"/>
        <v>0</v>
      </c>
      <c r="R1163" s="113">
        <f t="shared" si="578"/>
        <v>0</v>
      </c>
      <c r="S1163" s="113">
        <f t="shared" ref="S1163:Z1163" si="579">+S1127*-S1019</f>
        <v>0</v>
      </c>
      <c r="T1163" s="113">
        <f t="shared" si="579"/>
        <v>0</v>
      </c>
      <c r="U1163" s="113">
        <f t="shared" si="579"/>
        <v>0</v>
      </c>
      <c r="V1163" s="113">
        <f t="shared" si="579"/>
        <v>0</v>
      </c>
      <c r="W1163" s="113">
        <f t="shared" si="579"/>
        <v>0</v>
      </c>
      <c r="X1163" s="113">
        <f t="shared" si="579"/>
        <v>0</v>
      </c>
      <c r="Y1163" s="113">
        <f t="shared" si="579"/>
        <v>0</v>
      </c>
      <c r="Z1163" s="113">
        <f t="shared" si="579"/>
        <v>0</v>
      </c>
    </row>
    <row r="1164" spans="1:26" s="20" customFormat="1" x14ac:dyDescent="0.2">
      <c r="A1164" s="109" t="s">
        <v>603</v>
      </c>
      <c r="C1164" s="113">
        <v>0</v>
      </c>
      <c r="D1164" s="113">
        <v>0</v>
      </c>
      <c r="E1164" s="113">
        <v>0</v>
      </c>
      <c r="F1164" s="113">
        <v>0</v>
      </c>
      <c r="G1164" s="113">
        <v>0</v>
      </c>
      <c r="H1164" s="113">
        <v>0</v>
      </c>
      <c r="I1164" s="113">
        <v>0</v>
      </c>
      <c r="J1164" s="113">
        <v>0</v>
      </c>
      <c r="K1164" s="113">
        <v>0</v>
      </c>
      <c r="L1164" s="113">
        <v>0</v>
      </c>
      <c r="M1164" s="113">
        <v>0</v>
      </c>
      <c r="N1164" s="113">
        <v>0</v>
      </c>
      <c r="O1164" s="113"/>
      <c r="P1164" s="113"/>
      <c r="Q1164" s="113"/>
      <c r="R1164" s="113"/>
      <c r="S1164" s="113"/>
      <c r="T1164" s="113"/>
      <c r="U1164" s="113"/>
      <c r="V1164" s="113"/>
      <c r="W1164" s="113"/>
      <c r="X1164" s="113"/>
      <c r="Y1164" s="113"/>
      <c r="Z1164" s="113"/>
    </row>
    <row r="1165" spans="1:26" s="20" customFormat="1" x14ac:dyDescent="0.2">
      <c r="A1165" s="109" t="s">
        <v>629</v>
      </c>
      <c r="C1165" s="113">
        <v>-14270.833333333334</v>
      </c>
      <c r="D1165" s="113">
        <v>-14270.833333333334</v>
      </c>
      <c r="E1165" s="113">
        <v>-14270.833333333334</v>
      </c>
      <c r="F1165" s="113">
        <v>-14270.833333333334</v>
      </c>
      <c r="G1165" s="113">
        <v>-14270.833333333334</v>
      </c>
      <c r="H1165" s="113">
        <v>-14270.833333333334</v>
      </c>
      <c r="I1165" s="113">
        <v>-14270.833333333334</v>
      </c>
      <c r="J1165" s="113">
        <v>-14270.833333333334</v>
      </c>
      <c r="K1165" s="113">
        <v>-14270.833333333334</v>
      </c>
      <c r="L1165" s="113">
        <v>-14270.833333333334</v>
      </c>
      <c r="M1165" s="113">
        <v>-14270.833333333334</v>
      </c>
      <c r="N1165" s="113">
        <v>-14270.833333333334</v>
      </c>
      <c r="O1165" s="113">
        <f>O1020*-O1129</f>
        <v>-28541.666666666668</v>
      </c>
      <c r="P1165" s="113">
        <f t="shared" ref="P1165:Z1165" si="580">P1020*-P1129</f>
        <v>-28541.666666666668</v>
      </c>
      <c r="Q1165" s="113">
        <f t="shared" si="580"/>
        <v>-28541.666666666668</v>
      </c>
      <c r="R1165" s="113">
        <f t="shared" si="580"/>
        <v>-28541.666666666668</v>
      </c>
      <c r="S1165" s="113">
        <f t="shared" si="580"/>
        <v>-28541.666666666668</v>
      </c>
      <c r="T1165" s="113">
        <f t="shared" si="580"/>
        <v>-28541.666666666668</v>
      </c>
      <c r="U1165" s="113">
        <f t="shared" si="580"/>
        <v>-28541.666666666668</v>
      </c>
      <c r="V1165" s="113">
        <f t="shared" si="580"/>
        <v>-28541.666666666668</v>
      </c>
      <c r="W1165" s="113">
        <f t="shared" si="580"/>
        <v>-28541.666666666668</v>
      </c>
      <c r="X1165" s="113">
        <f t="shared" si="580"/>
        <v>-28541.666666666668</v>
      </c>
      <c r="Y1165" s="113">
        <f t="shared" si="580"/>
        <v>-28541.666666666668</v>
      </c>
      <c r="Z1165" s="113">
        <f t="shared" si="580"/>
        <v>-28541.666666666668</v>
      </c>
    </row>
    <row r="1166" spans="1:26" s="20" customFormat="1" x14ac:dyDescent="0.2">
      <c r="A1166" s="109" t="str">
        <f t="shared" ref="A1166:A1175" si="581">+A1022</f>
        <v>Energy America Sale - 2014-02-13</v>
      </c>
      <c r="C1166" s="113">
        <v>0</v>
      </c>
      <c r="D1166" s="113">
        <v>0</v>
      </c>
      <c r="E1166" s="113">
        <v>0</v>
      </c>
      <c r="F1166" s="113">
        <v>0</v>
      </c>
      <c r="G1166" s="113">
        <v>0</v>
      </c>
      <c r="H1166" s="113">
        <v>0</v>
      </c>
      <c r="I1166" s="113">
        <v>0</v>
      </c>
      <c r="J1166" s="113">
        <v>0</v>
      </c>
      <c r="K1166" s="113">
        <v>0</v>
      </c>
      <c r="L1166" s="113">
        <v>0</v>
      </c>
      <c r="M1166" s="113">
        <v>0</v>
      </c>
      <c r="N1166" s="113">
        <v>0</v>
      </c>
      <c r="O1166" s="113">
        <f t="shared" ref="O1166:Z1166" si="582">+O1130*-O1022</f>
        <v>0</v>
      </c>
      <c r="P1166" s="113">
        <f t="shared" si="582"/>
        <v>0</v>
      </c>
      <c r="Q1166" s="113">
        <f t="shared" si="582"/>
        <v>0</v>
      </c>
      <c r="R1166" s="113">
        <f t="shared" si="582"/>
        <v>0</v>
      </c>
      <c r="S1166" s="113">
        <f t="shared" si="582"/>
        <v>0</v>
      </c>
      <c r="T1166" s="113">
        <f t="shared" si="582"/>
        <v>0</v>
      </c>
      <c r="U1166" s="113">
        <f t="shared" si="582"/>
        <v>0</v>
      </c>
      <c r="V1166" s="113">
        <f t="shared" si="582"/>
        <v>0</v>
      </c>
      <c r="W1166" s="113">
        <f t="shared" si="582"/>
        <v>0</v>
      </c>
      <c r="X1166" s="113">
        <f t="shared" si="582"/>
        <v>0</v>
      </c>
      <c r="Y1166" s="113">
        <f t="shared" si="582"/>
        <v>0</v>
      </c>
      <c r="Z1166" s="113">
        <f t="shared" si="582"/>
        <v>0</v>
      </c>
    </row>
    <row r="1167" spans="1:26" s="20" customFormat="1" x14ac:dyDescent="0.2">
      <c r="A1167" s="109" t="str">
        <f t="shared" si="581"/>
        <v>Energy America Sale - 2012-08-23</v>
      </c>
      <c r="C1167" s="113">
        <v>0</v>
      </c>
      <c r="D1167" s="113">
        <v>0</v>
      </c>
      <c r="E1167" s="113">
        <v>0</v>
      </c>
      <c r="F1167" s="113">
        <v>0</v>
      </c>
      <c r="G1167" s="113">
        <v>0</v>
      </c>
      <c r="H1167" s="113">
        <v>0</v>
      </c>
      <c r="I1167" s="113">
        <v>0</v>
      </c>
      <c r="J1167" s="113">
        <v>0</v>
      </c>
      <c r="K1167" s="113">
        <v>0</v>
      </c>
      <c r="L1167" s="113">
        <v>0</v>
      </c>
      <c r="M1167" s="113">
        <v>0</v>
      </c>
      <c r="N1167" s="113">
        <v>0</v>
      </c>
      <c r="O1167" s="113">
        <f t="shared" ref="O1167:Z1167" si="583">+O1131*-O1023</f>
        <v>0</v>
      </c>
      <c r="P1167" s="113">
        <f t="shared" si="583"/>
        <v>0</v>
      </c>
      <c r="Q1167" s="113">
        <f t="shared" si="583"/>
        <v>0</v>
      </c>
      <c r="R1167" s="113">
        <f t="shared" si="583"/>
        <v>0</v>
      </c>
      <c r="S1167" s="113">
        <f t="shared" si="583"/>
        <v>0</v>
      </c>
      <c r="T1167" s="113">
        <f t="shared" si="583"/>
        <v>0</v>
      </c>
      <c r="U1167" s="113">
        <f t="shared" si="583"/>
        <v>0</v>
      </c>
      <c r="V1167" s="113">
        <f t="shared" si="583"/>
        <v>0</v>
      </c>
      <c r="W1167" s="113">
        <f t="shared" si="583"/>
        <v>0</v>
      </c>
      <c r="X1167" s="113">
        <f t="shared" si="583"/>
        <v>0</v>
      </c>
      <c r="Y1167" s="113">
        <f t="shared" si="583"/>
        <v>0</v>
      </c>
      <c r="Z1167" s="113">
        <f t="shared" si="583"/>
        <v>0</v>
      </c>
    </row>
    <row r="1168" spans="1:26" s="20" customFormat="1" x14ac:dyDescent="0.2">
      <c r="A1168" s="109" t="str">
        <f t="shared" si="581"/>
        <v>Direct Energy - 2016-04-13</v>
      </c>
      <c r="C1168" s="113">
        <v>0</v>
      </c>
      <c r="D1168" s="113">
        <v>0</v>
      </c>
      <c r="E1168" s="113">
        <v>0</v>
      </c>
      <c r="F1168" s="113">
        <v>0</v>
      </c>
      <c r="G1168" s="113">
        <v>0</v>
      </c>
      <c r="H1168" s="113">
        <v>0</v>
      </c>
      <c r="I1168" s="113">
        <v>0</v>
      </c>
      <c r="J1168" s="113">
        <v>0</v>
      </c>
      <c r="K1168" s="113">
        <v>0</v>
      </c>
      <c r="L1168" s="113">
        <v>0</v>
      </c>
      <c r="M1168" s="113">
        <v>0</v>
      </c>
      <c r="N1168" s="113">
        <v>0</v>
      </c>
      <c r="O1168" s="113">
        <f t="shared" ref="O1168:Z1168" si="584">+O1132*-O1024</f>
        <v>0</v>
      </c>
      <c r="P1168" s="113">
        <f t="shared" si="584"/>
        <v>0</v>
      </c>
      <c r="Q1168" s="113">
        <f t="shared" si="584"/>
        <v>0</v>
      </c>
      <c r="R1168" s="113">
        <f t="shared" si="584"/>
        <v>0</v>
      </c>
      <c r="S1168" s="113">
        <f t="shared" si="584"/>
        <v>0</v>
      </c>
      <c r="T1168" s="113">
        <f t="shared" si="584"/>
        <v>0</v>
      </c>
      <c r="U1168" s="113">
        <f t="shared" si="584"/>
        <v>0</v>
      </c>
      <c r="V1168" s="113">
        <f t="shared" si="584"/>
        <v>0</v>
      </c>
      <c r="W1168" s="113">
        <f t="shared" si="584"/>
        <v>0</v>
      </c>
      <c r="X1168" s="113">
        <f t="shared" si="584"/>
        <v>0</v>
      </c>
      <c r="Y1168" s="113">
        <f t="shared" si="584"/>
        <v>0</v>
      </c>
      <c r="Z1168" s="113">
        <f t="shared" si="584"/>
        <v>0</v>
      </c>
    </row>
    <row r="1169" spans="1:26" s="20" customFormat="1" x14ac:dyDescent="0.2">
      <c r="A1169" s="109" t="str">
        <f t="shared" si="581"/>
        <v>Direct Energy - 2016-05-26</v>
      </c>
      <c r="C1169" s="113">
        <v>0</v>
      </c>
      <c r="D1169" s="113">
        <v>0</v>
      </c>
      <c r="E1169" s="113">
        <v>0</v>
      </c>
      <c r="F1169" s="113">
        <v>0</v>
      </c>
      <c r="G1169" s="113">
        <v>0</v>
      </c>
      <c r="H1169" s="113">
        <v>0</v>
      </c>
      <c r="I1169" s="113">
        <v>0</v>
      </c>
      <c r="J1169" s="113">
        <v>0</v>
      </c>
      <c r="K1169" s="113">
        <v>0</v>
      </c>
      <c r="L1169" s="113">
        <v>0</v>
      </c>
      <c r="M1169" s="113">
        <v>0</v>
      </c>
      <c r="N1169" s="113">
        <v>0</v>
      </c>
      <c r="O1169" s="113">
        <f t="shared" ref="O1169:Z1169" si="585">+O1133*-O1025</f>
        <v>0</v>
      </c>
      <c r="P1169" s="113">
        <f t="shared" si="585"/>
        <v>0</v>
      </c>
      <c r="Q1169" s="113">
        <f t="shared" si="585"/>
        <v>0</v>
      </c>
      <c r="R1169" s="113">
        <f t="shared" si="585"/>
        <v>0</v>
      </c>
      <c r="S1169" s="113">
        <f t="shared" si="585"/>
        <v>0</v>
      </c>
      <c r="T1169" s="113">
        <f t="shared" si="585"/>
        <v>0</v>
      </c>
      <c r="U1169" s="113">
        <f t="shared" si="585"/>
        <v>0</v>
      </c>
      <c r="V1169" s="113">
        <f t="shared" si="585"/>
        <v>0</v>
      </c>
      <c r="W1169" s="113">
        <f t="shared" si="585"/>
        <v>0</v>
      </c>
      <c r="X1169" s="113">
        <f t="shared" si="585"/>
        <v>0</v>
      </c>
      <c r="Y1169" s="113">
        <f t="shared" si="585"/>
        <v>0</v>
      </c>
      <c r="Z1169" s="113">
        <f t="shared" si="585"/>
        <v>0</v>
      </c>
    </row>
    <row r="1170" spans="1:26" s="20" customFormat="1" x14ac:dyDescent="0.2">
      <c r="A1170" s="109" t="str">
        <f t="shared" si="581"/>
        <v>Exelon - 2018-07-31 - MA/CT REC Sale</v>
      </c>
      <c r="C1170" s="113">
        <v>0</v>
      </c>
      <c r="D1170" s="113">
        <v>0</v>
      </c>
      <c r="E1170" s="113">
        <v>0</v>
      </c>
      <c r="F1170" s="113">
        <v>0</v>
      </c>
      <c r="G1170" s="113">
        <v>0</v>
      </c>
      <c r="H1170" s="113">
        <v>0</v>
      </c>
      <c r="I1170" s="113">
        <v>0</v>
      </c>
      <c r="J1170" s="113">
        <v>0</v>
      </c>
      <c r="K1170" s="113">
        <v>0</v>
      </c>
      <c r="L1170" s="113">
        <v>0</v>
      </c>
      <c r="M1170" s="113">
        <v>0</v>
      </c>
      <c r="N1170" s="113">
        <v>0</v>
      </c>
      <c r="O1170" s="113">
        <f t="shared" ref="O1170:Z1170" si="586">+O1134*-O1026</f>
        <v>0</v>
      </c>
      <c r="P1170" s="113">
        <f t="shared" si="586"/>
        <v>0</v>
      </c>
      <c r="Q1170" s="113">
        <f t="shared" si="586"/>
        <v>0</v>
      </c>
      <c r="R1170" s="113">
        <f t="shared" si="586"/>
        <v>0</v>
      </c>
      <c r="S1170" s="113">
        <f t="shared" si="586"/>
        <v>0</v>
      </c>
      <c r="T1170" s="113">
        <f t="shared" si="586"/>
        <v>0</v>
      </c>
      <c r="U1170" s="113">
        <f t="shared" si="586"/>
        <v>0</v>
      </c>
      <c r="V1170" s="113">
        <f t="shared" si="586"/>
        <v>0</v>
      </c>
      <c r="W1170" s="113">
        <f t="shared" si="586"/>
        <v>0</v>
      </c>
      <c r="X1170" s="113">
        <f t="shared" si="586"/>
        <v>0</v>
      </c>
      <c r="Y1170" s="113">
        <f t="shared" si="586"/>
        <v>0</v>
      </c>
      <c r="Z1170" s="113">
        <f t="shared" si="586"/>
        <v>0</v>
      </c>
    </row>
    <row r="1171" spans="1:26" s="20" customFormat="1" x14ac:dyDescent="0.2">
      <c r="A1171" s="109" t="str">
        <f t="shared" si="581"/>
        <v>Exelon - 2020-04-14</v>
      </c>
      <c r="C1171" s="113">
        <v>-11666.666666666668</v>
      </c>
      <c r="D1171" s="113">
        <v>-11666.666666666668</v>
      </c>
      <c r="E1171" s="113">
        <v>-11666.666666666668</v>
      </c>
      <c r="F1171" s="113">
        <v>-11666.666666666668</v>
      </c>
      <c r="G1171" s="113">
        <v>-11666.666666666668</v>
      </c>
      <c r="H1171" s="113">
        <v>-11666.666666666668</v>
      </c>
      <c r="I1171" s="113">
        <v>-11666.666666666668</v>
      </c>
      <c r="J1171" s="113">
        <v>-11666.666666666668</v>
      </c>
      <c r="K1171" s="113">
        <v>-11666.666666666668</v>
      </c>
      <c r="L1171" s="113">
        <v>-11666.666666666668</v>
      </c>
      <c r="M1171" s="113">
        <v>-11666.666666666668</v>
      </c>
      <c r="N1171" s="113">
        <v>-11666.666666666668</v>
      </c>
      <c r="O1171" s="113">
        <f t="shared" ref="O1171:Z1171" si="587">+O1135*-O1027</f>
        <v>0</v>
      </c>
      <c r="P1171" s="113">
        <f t="shared" si="587"/>
        <v>0</v>
      </c>
      <c r="Q1171" s="113">
        <f t="shared" si="587"/>
        <v>0</v>
      </c>
      <c r="R1171" s="113">
        <f t="shared" si="587"/>
        <v>0</v>
      </c>
      <c r="S1171" s="113">
        <f t="shared" si="587"/>
        <v>0</v>
      </c>
      <c r="T1171" s="113">
        <f t="shared" si="587"/>
        <v>0</v>
      </c>
      <c r="U1171" s="113">
        <f t="shared" si="587"/>
        <v>0</v>
      </c>
      <c r="V1171" s="113">
        <f t="shared" si="587"/>
        <v>0</v>
      </c>
      <c r="W1171" s="113">
        <f t="shared" si="587"/>
        <v>0</v>
      </c>
      <c r="X1171" s="113">
        <f t="shared" si="587"/>
        <v>0</v>
      </c>
      <c r="Y1171" s="113">
        <f t="shared" si="587"/>
        <v>0</v>
      </c>
      <c r="Z1171" s="113">
        <f t="shared" si="587"/>
        <v>0</v>
      </c>
    </row>
    <row r="1172" spans="1:26" s="20" customFormat="1" x14ac:dyDescent="0.2">
      <c r="A1172" s="109" t="str">
        <f t="shared" si="581"/>
        <v>Vitol MA 1 - 10/14/20</v>
      </c>
      <c r="C1172" s="113">
        <v>-13333.333333333334</v>
      </c>
      <c r="D1172" s="113">
        <v>-13333.333333333334</v>
      </c>
      <c r="E1172" s="113">
        <v>-13333.333333333334</v>
      </c>
      <c r="F1172" s="113">
        <v>-13333.333333333334</v>
      </c>
      <c r="G1172" s="113">
        <v>-13333.333333333334</v>
      </c>
      <c r="H1172" s="113">
        <v>-13333.333333333334</v>
      </c>
      <c r="I1172" s="113">
        <v>-13333.333333333334</v>
      </c>
      <c r="J1172" s="113">
        <v>-13333.333333333334</v>
      </c>
      <c r="K1172" s="113">
        <v>-13333.333333333334</v>
      </c>
      <c r="L1172" s="113">
        <v>-13333.333333333334</v>
      </c>
      <c r="M1172" s="113">
        <v>-13333.333333333334</v>
      </c>
      <c r="N1172" s="113">
        <v>-13333.333333333334</v>
      </c>
      <c r="O1172" s="113">
        <f t="shared" ref="O1172:Z1172" si="588">+O1136*-O1028</f>
        <v>0</v>
      </c>
      <c r="P1172" s="113">
        <f t="shared" si="588"/>
        <v>0</v>
      </c>
      <c r="Q1172" s="113">
        <f t="shared" si="588"/>
        <v>0</v>
      </c>
      <c r="R1172" s="113">
        <f t="shared" si="588"/>
        <v>0</v>
      </c>
      <c r="S1172" s="113">
        <f t="shared" si="588"/>
        <v>0</v>
      </c>
      <c r="T1172" s="113">
        <f t="shared" si="588"/>
        <v>0</v>
      </c>
      <c r="U1172" s="113">
        <f t="shared" si="588"/>
        <v>0</v>
      </c>
      <c r="V1172" s="113">
        <f t="shared" si="588"/>
        <v>0</v>
      </c>
      <c r="W1172" s="113">
        <f t="shared" si="588"/>
        <v>0</v>
      </c>
      <c r="X1172" s="113">
        <f t="shared" si="588"/>
        <v>0</v>
      </c>
      <c r="Y1172" s="113">
        <f t="shared" si="588"/>
        <v>0</v>
      </c>
      <c r="Z1172" s="113">
        <f t="shared" si="588"/>
        <v>0</v>
      </c>
    </row>
    <row r="1173" spans="1:26" s="20" customFormat="1" x14ac:dyDescent="0.2">
      <c r="A1173" s="109" t="str">
        <f t="shared" si="581"/>
        <v>Constellation - 6/8/2023</v>
      </c>
      <c r="C1173" s="113">
        <v>-63666.666666666672</v>
      </c>
      <c r="D1173" s="113">
        <v>-63666.666666666672</v>
      </c>
      <c r="E1173" s="113">
        <v>-63666.666666666672</v>
      </c>
      <c r="F1173" s="113">
        <v>-63666.666666666672</v>
      </c>
      <c r="G1173" s="113">
        <v>-63666.666666666672</v>
      </c>
      <c r="H1173" s="113">
        <v>-63666.666666666672</v>
      </c>
      <c r="I1173" s="113">
        <v>-63666.666666666672</v>
      </c>
      <c r="J1173" s="113">
        <v>-63666.666666666672</v>
      </c>
      <c r="K1173" s="113">
        <v>-63666.666666666672</v>
      </c>
      <c r="L1173" s="113">
        <v>-63666.666666666672</v>
      </c>
      <c r="M1173" s="113">
        <v>-63666.666666666672</v>
      </c>
      <c r="N1173" s="113">
        <v>-63666.666666666672</v>
      </c>
      <c r="O1173" s="113">
        <f>+O1137*-O1029</f>
        <v>-63666.666666666672</v>
      </c>
      <c r="P1173" s="113">
        <f t="shared" ref="P1173:Z1173" si="589">+P1137*-P1029</f>
        <v>-63666.666666666672</v>
      </c>
      <c r="Q1173" s="113">
        <f t="shared" si="589"/>
        <v>-63666.666666666672</v>
      </c>
      <c r="R1173" s="113">
        <f t="shared" si="589"/>
        <v>-63666.666666666672</v>
      </c>
      <c r="S1173" s="113">
        <f t="shared" si="589"/>
        <v>-63666.666666666672</v>
      </c>
      <c r="T1173" s="113">
        <f t="shared" si="589"/>
        <v>-63666.666666666672</v>
      </c>
      <c r="U1173" s="113">
        <f t="shared" si="589"/>
        <v>-63666.666666666672</v>
      </c>
      <c r="V1173" s="113">
        <f t="shared" si="589"/>
        <v>-63666.666666666672</v>
      </c>
      <c r="W1173" s="113">
        <f t="shared" si="589"/>
        <v>-63666.666666666672</v>
      </c>
      <c r="X1173" s="113">
        <f t="shared" si="589"/>
        <v>-63666.666666666672</v>
      </c>
      <c r="Y1173" s="113">
        <f t="shared" si="589"/>
        <v>-63666.666666666672</v>
      </c>
      <c r="Z1173" s="113">
        <f t="shared" si="589"/>
        <v>-63666.666666666672</v>
      </c>
    </row>
    <row r="1174" spans="1:26" s="20" customFormat="1" x14ac:dyDescent="0.2">
      <c r="A1174" s="109" t="str">
        <f t="shared" si="581"/>
        <v>Exelon - 2018-05-16 - CT REC Sale</v>
      </c>
      <c r="C1174" s="113">
        <v>0</v>
      </c>
      <c r="D1174" s="113">
        <v>0</v>
      </c>
      <c r="E1174" s="113">
        <v>0</v>
      </c>
      <c r="F1174" s="113">
        <v>0</v>
      </c>
      <c r="G1174" s="113">
        <v>0</v>
      </c>
      <c r="H1174" s="113">
        <v>0</v>
      </c>
      <c r="I1174" s="113">
        <v>0</v>
      </c>
      <c r="J1174" s="113">
        <v>0</v>
      </c>
      <c r="K1174" s="113">
        <v>0</v>
      </c>
      <c r="L1174" s="113">
        <v>0</v>
      </c>
      <c r="M1174" s="113">
        <v>0</v>
      </c>
      <c r="N1174" s="113">
        <v>0</v>
      </c>
      <c r="O1174" s="113">
        <f t="shared" ref="O1174:Z1174" si="590">+O1138*-O1030</f>
        <v>0</v>
      </c>
      <c r="P1174" s="113">
        <f t="shared" si="590"/>
        <v>0</v>
      </c>
      <c r="Q1174" s="113">
        <f t="shared" si="590"/>
        <v>0</v>
      </c>
      <c r="R1174" s="113">
        <f t="shared" si="590"/>
        <v>0</v>
      </c>
      <c r="S1174" s="113">
        <f t="shared" si="590"/>
        <v>0</v>
      </c>
      <c r="T1174" s="113">
        <f t="shared" si="590"/>
        <v>0</v>
      </c>
      <c r="U1174" s="113">
        <f t="shared" si="590"/>
        <v>0</v>
      </c>
      <c r="V1174" s="113">
        <f t="shared" si="590"/>
        <v>0</v>
      </c>
      <c r="W1174" s="113">
        <f t="shared" si="590"/>
        <v>0</v>
      </c>
      <c r="X1174" s="113">
        <f t="shared" si="590"/>
        <v>0</v>
      </c>
      <c r="Y1174" s="113">
        <f t="shared" si="590"/>
        <v>0</v>
      </c>
      <c r="Z1174" s="113">
        <f t="shared" si="590"/>
        <v>0</v>
      </c>
    </row>
    <row r="1175" spans="1:26" s="20" customFormat="1" x14ac:dyDescent="0.2">
      <c r="A1175" s="109" t="str">
        <f t="shared" si="581"/>
        <v>3Degrees CT Class I - 2020-04-15</v>
      </c>
      <c r="C1175" s="113">
        <v>0</v>
      </c>
      <c r="D1175" s="113">
        <v>0</v>
      </c>
      <c r="E1175" s="113">
        <v>0</v>
      </c>
      <c r="F1175" s="113">
        <v>0</v>
      </c>
      <c r="G1175" s="113">
        <v>0</v>
      </c>
      <c r="H1175" s="113">
        <v>0</v>
      </c>
      <c r="I1175" s="113">
        <v>0</v>
      </c>
      <c r="J1175" s="113">
        <v>0</v>
      </c>
      <c r="K1175" s="113">
        <v>0</v>
      </c>
      <c r="L1175" s="113">
        <v>0</v>
      </c>
      <c r="M1175" s="113">
        <v>0</v>
      </c>
      <c r="N1175" s="113">
        <v>0</v>
      </c>
      <c r="O1175" s="113">
        <f t="shared" ref="O1175:Z1175" si="591">+O1139*-O1031</f>
        <v>0</v>
      </c>
      <c r="P1175" s="113">
        <f t="shared" si="591"/>
        <v>0</v>
      </c>
      <c r="Q1175" s="113">
        <f t="shared" si="591"/>
        <v>0</v>
      </c>
      <c r="R1175" s="113">
        <f t="shared" si="591"/>
        <v>0</v>
      </c>
      <c r="S1175" s="113">
        <f t="shared" si="591"/>
        <v>0</v>
      </c>
      <c r="T1175" s="113">
        <f t="shared" si="591"/>
        <v>0</v>
      </c>
      <c r="U1175" s="113">
        <f t="shared" si="591"/>
        <v>0</v>
      </c>
      <c r="V1175" s="113">
        <f t="shared" si="591"/>
        <v>0</v>
      </c>
      <c r="W1175" s="113">
        <f t="shared" si="591"/>
        <v>0</v>
      </c>
      <c r="X1175" s="113">
        <f t="shared" si="591"/>
        <v>0</v>
      </c>
      <c r="Y1175" s="113">
        <f t="shared" si="591"/>
        <v>0</v>
      </c>
      <c r="Z1175" s="113">
        <f t="shared" si="591"/>
        <v>0</v>
      </c>
    </row>
    <row r="1176" spans="1:26" s="20" customFormat="1" x14ac:dyDescent="0.2">
      <c r="A1176" s="109" t="str">
        <f>+A1043</f>
        <v>Proxy Sale of MA RECs - Monthly</v>
      </c>
      <c r="C1176" s="113">
        <v>95370.749366357224</v>
      </c>
      <c r="D1176" s="113">
        <v>-70718.373440585812</v>
      </c>
      <c r="E1176" s="113">
        <v>-115606.94415835406</v>
      </c>
      <c r="F1176" s="113">
        <v>-77846.214931985523</v>
      </c>
      <c r="G1176" s="113">
        <v>19633.409789641577</v>
      </c>
      <c r="H1176" s="113">
        <v>87673.032067143693</v>
      </c>
      <c r="I1176" s="113">
        <v>50470.020403169561</v>
      </c>
      <c r="J1176" s="113">
        <v>81654.359457281971</v>
      </c>
      <c r="K1176" s="113">
        <v>39793.082442598738</v>
      </c>
      <c r="L1176" s="113">
        <v>-31597.937957913215</v>
      </c>
      <c r="M1176" s="113">
        <v>-87561.628104185787</v>
      </c>
      <c r="N1176" s="113">
        <v>-104514.07582674349</v>
      </c>
      <c r="O1176" s="113">
        <f t="shared" ref="O1176:Z1176" si="592">+O1140*-O1043</f>
        <v>-124674.64099999999</v>
      </c>
      <c r="P1176" s="113">
        <f t="shared" si="592"/>
        <v>-137281.274</v>
      </c>
      <c r="Q1176" s="113">
        <f t="shared" si="592"/>
        <v>-229189.49300000002</v>
      </c>
      <c r="R1176" s="113">
        <f t="shared" si="592"/>
        <v>-159298.80199999997</v>
      </c>
      <c r="S1176" s="113">
        <f t="shared" si="592"/>
        <v>-50928.566000000013</v>
      </c>
      <c r="T1176" s="113">
        <f t="shared" si="592"/>
        <v>-76969.919000000009</v>
      </c>
      <c r="U1176" s="113">
        <f t="shared" si="592"/>
        <v>13998.448749999994</v>
      </c>
      <c r="V1176" s="113">
        <f t="shared" si="592"/>
        <v>-70132.790000000023</v>
      </c>
      <c r="W1176" s="113">
        <f t="shared" si="592"/>
        <v>24096.553000000007</v>
      </c>
      <c r="X1176" s="113">
        <f t="shared" si="592"/>
        <v>-104091.49399999998</v>
      </c>
      <c r="Y1176" s="113">
        <f t="shared" si="592"/>
        <v>-152165.19500000001</v>
      </c>
      <c r="Z1176" s="113">
        <f t="shared" si="592"/>
        <v>-91096.811000000002</v>
      </c>
    </row>
    <row r="1177" spans="1:26" s="20" customFormat="1" x14ac:dyDescent="0.2">
      <c r="A1177" s="109" t="str">
        <f>+A1044</f>
        <v>Proxy Sale of CT 1 RECs - Monthly</v>
      </c>
      <c r="C1177" s="113">
        <v>-46665.064688439546</v>
      </c>
      <c r="D1177" s="113">
        <v>-42227.009074812311</v>
      </c>
      <c r="E1177" s="113">
        <v>-48250.894701063538</v>
      </c>
      <c r="F1177" s="113">
        <v>-46202.187958015696</v>
      </c>
      <c r="G1177" s="113">
        <v>-46017.925970983073</v>
      </c>
      <c r="H1177" s="113">
        <v>-41750.367515899656</v>
      </c>
      <c r="I1177" s="113">
        <v>-47247.858029214462</v>
      </c>
      <c r="J1177" s="113">
        <v>-46840.075711917387</v>
      </c>
      <c r="K1177" s="113">
        <v>-33102.161700105076</v>
      </c>
      <c r="L1177" s="113">
        <v>-32491.48837554354</v>
      </c>
      <c r="M1177" s="113">
        <v>-35677.829199909997</v>
      </c>
      <c r="N1177" s="113">
        <v>0</v>
      </c>
      <c r="O1177" s="113">
        <f t="shared" ref="O1177:Z1177" si="593">+O1141*-O1044</f>
        <v>-30031.139757886634</v>
      </c>
      <c r="P1177" s="113">
        <f t="shared" si="593"/>
        <v>-42704.859395062806</v>
      </c>
      <c r="Q1177" s="113">
        <f t="shared" si="593"/>
        <v>-47142.138365992811</v>
      </c>
      <c r="R1177" s="113">
        <f t="shared" si="593"/>
        <v>-38667.958629580804</v>
      </c>
      <c r="S1177" s="113">
        <f t="shared" si="593"/>
        <v>-41377.939745921998</v>
      </c>
      <c r="T1177" s="113">
        <f t="shared" si="593"/>
        <v>-43082.484599115</v>
      </c>
      <c r="U1177" s="113">
        <f t="shared" si="593"/>
        <v>-46543.801858538405</v>
      </c>
      <c r="V1177" s="113">
        <f t="shared" si="593"/>
        <v>-46246.0068038592</v>
      </c>
      <c r="W1177" s="113">
        <f t="shared" si="593"/>
        <v>-30283.6923395136</v>
      </c>
      <c r="X1177" s="113">
        <f t="shared" si="593"/>
        <v>-31934.492643362399</v>
      </c>
      <c r="Y1177" s="113">
        <f t="shared" si="593"/>
        <v>-33158.467705381205</v>
      </c>
      <c r="Z1177" s="113">
        <f t="shared" si="593"/>
        <v>0</v>
      </c>
    </row>
    <row r="1178" spans="1:26" s="20" customFormat="1" x14ac:dyDescent="0.2">
      <c r="A1178" s="109" t="str">
        <f>+A1064</f>
        <v>Direct Energy - MA Class 1 (10/2/19 Email)</v>
      </c>
      <c r="C1178" s="113">
        <v>0</v>
      </c>
      <c r="D1178" s="113">
        <v>0</v>
      </c>
      <c r="E1178" s="113">
        <v>0</v>
      </c>
      <c r="F1178" s="113">
        <v>0</v>
      </c>
      <c r="G1178" s="113">
        <v>0</v>
      </c>
      <c r="H1178" s="113">
        <v>0</v>
      </c>
      <c r="I1178" s="113">
        <v>0</v>
      </c>
      <c r="J1178" s="113">
        <v>0</v>
      </c>
      <c r="K1178" s="113">
        <v>0</v>
      </c>
      <c r="L1178" s="113">
        <v>0</v>
      </c>
      <c r="M1178" s="113">
        <v>0</v>
      </c>
      <c r="N1178" s="113">
        <v>0</v>
      </c>
      <c r="O1178" s="113">
        <f t="shared" ref="O1178:R1178" si="594">+O1142*-O1064</f>
        <v>0</v>
      </c>
      <c r="P1178" s="113">
        <f t="shared" si="594"/>
        <v>0</v>
      </c>
      <c r="Q1178" s="113">
        <f t="shared" si="594"/>
        <v>0</v>
      </c>
      <c r="R1178" s="113">
        <f t="shared" si="594"/>
        <v>0</v>
      </c>
      <c r="S1178" s="113">
        <f t="shared" ref="S1178:Z1178" si="595">+S1142*-S1064</f>
        <v>0</v>
      </c>
      <c r="T1178" s="113">
        <f t="shared" si="595"/>
        <v>0</v>
      </c>
      <c r="U1178" s="113">
        <f t="shared" si="595"/>
        <v>0</v>
      </c>
      <c r="V1178" s="113">
        <f t="shared" si="595"/>
        <v>0</v>
      </c>
      <c r="W1178" s="113">
        <f t="shared" si="595"/>
        <v>0</v>
      </c>
      <c r="X1178" s="113">
        <f t="shared" si="595"/>
        <v>0</v>
      </c>
      <c r="Y1178" s="113">
        <f t="shared" si="595"/>
        <v>0</v>
      </c>
      <c r="Z1178" s="113">
        <f t="shared" si="595"/>
        <v>0</v>
      </c>
    </row>
    <row r="1179" spans="1:26" s="20" customFormat="1" x14ac:dyDescent="0.2">
      <c r="A1179" s="109" t="s">
        <v>615</v>
      </c>
      <c r="C1179" s="113"/>
      <c r="D1179" s="113"/>
      <c r="E1179" s="113"/>
      <c r="F1179" s="113"/>
      <c r="G1179" s="113"/>
      <c r="H1179" s="113"/>
      <c r="I1179" s="113"/>
      <c r="J1179" s="113"/>
      <c r="K1179" s="113"/>
      <c r="L1179" s="113"/>
      <c r="M1179" s="113"/>
      <c r="N1179" s="113"/>
      <c r="O1179" s="113"/>
      <c r="P1179" s="113"/>
      <c r="Q1179" s="113"/>
      <c r="R1179" s="113"/>
      <c r="S1179" s="113"/>
      <c r="T1179" s="113"/>
      <c r="U1179" s="113"/>
      <c r="V1179" s="113"/>
      <c r="W1179" s="113"/>
      <c r="X1179" s="113"/>
      <c r="Y1179" s="113"/>
      <c r="Z1179" s="113"/>
    </row>
    <row r="1180" spans="1:26" s="20" customFormat="1" x14ac:dyDescent="0.2">
      <c r="A1180" s="109" t="s">
        <v>303</v>
      </c>
      <c r="C1180" s="114">
        <v>5001.1362903098043</v>
      </c>
      <c r="D1180" s="114">
        <v>9146.0354491127728</v>
      </c>
      <c r="E1180" s="114">
        <v>10451.483047677375</v>
      </c>
      <c r="F1180" s="114">
        <v>9430.7282792308015</v>
      </c>
      <c r="G1180" s="114">
        <v>6926.526055931834</v>
      </c>
      <c r="H1180" s="114">
        <v>5072.495780737333</v>
      </c>
      <c r="I1180" s="114">
        <v>6167.3804519498699</v>
      </c>
      <c r="J1180" s="114">
        <v>5357.3260578111658</v>
      </c>
      <c r="K1180" s="114">
        <v>6078.4379296796506</v>
      </c>
      <c r="L1180" s="114">
        <v>7893.3186239347897</v>
      </c>
      <c r="M1180" s="114">
        <v>9409.9860847204054</v>
      </c>
      <c r="N1180" s="114">
        <v>8929.8480981216289</v>
      </c>
      <c r="O1180" s="114">
        <f t="shared" ref="O1180:R1180" si="596">+SUM(O1000:O1031,O1043:O1044,O1064)</f>
        <v>7300.1482245611951</v>
      </c>
      <c r="P1180" s="114">
        <f t="shared" si="596"/>
        <v>7948.3623947451997</v>
      </c>
      <c r="Q1180" s="114">
        <f t="shared" si="596"/>
        <v>10418.759778615202</v>
      </c>
      <c r="R1180" s="114">
        <f t="shared" si="596"/>
        <v>8409.4041187071998</v>
      </c>
      <c r="S1180" s="114">
        <f t="shared" ref="S1180:Z1180" si="597">+SUM(S1000:S1031,S1043:S1044,S1064)</f>
        <v>5700.1668139980002</v>
      </c>
      <c r="T1180" s="114">
        <f t="shared" si="597"/>
        <v>6411.6000922849998</v>
      </c>
      <c r="U1180" s="114">
        <f t="shared" si="597"/>
        <v>4167.8295668856008</v>
      </c>
      <c r="V1180" s="114">
        <f t="shared" si="597"/>
        <v>6317.4050462528003</v>
      </c>
      <c r="W1180" s="114">
        <f t="shared" si="597"/>
        <v>3491.9779317824</v>
      </c>
      <c r="X1180" s="114">
        <f t="shared" si="597"/>
        <v>6821.1791447015994</v>
      </c>
      <c r="Y1180" s="114">
        <f t="shared" si="597"/>
        <v>8085.2221206508002</v>
      </c>
      <c r="Z1180" s="114">
        <f t="shared" si="597"/>
        <v>5669.1490000000003</v>
      </c>
    </row>
    <row r="1181" spans="1:26" s="20" customFormat="1" x14ac:dyDescent="0.2">
      <c r="A1181" s="109" t="s">
        <v>304</v>
      </c>
      <c r="C1181" s="113">
        <v>-167981.81532208232</v>
      </c>
      <c r="D1181" s="113">
        <v>-329632.88251539809</v>
      </c>
      <c r="E1181" s="113">
        <v>-380545.33885941759</v>
      </c>
      <c r="F1181" s="113">
        <v>-340735.90289000125</v>
      </c>
      <c r="G1181" s="113">
        <v>-243072.01618134152</v>
      </c>
      <c r="H1181" s="113">
        <v>-170764.83544875597</v>
      </c>
      <c r="I1181" s="113">
        <v>-213465.3376260449</v>
      </c>
      <c r="J1181" s="113">
        <v>-181873.21625463542</v>
      </c>
      <c r="K1181" s="113">
        <v>-209996.57925750635</v>
      </c>
      <c r="L1181" s="113">
        <v>-280776.92633345677</v>
      </c>
      <c r="M1181" s="113">
        <v>-339926.95730409579</v>
      </c>
      <c r="N1181" s="113">
        <v>-321201.5758267435</v>
      </c>
      <c r="O1181" s="113">
        <f t="shared" ref="O1181:R1181" si="598">+SUM(O1144:O1178)</f>
        <v>-279622.44742455328</v>
      </c>
      <c r="P1181" s="113">
        <f t="shared" si="598"/>
        <v>-304902.80006172945</v>
      </c>
      <c r="Q1181" s="113">
        <f t="shared" si="598"/>
        <v>-401248.29803265951</v>
      </c>
      <c r="R1181" s="113">
        <f t="shared" si="598"/>
        <v>-322883.42729624745</v>
      </c>
      <c r="S1181" s="113">
        <f t="shared" ref="S1181:Z1181" si="599">+SUM(S1144:S1178)</f>
        <v>-217223.17241258867</v>
      </c>
      <c r="T1181" s="113">
        <f t="shared" si="599"/>
        <v>-244969.07026578169</v>
      </c>
      <c r="U1181" s="113">
        <f t="shared" si="599"/>
        <v>-157462.01977520509</v>
      </c>
      <c r="V1181" s="113">
        <f t="shared" si="599"/>
        <v>-241295.46347052589</v>
      </c>
      <c r="W1181" s="113">
        <f t="shared" si="599"/>
        <v>-131103.80600618027</v>
      </c>
      <c r="X1181" s="113">
        <f t="shared" si="599"/>
        <v>-260942.65331002904</v>
      </c>
      <c r="Y1181" s="113">
        <f t="shared" si="599"/>
        <v>-310240.32937204791</v>
      </c>
      <c r="Z1181" s="113">
        <f t="shared" si="599"/>
        <v>-216013.47766666667</v>
      </c>
    </row>
    <row r="1182" spans="1:26" s="20" customFormat="1" x14ac:dyDescent="0.2"/>
    <row r="1183" spans="1:26" x14ac:dyDescent="0.2">
      <c r="C1183" s="34"/>
      <c r="D1183" s="34"/>
      <c r="E1183" s="34"/>
      <c r="F1183" s="34"/>
      <c r="G1183" s="34"/>
      <c r="H1183" s="34"/>
      <c r="I1183" s="34"/>
      <c r="J1183" s="34"/>
      <c r="K1183" s="34"/>
      <c r="L1183" s="34"/>
      <c r="M1183" s="34"/>
      <c r="N1183" s="34"/>
      <c r="O1183" s="34"/>
      <c r="P1183" s="34"/>
      <c r="Q1183" s="34"/>
      <c r="R1183" s="34"/>
      <c r="S1183" s="34"/>
      <c r="T1183" s="34"/>
      <c r="U1183" s="34"/>
      <c r="V1183" s="34"/>
      <c r="W1183" s="34"/>
      <c r="X1183" s="34"/>
      <c r="Y1183" s="34"/>
      <c r="Z1183" s="34"/>
    </row>
    <row r="1184" spans="1:26" x14ac:dyDescent="0.2">
      <c r="A1184">
        <v>0</v>
      </c>
      <c r="C1184" s="34"/>
      <c r="D1184" s="34"/>
      <c r="E1184" s="34"/>
      <c r="F1184" s="34"/>
      <c r="G1184" s="34"/>
      <c r="H1184" s="34"/>
      <c r="I1184" s="34"/>
      <c r="J1184" s="34"/>
      <c r="K1184" s="34"/>
      <c r="L1184" s="34"/>
      <c r="M1184" s="34"/>
      <c r="N1184" s="34"/>
      <c r="O1184" s="34"/>
      <c r="P1184" s="34"/>
      <c r="Q1184" s="34"/>
      <c r="R1184" s="34"/>
      <c r="S1184" s="34"/>
      <c r="T1184" s="34"/>
      <c r="U1184" s="34"/>
      <c r="V1184" s="34"/>
      <c r="W1184" s="34"/>
      <c r="X1184" s="34"/>
      <c r="Y1184" s="34"/>
      <c r="Z1184" s="34"/>
    </row>
    <row r="1185" spans="1:26" x14ac:dyDescent="0.2">
      <c r="A1185" s="54"/>
    </row>
    <row r="1186" spans="1:26" x14ac:dyDescent="0.2">
      <c r="A1186" s="54"/>
      <c r="C1186" s="34"/>
      <c r="D1186" s="34"/>
      <c r="E1186" s="34"/>
      <c r="F1186" s="34"/>
      <c r="G1186" s="34"/>
      <c r="H1186" s="34"/>
      <c r="I1186" s="34"/>
      <c r="J1186" s="34"/>
      <c r="K1186" s="34"/>
      <c r="L1186" s="34"/>
      <c r="M1186" s="34"/>
      <c r="N1186" s="34"/>
      <c r="O1186" s="34"/>
      <c r="P1186" s="34"/>
      <c r="Q1186" s="34"/>
      <c r="R1186" s="34"/>
      <c r="S1186" s="34"/>
      <c r="T1186" s="34"/>
      <c r="U1186" s="34"/>
      <c r="V1186" s="34"/>
      <c r="W1186" s="34"/>
      <c r="X1186" s="34"/>
      <c r="Y1186" s="34"/>
      <c r="Z1186" s="34"/>
    </row>
    <row r="1187" spans="1:26" x14ac:dyDescent="0.2">
      <c r="A1187" s="54"/>
      <c r="C1187" s="34"/>
      <c r="D1187" s="34"/>
      <c r="E1187" s="34"/>
      <c r="F1187" s="34"/>
      <c r="G1187" s="34"/>
      <c r="H1187" s="34"/>
      <c r="I1187" s="34"/>
      <c r="J1187" s="34"/>
      <c r="K1187" s="34"/>
      <c r="L1187" s="34"/>
      <c r="M1187" s="34"/>
      <c r="N1187" s="34"/>
      <c r="O1187" s="34"/>
      <c r="P1187" s="34"/>
      <c r="Q1187" s="34"/>
      <c r="R1187" s="34"/>
      <c r="S1187" s="34"/>
      <c r="T1187" s="34"/>
      <c r="U1187" s="34"/>
      <c r="V1187" s="34"/>
      <c r="W1187" s="34"/>
      <c r="X1187" s="34"/>
      <c r="Y1187" s="34"/>
      <c r="Z1187" s="34"/>
    </row>
    <row r="1188" spans="1:26" x14ac:dyDescent="0.2">
      <c r="C1188" s="184">
        <v>45307</v>
      </c>
      <c r="D1188" s="184">
        <v>45338</v>
      </c>
      <c r="E1188" s="184">
        <v>45366</v>
      </c>
      <c r="F1188" s="184">
        <v>45397</v>
      </c>
      <c r="G1188" s="184">
        <v>45427</v>
      </c>
      <c r="H1188" s="184">
        <v>45458</v>
      </c>
      <c r="I1188" s="184">
        <v>45488</v>
      </c>
      <c r="J1188" s="184">
        <v>45519</v>
      </c>
      <c r="K1188" s="184">
        <v>45550</v>
      </c>
      <c r="L1188" s="184">
        <v>45580</v>
      </c>
      <c r="M1188" s="184">
        <v>45611</v>
      </c>
      <c r="N1188" s="184">
        <v>45641</v>
      </c>
      <c r="O1188" s="184">
        <f t="shared" ref="O1188:Z1188" si="600">+O2</f>
        <v>45673</v>
      </c>
      <c r="P1188" s="184">
        <f t="shared" si="600"/>
        <v>45704</v>
      </c>
      <c r="Q1188" s="184">
        <f t="shared" si="600"/>
        <v>45732</v>
      </c>
      <c r="R1188" s="184">
        <f t="shared" si="600"/>
        <v>45763</v>
      </c>
      <c r="S1188" s="184">
        <f t="shared" si="600"/>
        <v>45793</v>
      </c>
      <c r="T1188" s="184">
        <f t="shared" si="600"/>
        <v>45824</v>
      </c>
      <c r="U1188" s="184">
        <f t="shared" si="600"/>
        <v>45854</v>
      </c>
      <c r="V1188" s="184">
        <f t="shared" si="600"/>
        <v>45885</v>
      </c>
      <c r="W1188" s="184">
        <f t="shared" si="600"/>
        <v>45916</v>
      </c>
      <c r="X1188" s="184">
        <f t="shared" si="600"/>
        <v>45946</v>
      </c>
      <c r="Y1188" s="184">
        <f t="shared" si="600"/>
        <v>45977</v>
      </c>
      <c r="Z1188" s="184">
        <f t="shared" si="600"/>
        <v>46007</v>
      </c>
    </row>
    <row r="1189" spans="1:26" x14ac:dyDescent="0.2">
      <c r="A1189" s="14" t="s">
        <v>240</v>
      </c>
      <c r="C1189" s="115"/>
      <c r="D1189" s="115"/>
      <c r="E1189" s="115"/>
      <c r="F1189" s="115"/>
      <c r="G1189" s="115"/>
      <c r="H1189" s="115"/>
      <c r="I1189" s="115"/>
      <c r="J1189" s="115"/>
      <c r="K1189" s="115"/>
      <c r="L1189" s="115"/>
      <c r="M1189" s="115"/>
      <c r="N1189" s="115"/>
      <c r="O1189" s="115"/>
      <c r="P1189" s="115"/>
      <c r="Q1189" s="115"/>
      <c r="R1189" s="115"/>
      <c r="S1189" s="115"/>
      <c r="T1189" s="115"/>
      <c r="U1189" s="115"/>
      <c r="V1189" s="115"/>
      <c r="W1189" s="115"/>
      <c r="X1189" s="115"/>
      <c r="Y1189" s="115"/>
      <c r="Z1189" s="115"/>
    </row>
    <row r="1190" spans="1:26" x14ac:dyDescent="0.2">
      <c r="A1190" s="109" t="str">
        <f t="shared" ref="A1190:A1199" si="601">+A1144</f>
        <v>Constellation Sale - 2011-10-07 - $</v>
      </c>
      <c r="C1190" s="115"/>
      <c r="D1190" s="115"/>
      <c r="E1190" s="115"/>
      <c r="F1190" s="115"/>
      <c r="G1190" s="115"/>
      <c r="H1190" s="115"/>
      <c r="I1190" s="115"/>
      <c r="J1190" s="115"/>
      <c r="K1190" s="115"/>
      <c r="L1190" s="115"/>
      <c r="M1190" s="115"/>
      <c r="N1190" s="115"/>
      <c r="O1190" s="115"/>
      <c r="P1190" s="115"/>
      <c r="Q1190" s="115"/>
      <c r="R1190" s="115"/>
      <c r="S1190" s="115"/>
      <c r="T1190" s="115"/>
      <c r="U1190" s="115"/>
      <c r="V1190" s="115"/>
      <c r="W1190" s="115"/>
      <c r="X1190" s="115"/>
      <c r="Y1190" s="115"/>
      <c r="Z1190" s="115"/>
    </row>
    <row r="1191" spans="1:26" x14ac:dyDescent="0.2">
      <c r="A1191" s="109" t="str">
        <f t="shared" si="601"/>
        <v>EDF Trading KCW First 10,000 RECs - $/MWh</v>
      </c>
      <c r="C1191" s="115"/>
      <c r="D1191" s="115"/>
      <c r="E1191" s="115"/>
      <c r="F1191" s="115"/>
      <c r="G1191" s="115"/>
      <c r="H1191" s="115"/>
      <c r="I1191" s="115"/>
      <c r="J1191" s="115"/>
      <c r="K1191" s="115"/>
      <c r="L1191" s="115"/>
      <c r="M1191" s="115"/>
      <c r="N1191" s="115"/>
      <c r="O1191" s="115"/>
      <c r="P1191" s="115"/>
      <c r="Q1191" s="115"/>
      <c r="R1191" s="115"/>
      <c r="S1191" s="115"/>
      <c r="T1191" s="115"/>
      <c r="U1191" s="115"/>
      <c r="V1191" s="115"/>
      <c r="W1191" s="115"/>
      <c r="X1191" s="115"/>
      <c r="Y1191" s="115"/>
      <c r="Z1191" s="115"/>
    </row>
    <row r="1192" spans="1:26" x14ac:dyDescent="0.2">
      <c r="A1192" s="109" t="str">
        <f t="shared" si="601"/>
        <v>EDF Trading KCW RECs 10,001 - 20,000</v>
      </c>
      <c r="C1192" s="115"/>
      <c r="D1192" s="115"/>
      <c r="E1192" s="115"/>
      <c r="F1192" s="115"/>
      <c r="G1192" s="115"/>
      <c r="H1192" s="115"/>
      <c r="I1192" s="115"/>
      <c r="J1192" s="115"/>
      <c r="K1192" s="115"/>
      <c r="L1192" s="115"/>
      <c r="M1192" s="115"/>
      <c r="N1192" s="115"/>
      <c r="O1192" s="115"/>
      <c r="P1192" s="115"/>
      <c r="Q1192" s="115"/>
      <c r="R1192" s="115"/>
      <c r="S1192" s="115"/>
      <c r="T1192" s="115"/>
      <c r="U1192" s="115"/>
      <c r="V1192" s="115"/>
      <c r="W1192" s="115"/>
      <c r="X1192" s="115"/>
      <c r="Y1192" s="115"/>
      <c r="Z1192" s="115"/>
    </row>
    <row r="1193" spans="1:26" x14ac:dyDescent="0.2">
      <c r="A1193" s="109" t="str">
        <f t="shared" si="601"/>
        <v>EDF Trading 10,000 Firm RECs - 2012-10-22</v>
      </c>
      <c r="C1193" s="115"/>
      <c r="D1193" s="115"/>
      <c r="E1193" s="115"/>
      <c r="F1193" s="115"/>
      <c r="G1193" s="115"/>
      <c r="H1193" s="115"/>
      <c r="I1193" s="115"/>
      <c r="J1193" s="115"/>
      <c r="K1193" s="115"/>
      <c r="L1193" s="115"/>
      <c r="M1193" s="115"/>
      <c r="N1193" s="115"/>
      <c r="O1193" s="115"/>
      <c r="P1193" s="115"/>
      <c r="Q1193" s="115"/>
      <c r="R1193" s="115"/>
      <c r="S1193" s="115"/>
      <c r="T1193" s="115"/>
      <c r="U1193" s="115"/>
      <c r="V1193" s="115"/>
      <c r="W1193" s="115"/>
      <c r="X1193" s="115"/>
      <c r="Y1193" s="115"/>
      <c r="Z1193" s="115"/>
    </row>
    <row r="1194" spans="1:26" x14ac:dyDescent="0.2">
      <c r="A1194" s="109" t="str">
        <f t="shared" si="601"/>
        <v>EDF Trading 5,000 Firm RECs - 2012-12-12</v>
      </c>
      <c r="C1194" s="115"/>
      <c r="D1194" s="115"/>
      <c r="E1194" s="115"/>
      <c r="F1194" s="115"/>
      <c r="G1194" s="115"/>
      <c r="H1194" s="115"/>
      <c r="I1194" s="115"/>
      <c r="J1194" s="115"/>
      <c r="K1194" s="115"/>
      <c r="L1194" s="115"/>
      <c r="M1194" s="115"/>
      <c r="N1194" s="115"/>
      <c r="O1194" s="115"/>
      <c r="P1194" s="115"/>
      <c r="Q1194" s="115"/>
      <c r="R1194" s="115"/>
      <c r="S1194" s="115"/>
      <c r="T1194" s="115"/>
      <c r="U1194" s="115"/>
      <c r="V1194" s="115"/>
      <c r="W1194" s="115"/>
      <c r="X1194" s="115"/>
      <c r="Y1194" s="115"/>
      <c r="Z1194" s="115"/>
    </row>
    <row r="1195" spans="1:26" x14ac:dyDescent="0.2">
      <c r="A1195" s="109" t="str">
        <f t="shared" si="601"/>
        <v>NRG - $39.25 2024 05 07</v>
      </c>
      <c r="C1195" s="115"/>
      <c r="D1195" s="115"/>
      <c r="E1195" s="115"/>
      <c r="F1195" s="115"/>
      <c r="G1195" s="115"/>
      <c r="H1195" s="115"/>
      <c r="I1195" s="115"/>
      <c r="J1195" s="115"/>
      <c r="K1195" s="115"/>
      <c r="L1195" s="115"/>
      <c r="M1195" s="115"/>
      <c r="N1195" s="115"/>
      <c r="O1195" s="115"/>
      <c r="P1195" s="115"/>
      <c r="Q1195" s="115"/>
      <c r="R1195" s="115"/>
      <c r="S1195" s="115"/>
      <c r="T1195" s="115"/>
      <c r="U1195" s="115"/>
      <c r="V1195" s="115"/>
      <c r="W1195" s="115"/>
      <c r="X1195" s="115"/>
      <c r="Y1195" s="115"/>
      <c r="Z1195" s="115"/>
    </row>
    <row r="1196" spans="1:26" x14ac:dyDescent="0.2">
      <c r="A1196" s="109" t="str">
        <f t="shared" si="601"/>
        <v>EDF Trading 10,000 Firm RECS - 2015-08-26</v>
      </c>
      <c r="C1196" s="115"/>
      <c r="D1196" s="115"/>
      <c r="E1196" s="115"/>
      <c r="F1196" s="115"/>
      <c r="G1196" s="115"/>
      <c r="H1196" s="115"/>
      <c r="I1196" s="115"/>
      <c r="J1196" s="115"/>
      <c r="K1196" s="115"/>
      <c r="L1196" s="115"/>
      <c r="M1196" s="115"/>
      <c r="N1196" s="115"/>
      <c r="O1196" s="115"/>
      <c r="P1196" s="115"/>
      <c r="Q1196" s="115"/>
      <c r="R1196" s="115"/>
      <c r="S1196" s="115"/>
      <c r="T1196" s="115"/>
      <c r="U1196" s="115"/>
      <c r="V1196" s="115"/>
      <c r="W1196" s="115"/>
      <c r="X1196" s="115"/>
      <c r="Y1196" s="115"/>
      <c r="Z1196" s="115"/>
    </row>
    <row r="1197" spans="1:26" x14ac:dyDescent="0.2">
      <c r="A1197" s="109" t="str">
        <f t="shared" si="601"/>
        <v>EDF Trading 10,000 Firm RECs - 2013-03-25</v>
      </c>
      <c r="C1197" s="115"/>
      <c r="D1197" s="115"/>
      <c r="E1197" s="115"/>
      <c r="F1197" s="115"/>
      <c r="G1197" s="115"/>
      <c r="H1197" s="115"/>
      <c r="I1197" s="115"/>
      <c r="J1197" s="115"/>
      <c r="K1197" s="115"/>
      <c r="L1197" s="115"/>
      <c r="M1197" s="115"/>
      <c r="N1197" s="115"/>
      <c r="O1197" s="115"/>
      <c r="P1197" s="115"/>
      <c r="Q1197" s="115"/>
      <c r="R1197" s="115"/>
      <c r="S1197" s="115"/>
      <c r="T1197" s="115"/>
      <c r="U1197" s="115"/>
      <c r="V1197" s="115"/>
      <c r="W1197" s="115"/>
      <c r="X1197" s="115"/>
      <c r="Y1197" s="115"/>
      <c r="Z1197" s="115"/>
    </row>
    <row r="1198" spans="1:26" x14ac:dyDescent="0.2">
      <c r="A1198" s="109" t="str">
        <f t="shared" si="601"/>
        <v>EDF Trading 10,000 Firm 2015 RECs  - 2014-04-07</v>
      </c>
      <c r="C1198" s="115"/>
      <c r="D1198" s="115"/>
      <c r="E1198" s="115"/>
      <c r="F1198" s="115"/>
      <c r="G1198" s="115"/>
      <c r="H1198" s="115"/>
      <c r="I1198" s="115"/>
      <c r="J1198" s="115"/>
      <c r="K1198" s="115"/>
      <c r="L1198" s="115"/>
      <c r="M1198" s="115"/>
      <c r="N1198" s="115"/>
      <c r="O1198" s="115"/>
      <c r="P1198" s="115"/>
      <c r="Q1198" s="115"/>
      <c r="R1198" s="115"/>
      <c r="S1198" s="115"/>
      <c r="T1198" s="115"/>
      <c r="U1198" s="115"/>
      <c r="V1198" s="115"/>
      <c r="W1198" s="115"/>
      <c r="X1198" s="115"/>
      <c r="Y1198" s="115"/>
      <c r="Z1198" s="115"/>
    </row>
    <row r="1199" spans="1:26" x14ac:dyDescent="0.2">
      <c r="A1199" s="109" t="str">
        <f t="shared" si="601"/>
        <v>EDF Trading 5,000 Firm RECs - 2014-08-07</v>
      </c>
      <c r="C1199" s="115"/>
      <c r="D1199" s="115"/>
      <c r="E1199" s="115"/>
      <c r="F1199" s="115"/>
      <c r="G1199" s="115"/>
      <c r="H1199" s="115"/>
      <c r="I1199" s="115"/>
      <c r="J1199" s="115"/>
      <c r="K1199" s="115"/>
      <c r="L1199" s="115"/>
      <c r="M1199" s="115"/>
      <c r="N1199" s="115"/>
      <c r="O1199" s="115"/>
      <c r="P1199" s="115"/>
      <c r="Q1199" s="115"/>
      <c r="R1199" s="115"/>
      <c r="S1199" s="115"/>
      <c r="T1199" s="115"/>
      <c r="U1199" s="115"/>
      <c r="V1199" s="115"/>
      <c r="W1199" s="115"/>
      <c r="X1199" s="115"/>
      <c r="Y1199" s="115"/>
      <c r="Z1199" s="115"/>
    </row>
    <row r="1200" spans="1:26" x14ac:dyDescent="0.2">
      <c r="A1200" s="109" t="str">
        <f>+A1156</f>
        <v>Just Energy - 5000 Firme 2014 RECs - 2014-11-14</v>
      </c>
      <c r="C1200" s="115"/>
      <c r="D1200" s="115"/>
      <c r="E1200" s="115"/>
      <c r="F1200" s="115"/>
      <c r="G1200" s="115"/>
      <c r="H1200" s="115"/>
      <c r="I1200" s="115"/>
      <c r="J1200" s="115"/>
      <c r="K1200" s="115"/>
      <c r="L1200" s="115"/>
      <c r="M1200" s="115"/>
      <c r="N1200" s="115"/>
      <c r="O1200" s="115"/>
      <c r="P1200" s="115"/>
      <c r="Q1200" s="115"/>
      <c r="R1200" s="115"/>
      <c r="S1200" s="115"/>
      <c r="T1200" s="115"/>
      <c r="U1200" s="115"/>
      <c r="V1200" s="115"/>
      <c r="W1200" s="115"/>
      <c r="X1200" s="115"/>
      <c r="Y1200" s="115"/>
      <c r="Z1200" s="115"/>
    </row>
    <row r="1201" spans="1:26" x14ac:dyDescent="0.2">
      <c r="A1201" s="109" t="str">
        <f>+A1157</f>
        <v>Direct Energy - 2015-04-25</v>
      </c>
      <c r="C1201" s="115"/>
      <c r="D1201" s="115"/>
      <c r="E1201" s="115"/>
      <c r="F1201" s="115"/>
      <c r="G1201" s="115"/>
      <c r="H1201" s="115"/>
      <c r="I1201" s="115"/>
      <c r="J1201" s="115"/>
      <c r="K1201" s="115"/>
      <c r="L1201" s="115"/>
      <c r="M1201" s="115"/>
      <c r="N1201" s="115"/>
      <c r="O1201" s="115"/>
      <c r="P1201" s="115"/>
      <c r="Q1201" s="115"/>
      <c r="R1201" s="115"/>
      <c r="S1201" s="115"/>
      <c r="T1201" s="115"/>
      <c r="U1201" s="115"/>
      <c r="V1201" s="115"/>
      <c r="W1201" s="115"/>
      <c r="X1201" s="115"/>
      <c r="Y1201" s="115"/>
      <c r="Z1201" s="115"/>
    </row>
    <row r="1202" spans="1:26" x14ac:dyDescent="0.2">
      <c r="A1202" s="109" t="str">
        <f>+A1158</f>
        <v>Direct Energy - 2015-12-09</v>
      </c>
      <c r="C1202" s="115"/>
      <c r="D1202" s="115"/>
      <c r="E1202" s="115"/>
      <c r="F1202" s="115"/>
      <c r="G1202" s="115"/>
      <c r="H1202" s="115"/>
      <c r="I1202" s="115"/>
      <c r="J1202" s="115"/>
      <c r="K1202" s="115"/>
      <c r="L1202" s="115"/>
      <c r="M1202" s="115"/>
      <c r="N1202" s="115"/>
      <c r="O1202" s="115"/>
      <c r="P1202" s="115"/>
      <c r="Q1202" s="115"/>
      <c r="R1202" s="115"/>
      <c r="S1202" s="115"/>
      <c r="T1202" s="115"/>
      <c r="U1202" s="115"/>
      <c r="V1202" s="115"/>
      <c r="W1202" s="115"/>
      <c r="X1202" s="115"/>
      <c r="Y1202" s="115"/>
      <c r="Z1202" s="115"/>
    </row>
    <row r="1203" spans="1:26" x14ac:dyDescent="0.2">
      <c r="A1203" s="109" t="str">
        <f>+A1159</f>
        <v>Direct Energy - 2015-12-09</v>
      </c>
      <c r="C1203" s="115"/>
      <c r="D1203" s="115"/>
      <c r="E1203" s="115"/>
      <c r="F1203" s="115"/>
      <c r="G1203" s="115"/>
      <c r="H1203" s="115"/>
      <c r="I1203" s="115"/>
      <c r="J1203" s="115"/>
      <c r="K1203" s="115"/>
      <c r="L1203" s="115"/>
      <c r="M1203" s="115"/>
      <c r="N1203" s="115"/>
      <c r="O1203" s="115"/>
      <c r="P1203" s="115"/>
      <c r="Q1203" s="115"/>
      <c r="R1203" s="115"/>
      <c r="S1203" s="115"/>
      <c r="T1203" s="115"/>
      <c r="U1203" s="115"/>
      <c r="V1203" s="115"/>
      <c r="W1203" s="115"/>
      <c r="X1203" s="115"/>
      <c r="Y1203" s="115"/>
      <c r="Z1203" s="115"/>
    </row>
    <row r="1204" spans="1:26" x14ac:dyDescent="0.2">
      <c r="A1204" s="109" t="str">
        <f>+A1162</f>
        <v>Vitol - 2015-04-24</v>
      </c>
      <c r="C1204" s="115"/>
      <c r="D1204" s="115"/>
      <c r="E1204" s="115"/>
      <c r="F1204" s="115"/>
      <c r="G1204" s="115"/>
      <c r="H1204" s="115"/>
      <c r="I1204" s="115"/>
      <c r="J1204" s="115"/>
      <c r="K1204" s="115"/>
      <c r="L1204" s="115"/>
      <c r="M1204" s="115"/>
      <c r="N1204" s="115"/>
      <c r="O1204" s="115"/>
      <c r="P1204" s="115"/>
      <c r="Q1204" s="115"/>
      <c r="R1204" s="115"/>
      <c r="S1204" s="115"/>
      <c r="T1204" s="115"/>
      <c r="U1204" s="115"/>
      <c r="V1204" s="115"/>
      <c r="W1204" s="115"/>
      <c r="X1204" s="115"/>
      <c r="Y1204" s="115"/>
      <c r="Z1204" s="115"/>
    </row>
    <row r="1205" spans="1:26" x14ac:dyDescent="0.2">
      <c r="A1205" s="109" t="str">
        <f>+A1163</f>
        <v>Vitol - 2022-12-08</v>
      </c>
      <c r="C1205" s="115"/>
      <c r="D1205" s="115"/>
      <c r="E1205" s="115"/>
      <c r="F1205" s="115"/>
      <c r="G1205" s="115"/>
      <c r="H1205" s="115"/>
      <c r="I1205" s="115"/>
      <c r="J1205" s="115"/>
      <c r="K1205" s="115"/>
      <c r="L1205" s="115"/>
      <c r="M1205" s="115"/>
      <c r="N1205" s="115"/>
      <c r="O1205" s="115"/>
      <c r="P1205" s="115"/>
      <c r="Q1205" s="115"/>
      <c r="R1205" s="115"/>
      <c r="S1205" s="115"/>
      <c r="T1205" s="115"/>
      <c r="U1205" s="115"/>
      <c r="V1205" s="115"/>
      <c r="W1205" s="115"/>
      <c r="X1205" s="115"/>
      <c r="Y1205" s="115"/>
      <c r="Z1205" s="115"/>
    </row>
    <row r="1206" spans="1:26" x14ac:dyDescent="0.2">
      <c r="A1206" s="109" t="str">
        <f>+A1166</f>
        <v>Energy America Sale - 2014-02-13</v>
      </c>
      <c r="C1206" s="115"/>
      <c r="D1206" s="115"/>
      <c r="E1206" s="115"/>
      <c r="F1206" s="115"/>
      <c r="G1206" s="115"/>
      <c r="H1206" s="115"/>
      <c r="I1206" s="115"/>
      <c r="J1206" s="115"/>
      <c r="K1206" s="115"/>
      <c r="L1206" s="115"/>
      <c r="M1206" s="115"/>
      <c r="N1206" s="115"/>
      <c r="O1206" s="115"/>
      <c r="P1206" s="115"/>
      <c r="Q1206" s="115"/>
      <c r="R1206" s="115"/>
      <c r="S1206" s="115"/>
      <c r="T1206" s="115"/>
      <c r="U1206" s="115"/>
      <c r="V1206" s="115"/>
      <c r="W1206" s="115"/>
      <c r="X1206" s="115"/>
      <c r="Y1206" s="115"/>
      <c r="Z1206" s="115"/>
    </row>
    <row r="1207" spans="1:26" x14ac:dyDescent="0.2">
      <c r="A1207" s="109" t="str">
        <f>+A1167</f>
        <v>Energy America Sale - 2012-08-23</v>
      </c>
      <c r="C1207" s="115"/>
      <c r="D1207" s="115"/>
      <c r="E1207" s="115"/>
      <c r="F1207" s="115"/>
      <c r="G1207" s="115"/>
      <c r="H1207" s="115"/>
      <c r="I1207" s="115"/>
      <c r="J1207" s="115"/>
      <c r="K1207" s="115"/>
      <c r="L1207" s="115"/>
      <c r="M1207" s="115"/>
      <c r="N1207" s="115"/>
      <c r="O1207" s="115"/>
      <c r="P1207" s="115"/>
      <c r="Q1207" s="115"/>
      <c r="R1207" s="115"/>
      <c r="S1207" s="115"/>
      <c r="T1207" s="115"/>
      <c r="U1207" s="115"/>
      <c r="V1207" s="115"/>
      <c r="W1207" s="115"/>
      <c r="X1207" s="115"/>
      <c r="Y1207" s="115"/>
      <c r="Z1207" s="115"/>
    </row>
    <row r="1208" spans="1:26" x14ac:dyDescent="0.2">
      <c r="A1208" s="109" t="str">
        <f>+A1168</f>
        <v>Direct Energy - 2016-04-13</v>
      </c>
      <c r="C1208" s="115"/>
      <c r="D1208" s="115"/>
      <c r="E1208" s="115"/>
      <c r="F1208" s="115"/>
      <c r="G1208" s="115"/>
      <c r="H1208" s="115"/>
      <c r="I1208" s="115"/>
      <c r="J1208" s="115"/>
      <c r="K1208" s="115"/>
      <c r="L1208" s="115"/>
      <c r="M1208" s="115"/>
      <c r="N1208" s="115"/>
      <c r="O1208" s="115"/>
      <c r="P1208" s="115"/>
      <c r="Q1208" s="115"/>
      <c r="R1208" s="115"/>
      <c r="S1208" s="115"/>
      <c r="T1208" s="115"/>
      <c r="U1208" s="115"/>
      <c r="V1208" s="115"/>
      <c r="W1208" s="115"/>
      <c r="X1208" s="115"/>
      <c r="Y1208" s="115"/>
      <c r="Z1208" s="115"/>
    </row>
    <row r="1209" spans="1:26" x14ac:dyDescent="0.2">
      <c r="A1209" s="109" t="str">
        <f>+A1169</f>
        <v>Direct Energy - 2016-05-26</v>
      </c>
      <c r="C1209" s="115"/>
      <c r="D1209" s="115"/>
      <c r="E1209" s="115"/>
      <c r="F1209" s="115"/>
      <c r="G1209" s="115"/>
      <c r="H1209" s="115"/>
      <c r="I1209" s="115"/>
      <c r="J1209" s="115"/>
      <c r="K1209" s="115"/>
      <c r="L1209" s="115"/>
      <c r="M1209" s="115"/>
      <c r="N1209" s="115"/>
      <c r="O1209" s="115"/>
      <c r="P1209" s="115"/>
      <c r="Q1209" s="115"/>
      <c r="R1209" s="115"/>
      <c r="S1209" s="115"/>
      <c r="T1209" s="115"/>
      <c r="U1209" s="115"/>
      <c r="V1209" s="115"/>
      <c r="W1209" s="115"/>
      <c r="X1209" s="115"/>
      <c r="Y1209" s="115"/>
      <c r="Z1209" s="115"/>
    </row>
    <row r="1210" spans="1:26" x14ac:dyDescent="0.2">
      <c r="A1210" s="109" t="str">
        <f>+A1173</f>
        <v>Constellation - 6/8/2023</v>
      </c>
      <c r="C1210" s="115"/>
      <c r="D1210" s="115"/>
      <c r="E1210" s="115"/>
      <c r="F1210" s="115"/>
      <c r="G1210" s="115"/>
      <c r="H1210" s="115"/>
      <c r="I1210" s="115"/>
      <c r="J1210" s="115"/>
      <c r="K1210" s="115"/>
      <c r="L1210" s="115"/>
      <c r="M1210" s="115"/>
      <c r="N1210" s="115"/>
      <c r="O1210" s="115"/>
      <c r="P1210" s="115"/>
      <c r="Q1210" s="115"/>
      <c r="R1210" s="115"/>
      <c r="S1210" s="115"/>
      <c r="T1210" s="115"/>
      <c r="U1210" s="115"/>
      <c r="V1210" s="115"/>
      <c r="W1210" s="115"/>
      <c r="X1210" s="115"/>
      <c r="Y1210" s="115"/>
      <c r="Z1210" s="115"/>
    </row>
    <row r="1211" spans="1:26" x14ac:dyDescent="0.2">
      <c r="A1211" s="109" t="str">
        <f>+A1174</f>
        <v>Exelon - 2018-05-16 - CT REC Sale</v>
      </c>
      <c r="C1211" s="115"/>
      <c r="D1211" s="115"/>
      <c r="E1211" s="115"/>
      <c r="F1211" s="115"/>
      <c r="G1211" s="115"/>
      <c r="H1211" s="115"/>
      <c r="I1211" s="115"/>
      <c r="J1211" s="115"/>
      <c r="K1211" s="115"/>
      <c r="L1211" s="115"/>
      <c r="M1211" s="115"/>
      <c r="N1211" s="115"/>
      <c r="O1211" s="115"/>
      <c r="P1211" s="115"/>
      <c r="Q1211" s="115"/>
      <c r="R1211" s="115"/>
      <c r="S1211" s="115"/>
      <c r="T1211" s="115"/>
      <c r="U1211" s="115"/>
      <c r="V1211" s="115"/>
      <c r="W1211" s="115"/>
      <c r="X1211" s="115"/>
      <c r="Y1211" s="115"/>
      <c r="Z1211" s="115"/>
    </row>
    <row r="1212" spans="1:26" x14ac:dyDescent="0.2">
      <c r="A1212" s="109" t="str">
        <f>+A1167</f>
        <v>Energy America Sale - 2012-08-23</v>
      </c>
      <c r="C1212" s="115"/>
      <c r="D1212" s="115"/>
      <c r="E1212" s="115"/>
      <c r="F1212" s="115"/>
      <c r="G1212" s="115"/>
      <c r="H1212" s="115"/>
      <c r="I1212" s="115"/>
      <c r="J1212" s="115"/>
      <c r="K1212" s="115"/>
      <c r="L1212" s="115"/>
      <c r="M1212" s="115"/>
      <c r="N1212" s="115"/>
      <c r="O1212" s="115"/>
      <c r="P1212" s="115"/>
      <c r="Q1212" s="115"/>
      <c r="R1212" s="115"/>
      <c r="S1212" s="115"/>
      <c r="T1212" s="115"/>
      <c r="U1212" s="115"/>
      <c r="V1212" s="115"/>
      <c r="W1212" s="115"/>
      <c r="X1212" s="115"/>
      <c r="Y1212" s="115"/>
      <c r="Z1212" s="115"/>
    </row>
    <row r="1213" spans="1:26" x14ac:dyDescent="0.2">
      <c r="A1213" s="109" t="str">
        <f>+A1176</f>
        <v>Proxy Sale of MA RECs - Monthly</v>
      </c>
      <c r="C1213" s="115"/>
      <c r="D1213" s="115"/>
      <c r="E1213" s="115"/>
      <c r="F1213" s="115"/>
      <c r="G1213" s="115"/>
      <c r="H1213" s="115"/>
      <c r="I1213" s="115"/>
      <c r="J1213" s="115"/>
      <c r="K1213" s="115"/>
      <c r="L1213" s="115"/>
      <c r="M1213" s="115"/>
      <c r="N1213" s="115"/>
      <c r="O1213" s="115"/>
      <c r="P1213" s="115"/>
      <c r="Q1213" s="115"/>
      <c r="R1213" s="115"/>
      <c r="S1213" s="115"/>
      <c r="T1213" s="115"/>
      <c r="U1213" s="115"/>
      <c r="V1213" s="115"/>
      <c r="W1213" s="115"/>
      <c r="X1213" s="115"/>
      <c r="Y1213" s="115"/>
      <c r="Z1213" s="115"/>
    </row>
    <row r="1214" spans="1:26" x14ac:dyDescent="0.2">
      <c r="A1214" s="109" t="str">
        <f>+A1177</f>
        <v>Proxy Sale of CT 1 RECs - Monthly</v>
      </c>
      <c r="C1214" s="115"/>
      <c r="D1214" s="115"/>
      <c r="E1214" s="115"/>
      <c r="F1214" s="115"/>
      <c r="G1214" s="115"/>
      <c r="H1214" s="115"/>
      <c r="I1214" s="115"/>
      <c r="J1214" s="115"/>
      <c r="K1214" s="115"/>
      <c r="L1214" s="115"/>
      <c r="M1214" s="115"/>
      <c r="N1214" s="115"/>
      <c r="O1214" s="115"/>
      <c r="P1214" s="115"/>
      <c r="Q1214" s="115"/>
      <c r="R1214" s="115"/>
      <c r="S1214" s="115"/>
      <c r="T1214" s="115"/>
      <c r="U1214" s="115"/>
      <c r="V1214" s="115"/>
      <c r="W1214" s="115"/>
      <c r="X1214" s="115"/>
      <c r="Y1214" s="115"/>
      <c r="Z1214" s="115"/>
    </row>
    <row r="1215" spans="1:26" x14ac:dyDescent="0.2">
      <c r="A1215" s="54" t="s">
        <v>325</v>
      </c>
      <c r="C1215" s="112"/>
      <c r="D1215" s="112"/>
      <c r="E1215" s="112"/>
      <c r="F1215" s="112"/>
      <c r="G1215" s="112"/>
      <c r="H1215" s="112"/>
      <c r="I1215" s="112"/>
      <c r="J1215" s="112"/>
      <c r="K1215" s="112"/>
      <c r="L1215" s="112"/>
      <c r="M1215" s="112"/>
      <c r="N1215" s="112"/>
      <c r="O1215" s="112"/>
      <c r="P1215" s="112"/>
      <c r="Q1215" s="112"/>
      <c r="R1215" s="112"/>
      <c r="S1215" s="112"/>
      <c r="T1215" s="112"/>
      <c r="U1215" s="112"/>
      <c r="V1215" s="112"/>
      <c r="W1215" s="112"/>
      <c r="X1215" s="112"/>
      <c r="Y1215" s="112"/>
      <c r="Z1215" s="112"/>
    </row>
    <row r="1216" spans="1:26" x14ac:dyDescent="0.2">
      <c r="A1216" s="54"/>
      <c r="C1216" s="115"/>
      <c r="D1216" s="115"/>
      <c r="E1216" s="115"/>
      <c r="F1216" s="115"/>
      <c r="G1216" s="115"/>
      <c r="H1216" s="115"/>
      <c r="I1216" s="115"/>
      <c r="J1216" s="115"/>
      <c r="K1216" s="115"/>
      <c r="L1216" s="115"/>
      <c r="M1216" s="115"/>
      <c r="N1216" s="115"/>
      <c r="O1216" s="115"/>
      <c r="P1216" s="115"/>
      <c r="Q1216" s="115"/>
      <c r="R1216" s="115"/>
      <c r="S1216" s="115"/>
      <c r="T1216" s="115"/>
      <c r="U1216" s="115"/>
      <c r="V1216" s="115"/>
      <c r="W1216" s="115"/>
      <c r="X1216" s="115"/>
      <c r="Y1216" s="115"/>
      <c r="Z1216" s="115"/>
    </row>
    <row r="1217" spans="1:26" x14ac:dyDescent="0.2">
      <c r="A1217" s="54">
        <f>+A1185</f>
        <v>0</v>
      </c>
      <c r="C1217" s="60">
        <v>0</v>
      </c>
      <c r="D1217" s="60">
        <v>0</v>
      </c>
      <c r="E1217" s="60">
        <v>0</v>
      </c>
      <c r="F1217" s="60">
        <v>0</v>
      </c>
      <c r="G1217" s="60">
        <v>0</v>
      </c>
      <c r="H1217" s="60">
        <v>0</v>
      </c>
      <c r="I1217" s="60">
        <v>0</v>
      </c>
      <c r="J1217" s="60">
        <v>0</v>
      </c>
      <c r="K1217" s="60">
        <v>0</v>
      </c>
      <c r="L1217" s="60">
        <v>0</v>
      </c>
      <c r="M1217" s="60">
        <v>0</v>
      </c>
      <c r="N1217" s="60">
        <v>0</v>
      </c>
      <c r="O1217" s="60">
        <f t="shared" ref="O1217:Z1217" si="602">+SUM(O1189:O1216)</f>
        <v>0</v>
      </c>
      <c r="P1217" s="60">
        <f t="shared" si="602"/>
        <v>0</v>
      </c>
      <c r="Q1217" s="60">
        <f t="shared" si="602"/>
        <v>0</v>
      </c>
      <c r="R1217" s="60">
        <f t="shared" si="602"/>
        <v>0</v>
      </c>
      <c r="S1217" s="60">
        <f t="shared" si="602"/>
        <v>0</v>
      </c>
      <c r="T1217" s="60">
        <f t="shared" si="602"/>
        <v>0</v>
      </c>
      <c r="U1217" s="60">
        <f t="shared" si="602"/>
        <v>0</v>
      </c>
      <c r="V1217" s="60">
        <f t="shared" si="602"/>
        <v>0</v>
      </c>
      <c r="W1217" s="60">
        <f t="shared" si="602"/>
        <v>0</v>
      </c>
      <c r="X1217" s="60">
        <f t="shared" si="602"/>
        <v>0</v>
      </c>
      <c r="Y1217" s="60">
        <f t="shared" si="602"/>
        <v>0</v>
      </c>
      <c r="Z1217" s="60">
        <f t="shared" si="602"/>
        <v>0</v>
      </c>
    </row>
    <row r="1218" spans="1:26" x14ac:dyDescent="0.2">
      <c r="A1218" t="s">
        <v>8</v>
      </c>
    </row>
    <row r="1222" spans="1:26" x14ac:dyDescent="0.2">
      <c r="A1222" s="54" t="s">
        <v>529</v>
      </c>
    </row>
  </sheetData>
  <phoneticPr fontId="0" type="noConversion"/>
  <pageMargins left="0.75" right="0.75" top="1" bottom="1" header="0.5" footer="0.5"/>
  <pageSetup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50"/>
  <sheetViews>
    <sheetView topLeftCell="A3" workbookViewId="0">
      <pane xSplit="1" ySplit="2" topLeftCell="B5" activePane="bottomRight" state="frozen"/>
      <selection activeCell="A3" sqref="A3"/>
      <selection pane="topRight" activeCell="B3" sqref="B3"/>
      <selection pane="bottomLeft" activeCell="A5" sqref="A5"/>
      <selection pane="bottomRight" activeCell="I50" sqref="I50"/>
    </sheetView>
  </sheetViews>
  <sheetFormatPr defaultRowHeight="10.199999999999999" x14ac:dyDescent="0.2"/>
  <cols>
    <col min="1" max="1" width="22.140625" bestFit="1" customWidth="1"/>
  </cols>
  <sheetData>
    <row r="1" spans="1:25" x14ac:dyDescent="0.2">
      <c r="A1" t="s">
        <v>88</v>
      </c>
    </row>
    <row r="2" spans="1:25" x14ac:dyDescent="0.2">
      <c r="A2" t="s">
        <v>89</v>
      </c>
    </row>
    <row r="4" spans="1:25" x14ac:dyDescent="0.2">
      <c r="A4" t="s">
        <v>159</v>
      </c>
      <c r="B4" s="31">
        <f>'Detailed Assumps'!C2</f>
        <v>45307</v>
      </c>
      <c r="C4" s="31">
        <f>'Detailed Assumps'!D2</f>
        <v>45338</v>
      </c>
      <c r="D4" s="31">
        <f>'Detailed Assumps'!E2</f>
        <v>45366</v>
      </c>
      <c r="E4" s="31">
        <f>'Detailed Assumps'!F2</f>
        <v>45397</v>
      </c>
      <c r="F4" s="31">
        <f>'Detailed Assumps'!G2</f>
        <v>45427</v>
      </c>
      <c r="G4" s="31">
        <f>'Detailed Assumps'!H2</f>
        <v>45458</v>
      </c>
      <c r="H4" s="31">
        <f>'Detailed Assumps'!I2</f>
        <v>45488</v>
      </c>
      <c r="I4" s="31">
        <f>'Detailed Assumps'!J2</f>
        <v>45519</v>
      </c>
      <c r="J4" s="31">
        <f>'Detailed Assumps'!K2</f>
        <v>45550</v>
      </c>
      <c r="K4" s="31">
        <f>'Detailed Assumps'!L2</f>
        <v>45580</v>
      </c>
      <c r="L4" s="31">
        <f>'Detailed Assumps'!M2</f>
        <v>45611</v>
      </c>
      <c r="M4" s="31">
        <f>'Detailed Assumps'!N2</f>
        <v>45641</v>
      </c>
      <c r="N4" s="31">
        <f>'Detailed Assumps'!O2</f>
        <v>45673</v>
      </c>
      <c r="O4" s="31">
        <f>'Detailed Assumps'!P2</f>
        <v>45704</v>
      </c>
      <c r="P4" s="31">
        <f>'Detailed Assumps'!Q2</f>
        <v>45732</v>
      </c>
      <c r="Q4" s="31">
        <f>'Detailed Assumps'!R2</f>
        <v>45763</v>
      </c>
      <c r="R4" s="31">
        <f>'Detailed Assumps'!S2</f>
        <v>45793</v>
      </c>
      <c r="S4" s="31">
        <f>'Detailed Assumps'!T2</f>
        <v>45824</v>
      </c>
      <c r="T4" s="31">
        <f>'Detailed Assumps'!U2</f>
        <v>45854</v>
      </c>
      <c r="U4" s="31">
        <f>'Detailed Assumps'!V2</f>
        <v>45885</v>
      </c>
      <c r="V4" s="31">
        <f>'Detailed Assumps'!W2</f>
        <v>45916</v>
      </c>
      <c r="W4" s="31">
        <f>'Detailed Assumps'!X2</f>
        <v>45946</v>
      </c>
      <c r="X4" s="31">
        <f>'Detailed Assumps'!Y2</f>
        <v>45977</v>
      </c>
      <c r="Y4" s="31">
        <f>'Detailed Assumps'!Z2</f>
        <v>46007</v>
      </c>
    </row>
    <row r="5" spans="1:25" x14ac:dyDescent="0.2">
      <c r="A5" t="s">
        <v>122</v>
      </c>
      <c r="B5" s="43">
        <f>+IF('Detailed Assumps'!C724&gt;0,'Detailed Assumps'!C724,0)</f>
        <v>1004.1311854063532</v>
      </c>
      <c r="C5" s="43">
        <f>+IF('Detailed Assumps'!D724&gt;0,'Detailed Assumps'!D724,0)</f>
        <v>0</v>
      </c>
      <c r="D5" s="43">
        <f>+IF('Detailed Assumps'!E724&gt;0,'Detailed Assumps'!E724,0)</f>
        <v>623.3088892426</v>
      </c>
      <c r="E5" s="43">
        <f>+IF('Detailed Assumps'!F724&gt;0,'Detailed Assumps'!F724,0)</f>
        <v>0</v>
      </c>
      <c r="F5" s="43">
        <f>+IF('Detailed Assumps'!G724&gt;0,'Detailed Assumps'!G724,0)</f>
        <v>0</v>
      </c>
      <c r="G5" s="43">
        <f>+IF('Detailed Assumps'!H724&gt;0,'Detailed Assumps'!H724,0)</f>
        <v>2636.7071104401248</v>
      </c>
      <c r="H5" s="43">
        <f>+IF('Detailed Assumps'!I724&gt;0,'Detailed Assumps'!I724,0)</f>
        <v>0</v>
      </c>
      <c r="I5" s="43">
        <f>+IF('Detailed Assumps'!J724&gt;0,'Detailed Assumps'!J724,0)</f>
        <v>608.63388152778475</v>
      </c>
      <c r="J5" s="43">
        <f>+IF('Detailed Assumps'!K724&gt;0,'Detailed Assumps'!K724,0)</f>
        <v>0</v>
      </c>
      <c r="K5" s="43">
        <f>+IF('Detailed Assumps'!L724&gt;0,'Detailed Assumps'!L724,0)</f>
        <v>0</v>
      </c>
      <c r="L5" s="43">
        <f>+IF('Detailed Assumps'!M724&gt;0,'Detailed Assumps'!M724,0)</f>
        <v>0</v>
      </c>
      <c r="M5" s="43">
        <f>+IF('Detailed Assumps'!N724&gt;0,'Detailed Assumps'!N724,0)</f>
        <v>0</v>
      </c>
      <c r="N5" s="43">
        <f>+IF('Detailed Assumps'!O724&gt;0,'Detailed Assumps'!O724,0)</f>
        <v>645.15205491444601</v>
      </c>
      <c r="O5" s="43">
        <f>+IF('Detailed Assumps'!P724&gt;0,'Detailed Assumps'!P724,0)</f>
        <v>0</v>
      </c>
      <c r="P5" s="43">
        <f>+IF('Detailed Assumps'!Q724&gt;0,'Detailed Assumps'!Q724,0)</f>
        <v>825.28782637145969</v>
      </c>
      <c r="Q5" s="43">
        <f>+IF('Detailed Assumps'!R724&gt;0,'Detailed Assumps'!R724,0)</f>
        <v>0</v>
      </c>
      <c r="R5" s="43">
        <f>+IF('Detailed Assumps'!S724&gt;0,'Detailed Assumps'!S724,0)</f>
        <v>202.25463322955781</v>
      </c>
      <c r="S5" s="43">
        <f>+IF('Detailed Assumps'!T724&gt;0,'Detailed Assumps'!T724,0)</f>
        <v>13.081444579904241</v>
      </c>
      <c r="T5" s="43">
        <f>+IF('Detailed Assumps'!U724&gt;0,'Detailed Assumps'!U724,0)</f>
        <v>0</v>
      </c>
      <c r="U5" s="43">
        <f>+IF('Detailed Assumps'!V724&gt;0,'Detailed Assumps'!V724,0)</f>
        <v>967.55144839936952</v>
      </c>
      <c r="V5" s="43">
        <f>+IF('Detailed Assumps'!W724&gt;0,'Detailed Assumps'!W724,0)</f>
        <v>0</v>
      </c>
      <c r="W5" s="43">
        <f>+IF('Detailed Assumps'!X724&gt;0,'Detailed Assumps'!X724,0)</f>
        <v>1862.1505168029871</v>
      </c>
      <c r="X5" s="43">
        <f>+IF('Detailed Assumps'!Y724&gt;0,'Detailed Assumps'!Y724,0)</f>
        <v>4694.7496474412801</v>
      </c>
      <c r="Y5" s="43">
        <f>+IF('Detailed Assumps'!Z724&gt;0,'Detailed Assumps'!Z724,0)</f>
        <v>904.6350664929189</v>
      </c>
    </row>
    <row r="6" spans="1:25" x14ac:dyDescent="0.2">
      <c r="A6" t="s">
        <v>121</v>
      </c>
      <c r="B6" s="43">
        <f>+IF('Detailed Assumps'!C725&gt;0,'Detailed Assumps'!C725,0)</f>
        <v>0</v>
      </c>
      <c r="C6" s="43">
        <f>+IF('Detailed Assumps'!D725&gt;0,'Detailed Assumps'!D725,0)</f>
        <v>1177.8864861906079</v>
      </c>
      <c r="D6" s="43">
        <f>+IF('Detailed Assumps'!E725&gt;0,'Detailed Assumps'!E725,0)</f>
        <v>0</v>
      </c>
      <c r="E6" s="43">
        <f>+IF('Detailed Assumps'!F725&gt;0,'Detailed Assumps'!F725,0)</f>
        <v>0</v>
      </c>
      <c r="F6" s="43">
        <f>+IF('Detailed Assumps'!G725&gt;0,'Detailed Assumps'!G725,0)</f>
        <v>0</v>
      </c>
      <c r="G6" s="43">
        <f>+IF('Detailed Assumps'!H725&gt;0,'Detailed Assumps'!H725,0)</f>
        <v>0</v>
      </c>
      <c r="H6" s="43">
        <f>+IF('Detailed Assumps'!I725&gt;0,'Detailed Assumps'!I725,0)</f>
        <v>0</v>
      </c>
      <c r="I6" s="43">
        <f>+IF('Detailed Assumps'!J725&gt;0,'Detailed Assumps'!J725,0)</f>
        <v>0</v>
      </c>
      <c r="J6" s="43">
        <f>+IF('Detailed Assumps'!K725&gt;0,'Detailed Assumps'!K725,0)</f>
        <v>0</v>
      </c>
      <c r="K6" s="43">
        <f>+IF('Detailed Assumps'!L725&gt;0,'Detailed Assumps'!L725,0)</f>
        <v>0</v>
      </c>
      <c r="L6" s="43">
        <f>+IF('Detailed Assumps'!M725&gt;0,'Detailed Assumps'!M725,0)</f>
        <v>0</v>
      </c>
      <c r="M6" s="43">
        <f>+IF('Detailed Assumps'!N725&gt;0,'Detailed Assumps'!N725,0)</f>
        <v>0</v>
      </c>
      <c r="N6" s="43">
        <f>+IF('Detailed Assumps'!O725&gt;0,'Detailed Assumps'!O725,0)</f>
        <v>553.09409979949191</v>
      </c>
      <c r="O6" s="43">
        <f>+IF('Detailed Assumps'!P725&gt;0,'Detailed Assumps'!P725,0)</f>
        <v>5239.9927455446123</v>
      </c>
      <c r="P6" s="43">
        <f>+IF('Detailed Assumps'!Q725&gt;0,'Detailed Assumps'!Q725,0)</f>
        <v>0</v>
      </c>
      <c r="Q6" s="43">
        <f>+IF('Detailed Assumps'!R725&gt;0,'Detailed Assumps'!R725,0)</f>
        <v>0</v>
      </c>
      <c r="R6" s="43">
        <f>+IF('Detailed Assumps'!S725&gt;0,'Detailed Assumps'!S725,0)</f>
        <v>0</v>
      </c>
      <c r="S6" s="43">
        <f>+IF('Detailed Assumps'!T725&gt;0,'Detailed Assumps'!T725,0)</f>
        <v>0</v>
      </c>
      <c r="T6" s="43">
        <f>+IF('Detailed Assumps'!U725&gt;0,'Detailed Assumps'!U725,0)</f>
        <v>6024.1358365015067</v>
      </c>
      <c r="U6" s="43">
        <f>+IF('Detailed Assumps'!V725&gt;0,'Detailed Assumps'!V725,0)</f>
        <v>0</v>
      </c>
      <c r="V6" s="43">
        <f>+IF('Detailed Assumps'!W725&gt;0,'Detailed Assumps'!W725,0)</f>
        <v>5645.369936061762</v>
      </c>
      <c r="W6" s="43">
        <f>+IF('Detailed Assumps'!X725&gt;0,'Detailed Assumps'!X725,0)</f>
        <v>0</v>
      </c>
      <c r="X6" s="43">
        <f>+IF('Detailed Assumps'!Y725&gt;0,'Detailed Assumps'!Y725,0)</f>
        <v>0</v>
      </c>
      <c r="Y6" s="43">
        <f>+IF('Detailed Assumps'!Z725&gt;0,'Detailed Assumps'!Z725,0)</f>
        <v>203.30570200681586</v>
      </c>
    </row>
    <row r="7" spans="1:25" x14ac:dyDescent="0.2">
      <c r="A7" s="58" t="s">
        <v>56</v>
      </c>
      <c r="B7" s="43">
        <f>+IF('Detailed Assumps'!C726&gt;0,'Detailed Assumps'!C726,0)</f>
        <v>2540.6985469235906</v>
      </c>
      <c r="C7" s="43">
        <f>+IF('Detailed Assumps'!D726&gt;0,'Detailed Assumps'!D726,0)</f>
        <v>0</v>
      </c>
      <c r="D7" s="43">
        <f>+IF('Detailed Assumps'!E726&gt;0,'Detailed Assumps'!E726,0)</f>
        <v>1804.5755042647063</v>
      </c>
      <c r="E7" s="43">
        <f>+IF('Detailed Assumps'!F726&gt;0,'Detailed Assumps'!F726,0)</f>
        <v>0</v>
      </c>
      <c r="F7" s="43">
        <f>+IF('Detailed Assumps'!G726&gt;0,'Detailed Assumps'!G726,0)</f>
        <v>0</v>
      </c>
      <c r="G7" s="43">
        <f>+IF('Detailed Assumps'!H726&gt;0,'Detailed Assumps'!H726,0)</f>
        <v>7586.8826919931726</v>
      </c>
      <c r="H7" s="43">
        <f>+IF('Detailed Assumps'!I726&gt;0,'Detailed Assumps'!I726,0)</f>
        <v>0</v>
      </c>
      <c r="I7" s="43">
        <f>+IF('Detailed Assumps'!J726&gt;0,'Detailed Assumps'!J726,0)</f>
        <v>1875.2724359218694</v>
      </c>
      <c r="J7" s="43">
        <f>+IF('Detailed Assumps'!K726&gt;0,'Detailed Assumps'!K726,0)</f>
        <v>0</v>
      </c>
      <c r="K7" s="43">
        <f>+IF('Detailed Assumps'!L726&gt;0,'Detailed Assumps'!L726,0)</f>
        <v>386.21755066119511</v>
      </c>
      <c r="L7" s="43">
        <f>+IF('Detailed Assumps'!M726&gt;0,'Detailed Assumps'!M726,0)</f>
        <v>0</v>
      </c>
      <c r="M7" s="43">
        <f>+IF('Detailed Assumps'!N726&gt;0,'Detailed Assumps'!N726,0)</f>
        <v>0</v>
      </c>
      <c r="N7" s="43">
        <f>+IF('Detailed Assumps'!O726&gt;0,'Detailed Assumps'!O726,0)</f>
        <v>1248.146050414957</v>
      </c>
      <c r="O7" s="43">
        <f>+IF('Detailed Assumps'!P726&gt;0,'Detailed Assumps'!P726,0)</f>
        <v>0</v>
      </c>
      <c r="P7" s="43">
        <f>+IF('Detailed Assumps'!Q726&gt;0,'Detailed Assumps'!Q726,0)</f>
        <v>50.775096284717598</v>
      </c>
      <c r="Q7" s="43">
        <f>+IF('Detailed Assumps'!R726&gt;0,'Detailed Assumps'!R726,0)</f>
        <v>1115.6832171956394</v>
      </c>
      <c r="R7" s="43">
        <f>+IF('Detailed Assumps'!S726&gt;0,'Detailed Assumps'!S726,0)</f>
        <v>1127.0308605430159</v>
      </c>
      <c r="S7" s="43">
        <f>+IF('Detailed Assumps'!T726&gt;0,'Detailed Assumps'!T726,0)</f>
        <v>0</v>
      </c>
      <c r="T7" s="43">
        <f>+IF('Detailed Assumps'!U726&gt;0,'Detailed Assumps'!U726,0)</f>
        <v>0</v>
      </c>
      <c r="U7" s="43">
        <f>+IF('Detailed Assumps'!V726&gt;0,'Detailed Assumps'!V726,0)</f>
        <v>222.72256524812633</v>
      </c>
      <c r="V7" s="43">
        <f>+IF('Detailed Assumps'!W726&gt;0,'Detailed Assumps'!W726,0)</f>
        <v>0</v>
      </c>
      <c r="W7" s="43">
        <f>+IF('Detailed Assumps'!X726&gt;0,'Detailed Assumps'!X726,0)</f>
        <v>1292.6190402444936</v>
      </c>
      <c r="X7" s="43">
        <f>+IF('Detailed Assumps'!Y726&gt;0,'Detailed Assumps'!Y726,0)</f>
        <v>7695.8928041627432</v>
      </c>
      <c r="Y7" s="43">
        <f>+IF('Detailed Assumps'!Z726&gt;0,'Detailed Assumps'!Z726,0)</f>
        <v>1848.7178882028352</v>
      </c>
    </row>
    <row r="8" spans="1:25" x14ac:dyDescent="0.2">
      <c r="A8" s="58" t="s">
        <v>123</v>
      </c>
      <c r="B8" s="43">
        <f>+IF('Detailed Assumps'!C727&gt;0,'Detailed Assumps'!C727,0)</f>
        <v>527.381571841452</v>
      </c>
      <c r="C8" s="43">
        <f>+IF('Detailed Assumps'!D727&gt;0,'Detailed Assumps'!D727,0)</f>
        <v>0</v>
      </c>
      <c r="D8" s="43">
        <f>+IF('Detailed Assumps'!E727&gt;0,'Detailed Assumps'!E727,0)</f>
        <v>548.04145548162876</v>
      </c>
      <c r="E8" s="43">
        <f>+IF('Detailed Assumps'!F727&gt;0,'Detailed Assumps'!F727,0)</f>
        <v>0</v>
      </c>
      <c r="F8" s="43">
        <f>+IF('Detailed Assumps'!G727&gt;0,'Detailed Assumps'!G727,0)</f>
        <v>0</v>
      </c>
      <c r="G8" s="43">
        <f>+IF('Detailed Assumps'!H727&gt;0,'Detailed Assumps'!H727,0)</f>
        <v>1919.990786720962</v>
      </c>
      <c r="H8" s="43">
        <f>+IF('Detailed Assumps'!I727&gt;0,'Detailed Assumps'!I727,0)</f>
        <v>0</v>
      </c>
      <c r="I8" s="43">
        <f>+IF('Detailed Assumps'!J727&gt;0,'Detailed Assumps'!J727,0)</f>
        <v>235.28425184138936</v>
      </c>
      <c r="J8" s="43">
        <f>+IF('Detailed Assumps'!K727&gt;0,'Detailed Assumps'!K727,0)</f>
        <v>0</v>
      </c>
      <c r="K8" s="43">
        <f>+IF('Detailed Assumps'!L727&gt;0,'Detailed Assumps'!L727,0)</f>
        <v>0</v>
      </c>
      <c r="L8" s="43">
        <f>+IF('Detailed Assumps'!M727&gt;0,'Detailed Assumps'!M727,0)</f>
        <v>0</v>
      </c>
      <c r="M8" s="43">
        <f>+IF('Detailed Assumps'!N727&gt;0,'Detailed Assumps'!N727,0)</f>
        <v>0</v>
      </c>
      <c r="N8" s="43">
        <f>+IF('Detailed Assumps'!O727&gt;0,'Detailed Assumps'!O727,0)</f>
        <v>120.11618890068769</v>
      </c>
      <c r="O8" s="43">
        <f>+IF('Detailed Assumps'!P727&gt;0,'Detailed Assumps'!P727,0)</f>
        <v>0</v>
      </c>
      <c r="P8" s="43">
        <f>+IF('Detailed Assumps'!Q727&gt;0,'Detailed Assumps'!Q727,0)</f>
        <v>0</v>
      </c>
      <c r="Q8" s="43">
        <f>+IF('Detailed Assumps'!R727&gt;0,'Detailed Assumps'!R727,0)</f>
        <v>0</v>
      </c>
      <c r="R8" s="43">
        <f>+IF('Detailed Assumps'!S727&gt;0,'Detailed Assumps'!S727,0)</f>
        <v>0</v>
      </c>
      <c r="S8" s="43">
        <f>+IF('Detailed Assumps'!T727&gt;0,'Detailed Assumps'!T727,0)</f>
        <v>0</v>
      </c>
      <c r="T8" s="43">
        <f>+IF('Detailed Assumps'!U727&gt;0,'Detailed Assumps'!U727,0)</f>
        <v>2466.2155093780138</v>
      </c>
      <c r="U8" s="43">
        <f>+IF('Detailed Assumps'!V727&gt;0,'Detailed Assumps'!V727,0)</f>
        <v>0</v>
      </c>
      <c r="V8" s="43">
        <f>+IF('Detailed Assumps'!W727&gt;0,'Detailed Assumps'!W727,0)</f>
        <v>0</v>
      </c>
      <c r="W8" s="43">
        <f>+IF('Detailed Assumps'!X727&gt;0,'Detailed Assumps'!X727,0)</f>
        <v>0</v>
      </c>
      <c r="X8" s="43">
        <f>+IF('Detailed Assumps'!Y727&gt;0,'Detailed Assumps'!Y727,0)</f>
        <v>0</v>
      </c>
      <c r="Y8" s="43">
        <f>+IF('Detailed Assumps'!Z727&gt;0,'Detailed Assumps'!Z727,0)</f>
        <v>261.33888156355601</v>
      </c>
    </row>
    <row r="9" spans="1:25" x14ac:dyDescent="0.2">
      <c r="A9" s="58" t="s">
        <v>124</v>
      </c>
      <c r="B9" s="43">
        <f>+IF('Detailed Assumps'!C728&gt;0,'Detailed Assumps'!C728,0)</f>
        <v>370.98724579919821</v>
      </c>
      <c r="C9" s="43">
        <f>+IF('Detailed Assumps'!D728&gt;0,'Detailed Assumps'!D728,0)</f>
        <v>582.11426086293318</v>
      </c>
      <c r="D9" s="43">
        <f>+IF('Detailed Assumps'!E728&gt;0,'Detailed Assumps'!E728,0)</f>
        <v>0</v>
      </c>
      <c r="E9" s="43">
        <f>+IF('Detailed Assumps'!F728&gt;0,'Detailed Assumps'!F728,0)</f>
        <v>0</v>
      </c>
      <c r="F9" s="43">
        <f>+IF('Detailed Assumps'!G728&gt;0,'Detailed Assumps'!G728,0)</f>
        <v>0</v>
      </c>
      <c r="G9" s="43">
        <f>+IF('Detailed Assumps'!H728&gt;0,'Detailed Assumps'!H728,0)</f>
        <v>0</v>
      </c>
      <c r="H9" s="43">
        <f>+IF('Detailed Assumps'!I728&gt;0,'Detailed Assumps'!I728,0)</f>
        <v>0</v>
      </c>
      <c r="I9" s="43">
        <f>+IF('Detailed Assumps'!J728&gt;0,'Detailed Assumps'!J728,0)</f>
        <v>0</v>
      </c>
      <c r="J9" s="43">
        <f>+IF('Detailed Assumps'!K728&gt;0,'Detailed Assumps'!K728,0)</f>
        <v>0</v>
      </c>
      <c r="K9" s="43">
        <f>+IF('Detailed Assumps'!L728&gt;0,'Detailed Assumps'!L728,0)</f>
        <v>0</v>
      </c>
      <c r="L9" s="43">
        <f>+IF('Detailed Assumps'!M728&gt;0,'Detailed Assumps'!M728,0)</f>
        <v>0</v>
      </c>
      <c r="M9" s="43">
        <f>+IF('Detailed Assumps'!N728&gt;0,'Detailed Assumps'!N728,0)</f>
        <v>0</v>
      </c>
      <c r="N9" s="43">
        <f>+IF('Detailed Assumps'!O728&gt;0,'Detailed Assumps'!O728,0)</f>
        <v>0</v>
      </c>
      <c r="O9" s="43">
        <f>+IF('Detailed Assumps'!P728&gt;0,'Detailed Assumps'!P728,0)</f>
        <v>3396.4325362706572</v>
      </c>
      <c r="P9" s="43">
        <f>+IF('Detailed Assumps'!Q728&gt;0,'Detailed Assumps'!Q728,0)</f>
        <v>0</v>
      </c>
      <c r="Q9" s="43">
        <f>+IF('Detailed Assumps'!R728&gt;0,'Detailed Assumps'!R728,0)</f>
        <v>0</v>
      </c>
      <c r="R9" s="43">
        <f>+IF('Detailed Assumps'!S728&gt;0,'Detailed Assumps'!S728,0)</f>
        <v>0</v>
      </c>
      <c r="S9" s="43">
        <f>+IF('Detailed Assumps'!T728&gt;0,'Detailed Assumps'!T728,0)</f>
        <v>0</v>
      </c>
      <c r="T9" s="43">
        <f>+IF('Detailed Assumps'!U728&gt;0,'Detailed Assumps'!U728,0)</f>
        <v>17697.455824046261</v>
      </c>
      <c r="U9" s="43">
        <f>+IF('Detailed Assumps'!V728&gt;0,'Detailed Assumps'!V728,0)</f>
        <v>0</v>
      </c>
      <c r="V9" s="43">
        <f>+IF('Detailed Assumps'!W728&gt;0,'Detailed Assumps'!W728,0)</f>
        <v>5364.1010473354399</v>
      </c>
      <c r="W9" s="43">
        <f>+IF('Detailed Assumps'!X728&gt;0,'Detailed Assumps'!X728,0)</f>
        <v>0</v>
      </c>
      <c r="X9" s="43">
        <f>+IF('Detailed Assumps'!Y728&gt;0,'Detailed Assumps'!Y728,0)</f>
        <v>0</v>
      </c>
      <c r="Y9" s="43">
        <f>+IF('Detailed Assumps'!Z728&gt;0,'Detailed Assumps'!Z728,0)</f>
        <v>0</v>
      </c>
    </row>
    <row r="10" spans="1:25" x14ac:dyDescent="0.2">
      <c r="A10" t="s">
        <v>158</v>
      </c>
      <c r="B10" s="43">
        <f t="shared" ref="B10:Y10" si="0">+SUM(B5:B9)</f>
        <v>4443.1985499705943</v>
      </c>
      <c r="C10" s="43">
        <f t="shared" si="0"/>
        <v>1760.0007470535411</v>
      </c>
      <c r="D10" s="43">
        <f t="shared" si="0"/>
        <v>2975.9258489889353</v>
      </c>
      <c r="E10" s="43">
        <f t="shared" si="0"/>
        <v>0</v>
      </c>
      <c r="F10" s="43">
        <f t="shared" si="0"/>
        <v>0</v>
      </c>
      <c r="G10" s="43">
        <f t="shared" si="0"/>
        <v>12143.580589154259</v>
      </c>
      <c r="H10" s="43">
        <f t="shared" si="0"/>
        <v>0</v>
      </c>
      <c r="I10" s="43">
        <f t="shared" si="0"/>
        <v>2719.1905692910436</v>
      </c>
      <c r="J10" s="43">
        <f t="shared" si="0"/>
        <v>0</v>
      </c>
      <c r="K10" s="43">
        <f t="shared" si="0"/>
        <v>386.21755066119511</v>
      </c>
      <c r="L10" s="43">
        <f t="shared" si="0"/>
        <v>0</v>
      </c>
      <c r="M10" s="43">
        <f t="shared" si="0"/>
        <v>0</v>
      </c>
      <c r="N10" s="43">
        <f t="shared" si="0"/>
        <v>2566.5083940295822</v>
      </c>
      <c r="O10" s="43">
        <f t="shared" si="0"/>
        <v>8636.425281815269</v>
      </c>
      <c r="P10" s="43">
        <f t="shared" si="0"/>
        <v>876.06292265617731</v>
      </c>
      <c r="Q10" s="43">
        <f t="shared" si="0"/>
        <v>1115.6832171956394</v>
      </c>
      <c r="R10" s="43">
        <f t="shared" si="0"/>
        <v>1329.2854937725738</v>
      </c>
      <c r="S10" s="43">
        <f t="shared" si="0"/>
        <v>13.081444579904241</v>
      </c>
      <c r="T10" s="43">
        <f t="shared" si="0"/>
        <v>26187.807169925782</v>
      </c>
      <c r="U10" s="43">
        <f t="shared" si="0"/>
        <v>1190.2740136474958</v>
      </c>
      <c r="V10" s="43">
        <f t="shared" si="0"/>
        <v>11009.470983397201</v>
      </c>
      <c r="W10" s="43">
        <f t="shared" si="0"/>
        <v>3154.7695570474807</v>
      </c>
      <c r="X10" s="43">
        <f t="shared" si="0"/>
        <v>12390.642451604024</v>
      </c>
      <c r="Y10" s="43">
        <f t="shared" si="0"/>
        <v>3217.997538266126</v>
      </c>
    </row>
    <row r="11" spans="1:25" x14ac:dyDescent="0.2">
      <c r="B11" s="43"/>
      <c r="C11" s="43"/>
      <c r="D11" s="43"/>
      <c r="E11" s="43"/>
      <c r="F11" s="43"/>
      <c r="G11" s="43"/>
      <c r="H11" s="43"/>
      <c r="I11" s="43"/>
      <c r="J11" s="43"/>
      <c r="K11" s="43"/>
      <c r="L11" s="43"/>
      <c r="M11" s="43"/>
      <c r="N11" s="43"/>
      <c r="O11" s="43"/>
      <c r="P11" s="43"/>
      <c r="Q11" s="43"/>
      <c r="R11" s="43"/>
      <c r="S11" s="43"/>
      <c r="T11" s="43"/>
      <c r="U11" s="43"/>
      <c r="V11" s="43"/>
      <c r="W11" s="43"/>
      <c r="X11" s="43"/>
      <c r="Y11" s="43"/>
    </row>
    <row r="12" spans="1:25" x14ac:dyDescent="0.2">
      <c r="A12" t="s">
        <v>160</v>
      </c>
      <c r="B12" s="31">
        <f t="shared" ref="B12:Y12" si="1">+B4</f>
        <v>45307</v>
      </c>
      <c r="C12" s="31">
        <f t="shared" si="1"/>
        <v>45338</v>
      </c>
      <c r="D12" s="31">
        <f t="shared" si="1"/>
        <v>45366</v>
      </c>
      <c r="E12" s="31">
        <f t="shared" si="1"/>
        <v>45397</v>
      </c>
      <c r="F12" s="31">
        <f t="shared" si="1"/>
        <v>45427</v>
      </c>
      <c r="G12" s="31">
        <f t="shared" si="1"/>
        <v>45458</v>
      </c>
      <c r="H12" s="31">
        <f t="shared" si="1"/>
        <v>45488</v>
      </c>
      <c r="I12" s="31">
        <f t="shared" si="1"/>
        <v>45519</v>
      </c>
      <c r="J12" s="31">
        <f t="shared" si="1"/>
        <v>45550</v>
      </c>
      <c r="K12" s="31">
        <f t="shared" si="1"/>
        <v>45580</v>
      </c>
      <c r="L12" s="31">
        <f t="shared" si="1"/>
        <v>45611</v>
      </c>
      <c r="M12" s="31">
        <f t="shared" si="1"/>
        <v>45641</v>
      </c>
      <c r="N12" s="31">
        <f t="shared" si="1"/>
        <v>45673</v>
      </c>
      <c r="O12" s="31">
        <f t="shared" si="1"/>
        <v>45704</v>
      </c>
      <c r="P12" s="31">
        <f t="shared" si="1"/>
        <v>45732</v>
      </c>
      <c r="Q12" s="31">
        <f t="shared" si="1"/>
        <v>45763</v>
      </c>
      <c r="R12" s="31">
        <f t="shared" si="1"/>
        <v>45793</v>
      </c>
      <c r="S12" s="31">
        <f t="shared" si="1"/>
        <v>45824</v>
      </c>
      <c r="T12" s="31">
        <f t="shared" si="1"/>
        <v>45854</v>
      </c>
      <c r="U12" s="31">
        <f t="shared" si="1"/>
        <v>45885</v>
      </c>
      <c r="V12" s="31">
        <f t="shared" si="1"/>
        <v>45916</v>
      </c>
      <c r="W12" s="31">
        <f t="shared" si="1"/>
        <v>45946</v>
      </c>
      <c r="X12" s="31">
        <f t="shared" si="1"/>
        <v>45977</v>
      </c>
      <c r="Y12" s="31">
        <f t="shared" si="1"/>
        <v>46007</v>
      </c>
    </row>
    <row r="13" spans="1:25" x14ac:dyDescent="0.2">
      <c r="A13" t="s">
        <v>122</v>
      </c>
      <c r="B13" s="43">
        <f>+IF('Detailed Assumps'!C724&lt;0,'Detailed Assumps'!C724,0)</f>
        <v>0</v>
      </c>
      <c r="C13" s="43">
        <f>+IF('Detailed Assumps'!D724&lt;0,'Detailed Assumps'!D724,0)</f>
        <v>-379.45194119369722</v>
      </c>
      <c r="D13" s="43">
        <f>+IF('Detailed Assumps'!E724&lt;0,'Detailed Assumps'!E724,0)</f>
        <v>0</v>
      </c>
      <c r="E13" s="43">
        <f>+IF('Detailed Assumps'!F724&lt;0,'Detailed Assumps'!F724,0)</f>
        <v>-1291.7827180382708</v>
      </c>
      <c r="F13" s="43">
        <f>+IF('Detailed Assumps'!G724&lt;0,'Detailed Assumps'!G724,0)</f>
        <v>-878.55881267158418</v>
      </c>
      <c r="G13" s="43">
        <f>+IF('Detailed Assumps'!H724&lt;0,'Detailed Assumps'!H724,0)</f>
        <v>0</v>
      </c>
      <c r="H13" s="43">
        <f>+IF('Detailed Assumps'!I724&lt;0,'Detailed Assumps'!I724,0)</f>
        <v>-967.13128639718855</v>
      </c>
      <c r="I13" s="43">
        <f>+IF('Detailed Assumps'!J724&lt;0,'Detailed Assumps'!J724,0)</f>
        <v>0</v>
      </c>
      <c r="J13" s="43">
        <f>+IF('Detailed Assumps'!K724&lt;0,'Detailed Assumps'!K724,0)</f>
        <v>-1064.7327499824551</v>
      </c>
      <c r="K13" s="43">
        <f>+IF('Detailed Assumps'!L724&lt;0,'Detailed Assumps'!L724,0)</f>
        <v>-643.10223475551993</v>
      </c>
      <c r="L13" s="43">
        <f>+IF('Detailed Assumps'!M724&lt;0,'Detailed Assumps'!M724,0)</f>
        <v>-1200.9764469139936</v>
      </c>
      <c r="M13" s="43">
        <f>+IF('Detailed Assumps'!N724&lt;0,'Detailed Assumps'!N724,0)</f>
        <v>-1033.7614866200895</v>
      </c>
      <c r="N13" s="43">
        <f>+IF('Detailed Assumps'!O724&lt;0,'Detailed Assumps'!O724,0)</f>
        <v>0</v>
      </c>
      <c r="O13" s="43">
        <f>+IF('Detailed Assumps'!P724&lt;0,'Detailed Assumps'!P724,0)</f>
        <v>-2944.5349525528704</v>
      </c>
      <c r="P13" s="43">
        <f>+IF('Detailed Assumps'!Q724&lt;0,'Detailed Assumps'!Q724,0)</f>
        <v>0</v>
      </c>
      <c r="Q13" s="43">
        <f>+IF('Detailed Assumps'!R724&lt;0,'Detailed Assumps'!R724,0)</f>
        <v>-380.54501641299305</v>
      </c>
      <c r="R13" s="43">
        <f>+IF('Detailed Assumps'!S724&lt;0,'Detailed Assumps'!S724,0)</f>
        <v>0</v>
      </c>
      <c r="S13" s="43">
        <f>+IF('Detailed Assumps'!T724&lt;0,'Detailed Assumps'!T724,0)</f>
        <v>0</v>
      </c>
      <c r="T13" s="43">
        <f>+IF('Detailed Assumps'!U724&lt;0,'Detailed Assumps'!U724,0)</f>
        <v>-15520.194507978553</v>
      </c>
      <c r="U13" s="43">
        <f>+IF('Detailed Assumps'!V724&lt;0,'Detailed Assumps'!V724,0)</f>
        <v>0</v>
      </c>
      <c r="V13" s="43">
        <f>+IF('Detailed Assumps'!W724&lt;0,'Detailed Assumps'!W724,0)</f>
        <v>-5312.5790660248922</v>
      </c>
      <c r="W13" s="43">
        <f>+IF('Detailed Assumps'!X724&lt;0,'Detailed Assumps'!X724,0)</f>
        <v>0</v>
      </c>
      <c r="X13" s="43">
        <f>+IF('Detailed Assumps'!Y724&lt;0,'Detailed Assumps'!Y724,0)</f>
        <v>0</v>
      </c>
      <c r="Y13" s="43">
        <f>+IF('Detailed Assumps'!Z724&lt;0,'Detailed Assumps'!Z724,0)</f>
        <v>0</v>
      </c>
    </row>
    <row r="14" spans="1:25" x14ac:dyDescent="0.2">
      <c r="A14" t="s">
        <v>121</v>
      </c>
      <c r="B14" s="43">
        <f>+IF('Detailed Assumps'!C725&lt;0,'Detailed Assumps'!C725,0)</f>
        <v>-13.704557634703461</v>
      </c>
      <c r="C14" s="43">
        <f>+IF('Detailed Assumps'!D725&lt;0,'Detailed Assumps'!D725,0)</f>
        <v>0</v>
      </c>
      <c r="D14" s="43">
        <f>+IF('Detailed Assumps'!E725&lt;0,'Detailed Assumps'!E725,0)</f>
        <v>-3907.8515330473806</v>
      </c>
      <c r="E14" s="43">
        <f>+IF('Detailed Assumps'!F725&lt;0,'Detailed Assumps'!F725,0)</f>
        <v>-5924.5902354042873</v>
      </c>
      <c r="F14" s="43">
        <f>+IF('Detailed Assumps'!G725&lt;0,'Detailed Assumps'!G725,0)</f>
        <v>-4866.3529858223446</v>
      </c>
      <c r="G14" s="43">
        <f>+IF('Detailed Assumps'!H725&lt;0,'Detailed Assumps'!H725,0)</f>
        <v>-10145.148868585648</v>
      </c>
      <c r="H14" s="43">
        <f>+IF('Detailed Assumps'!I725&lt;0,'Detailed Assumps'!I725,0)</f>
        <v>-4913.092984725401</v>
      </c>
      <c r="I14" s="43">
        <f>+IF('Detailed Assumps'!J725&lt;0,'Detailed Assumps'!J725,0)</f>
        <v>-3365.108564758586</v>
      </c>
      <c r="J14" s="43">
        <f>+IF('Detailed Assumps'!K725&lt;0,'Detailed Assumps'!K725,0)</f>
        <v>-4948.1206093222672</v>
      </c>
      <c r="K14" s="43">
        <f>+IF('Detailed Assumps'!L725&lt;0,'Detailed Assumps'!L725,0)</f>
        <v>-3759.9144871037597</v>
      </c>
      <c r="L14" s="43">
        <f>+IF('Detailed Assumps'!M725&lt;0,'Detailed Assumps'!M725,0)</f>
        <v>-4566.4474255420691</v>
      </c>
      <c r="M14" s="43">
        <f>+IF('Detailed Assumps'!N725&lt;0,'Detailed Assumps'!N725,0)</f>
        <v>-4290.4958118210297</v>
      </c>
      <c r="N14" s="43">
        <f>+IF('Detailed Assumps'!O725&lt;0,'Detailed Assumps'!O725,0)</f>
        <v>0</v>
      </c>
      <c r="O14" s="43">
        <f>+IF('Detailed Assumps'!P725&lt;0,'Detailed Assumps'!P725,0)</f>
        <v>0</v>
      </c>
      <c r="P14" s="43">
        <f>+IF('Detailed Assumps'!Q725&lt;0,'Detailed Assumps'!Q725,0)</f>
        <v>-4774.6932126401571</v>
      </c>
      <c r="Q14" s="43">
        <f>+IF('Detailed Assumps'!R725&lt;0,'Detailed Assumps'!R725,0)</f>
        <v>-5829.5325007446072</v>
      </c>
      <c r="R14" s="43">
        <f>+IF('Detailed Assumps'!S725&lt;0,'Detailed Assumps'!S725,0)</f>
        <v>-5531.4584383543615</v>
      </c>
      <c r="S14" s="43">
        <f>+IF('Detailed Assumps'!T725&lt;0,'Detailed Assumps'!T725,0)</f>
        <v>-4683.4185708551167</v>
      </c>
      <c r="T14" s="43">
        <f>+IF('Detailed Assumps'!U725&lt;0,'Detailed Assumps'!U725,0)</f>
        <v>0</v>
      </c>
      <c r="U14" s="43">
        <f>+IF('Detailed Assumps'!V725&lt;0,'Detailed Assumps'!V725,0)</f>
        <v>-5738.1023491579881</v>
      </c>
      <c r="V14" s="43">
        <f>+IF('Detailed Assumps'!W725&lt;0,'Detailed Assumps'!W725,0)</f>
        <v>0</v>
      </c>
      <c r="W14" s="43">
        <f>+IF('Detailed Assumps'!X725&lt;0,'Detailed Assumps'!X725,0)</f>
        <v>-7907.5174969922618</v>
      </c>
      <c r="X14" s="43">
        <f>+IF('Detailed Assumps'!Y725&lt;0,'Detailed Assumps'!Y725,0)</f>
        <v>-3812.5805049581277</v>
      </c>
      <c r="Y14" s="43">
        <f>+IF('Detailed Assumps'!Z725&lt;0,'Detailed Assumps'!Z725,0)</f>
        <v>0</v>
      </c>
    </row>
    <row r="15" spans="1:25" x14ac:dyDescent="0.2">
      <c r="A15" s="58" t="s">
        <v>56</v>
      </c>
      <c r="B15" s="43">
        <f>+IF('Detailed Assumps'!C726&lt;0,'Detailed Assumps'!C726,0)</f>
        <v>0</v>
      </c>
      <c r="C15" s="43">
        <f>+IF('Detailed Assumps'!D726&lt;0,'Detailed Assumps'!D726,0)</f>
        <v>-1061.6397096935232</v>
      </c>
      <c r="D15" s="43">
        <f>+IF('Detailed Assumps'!E726&lt;0,'Detailed Assumps'!E726,0)</f>
        <v>0</v>
      </c>
      <c r="E15" s="43">
        <f>+IF('Detailed Assumps'!F726&lt;0,'Detailed Assumps'!F726,0)</f>
        <v>-1678.5681258162165</v>
      </c>
      <c r="F15" s="43">
        <f>+IF('Detailed Assumps'!G726&lt;0,'Detailed Assumps'!G726,0)</f>
        <v>-665.90467016370167</v>
      </c>
      <c r="G15" s="43">
        <f>+IF('Detailed Assumps'!H726&lt;0,'Detailed Assumps'!H726,0)</f>
        <v>0</v>
      </c>
      <c r="H15" s="43">
        <f>+IF('Detailed Assumps'!I726&lt;0,'Detailed Assumps'!I726,0)</f>
        <v>-1123.5859027777421</v>
      </c>
      <c r="I15" s="43">
        <f>+IF('Detailed Assumps'!J726&lt;0,'Detailed Assumps'!J726,0)</f>
        <v>0</v>
      </c>
      <c r="J15" s="43">
        <f>+IF('Detailed Assumps'!K726&lt;0,'Detailed Assumps'!K726,0)</f>
        <v>-1261.3590840863931</v>
      </c>
      <c r="K15" s="43">
        <f>+IF('Detailed Assumps'!L726&lt;0,'Detailed Assumps'!L726,0)</f>
        <v>0</v>
      </c>
      <c r="L15" s="43">
        <f>+IF('Detailed Assumps'!M726&lt;0,'Detailed Assumps'!M726,0)</f>
        <v>-1520.7688460366949</v>
      </c>
      <c r="M15" s="43">
        <f>+IF('Detailed Assumps'!N726&lt;0,'Detailed Assumps'!N726,0)</f>
        <v>-1211.9172129650522</v>
      </c>
      <c r="N15" s="43">
        <f>+IF('Detailed Assumps'!O726&lt;0,'Detailed Assumps'!O726,0)</f>
        <v>0</v>
      </c>
      <c r="O15" s="43">
        <f>+IF('Detailed Assumps'!P726&lt;0,'Detailed Assumps'!P726,0)</f>
        <v>-9017.5637297441335</v>
      </c>
      <c r="P15" s="43">
        <f>+IF('Detailed Assumps'!Q726&lt;0,'Detailed Assumps'!Q726,0)</f>
        <v>0</v>
      </c>
      <c r="Q15" s="43">
        <f>+IF('Detailed Assumps'!R726&lt;0,'Detailed Assumps'!R726,0)</f>
        <v>0</v>
      </c>
      <c r="R15" s="43">
        <f>+IF('Detailed Assumps'!S726&lt;0,'Detailed Assumps'!S726,0)</f>
        <v>0</v>
      </c>
      <c r="S15" s="43">
        <f>+IF('Detailed Assumps'!T726&lt;0,'Detailed Assumps'!T726,0)</f>
        <v>-998.79358344517152</v>
      </c>
      <c r="T15" s="43">
        <f>+IF('Detailed Assumps'!U726&lt;0,'Detailed Assumps'!U726,0)</f>
        <v>-19116.28190293123</v>
      </c>
      <c r="U15" s="43">
        <f>+IF('Detailed Assumps'!V726&lt;0,'Detailed Assumps'!V726,0)</f>
        <v>0</v>
      </c>
      <c r="V15" s="43">
        <f>+IF('Detailed Assumps'!W726&lt;0,'Detailed Assumps'!W726,0)</f>
        <v>-9075.7252094411906</v>
      </c>
      <c r="W15" s="43">
        <f>+IF('Detailed Assumps'!X726&lt;0,'Detailed Assumps'!X726,0)</f>
        <v>0</v>
      </c>
      <c r="X15" s="43">
        <f>+IF('Detailed Assumps'!Y726&lt;0,'Detailed Assumps'!Y726,0)</f>
        <v>0</v>
      </c>
      <c r="Y15" s="43">
        <f>+IF('Detailed Assumps'!Z726&lt;0,'Detailed Assumps'!Z726,0)</f>
        <v>0</v>
      </c>
    </row>
    <row r="16" spans="1:25" x14ac:dyDescent="0.2">
      <c r="A16" s="58" t="s">
        <v>123</v>
      </c>
      <c r="B16" s="43">
        <f>+IF('Detailed Assumps'!C727&lt;0,'Detailed Assumps'!C727,0)</f>
        <v>0</v>
      </c>
      <c r="C16" s="43">
        <f>+IF('Detailed Assumps'!D727&lt;0,'Detailed Assumps'!D727,0)</f>
        <v>-90.977504180122239</v>
      </c>
      <c r="D16" s="43">
        <f>+IF('Detailed Assumps'!E727&lt;0,'Detailed Assumps'!E727,0)</f>
        <v>0</v>
      </c>
      <c r="E16" s="43">
        <f>+IF('Detailed Assumps'!F727&lt;0,'Detailed Assumps'!F727,0)</f>
        <v>-520.71090656202489</v>
      </c>
      <c r="F16" s="43">
        <f>+IF('Detailed Assumps'!G727&lt;0,'Detailed Assumps'!G727,0)</f>
        <v>-393.81868572796259</v>
      </c>
      <c r="G16" s="43">
        <f>+IF('Detailed Assumps'!H727&lt;0,'Detailed Assumps'!H727,0)</f>
        <v>0</v>
      </c>
      <c r="H16" s="43">
        <f>+IF('Detailed Assumps'!I727&lt;0,'Detailed Assumps'!I727,0)</f>
        <v>-356.93681118452525</v>
      </c>
      <c r="I16" s="43">
        <f>+IF('Detailed Assumps'!J727&lt;0,'Detailed Assumps'!J727,0)</f>
        <v>0</v>
      </c>
      <c r="J16" s="43">
        <f>+IF('Detailed Assumps'!K727&lt;0,'Detailed Assumps'!K727,0)</f>
        <v>-303.24928376474969</v>
      </c>
      <c r="K16" s="43">
        <f>+IF('Detailed Assumps'!L727&lt;0,'Detailed Assumps'!L727,0)</f>
        <v>-150.03072967894994</v>
      </c>
      <c r="L16" s="43">
        <f>+IF('Detailed Assumps'!M727&lt;0,'Detailed Assumps'!M727,0)</f>
        <v>-566.1793315501053</v>
      </c>
      <c r="M16" s="43">
        <f>+IF('Detailed Assumps'!N727&lt;0,'Detailed Assumps'!N727,0)</f>
        <v>-385.93464285160775</v>
      </c>
      <c r="N16" s="43">
        <f>+IF('Detailed Assumps'!O727&lt;0,'Detailed Assumps'!O727,0)</f>
        <v>0</v>
      </c>
      <c r="O16" s="43">
        <f>+IF('Detailed Assumps'!P727&lt;0,'Detailed Assumps'!P727,0)</f>
        <v>-540.86839827730523</v>
      </c>
      <c r="P16" s="43">
        <f>+IF('Detailed Assumps'!Q727&lt;0,'Detailed Assumps'!Q727,0)</f>
        <v>-296.253239673037</v>
      </c>
      <c r="Q16" s="43">
        <f>+IF('Detailed Assumps'!R727&lt;0,'Detailed Assumps'!R727,0)</f>
        <v>-312.24495608134384</v>
      </c>
      <c r="R16" s="43">
        <f>+IF('Detailed Assumps'!S727&lt;0,'Detailed Assumps'!S727,0)</f>
        <v>-824.49958249147244</v>
      </c>
      <c r="S16" s="43">
        <f>+IF('Detailed Assumps'!T727&lt;0,'Detailed Assumps'!T727,0)</f>
        <v>-1043.5120892371378</v>
      </c>
      <c r="T16" s="43">
        <f>+IF('Detailed Assumps'!U727&lt;0,'Detailed Assumps'!U727,0)</f>
        <v>0</v>
      </c>
      <c r="U16" s="43">
        <f>+IF('Detailed Assumps'!V727&lt;0,'Detailed Assumps'!V727,0)</f>
        <v>-1704.6839919857109</v>
      </c>
      <c r="V16" s="43">
        <f>+IF('Detailed Assumps'!W727&lt;0,'Detailed Assumps'!W727,0)</f>
        <v>-645.70796546711392</v>
      </c>
      <c r="W16" s="43">
        <f>+IF('Detailed Assumps'!X727&lt;0,'Detailed Assumps'!X727,0)</f>
        <v>-618.12809870132446</v>
      </c>
      <c r="X16" s="43">
        <f>+IF('Detailed Assumps'!Y727&lt;0,'Detailed Assumps'!Y727,0)</f>
        <v>-3059.8711181595777</v>
      </c>
      <c r="Y16" s="43">
        <f>+IF('Detailed Assumps'!Z727&lt;0,'Detailed Assumps'!Z727,0)</f>
        <v>0</v>
      </c>
    </row>
    <row r="17" spans="1:25" x14ac:dyDescent="0.2">
      <c r="A17" s="58" t="s">
        <v>124</v>
      </c>
      <c r="B17" s="43">
        <f>+IF('Detailed Assumps'!C728&lt;0,'Detailed Assumps'!C728,0)</f>
        <v>0</v>
      </c>
      <c r="C17" s="43">
        <f>+IF('Detailed Assumps'!D728&lt;0,'Detailed Assumps'!D728,0)</f>
        <v>0</v>
      </c>
      <c r="D17" s="43">
        <f>+IF('Detailed Assumps'!E728&lt;0,'Detailed Assumps'!E728,0)</f>
        <v>-718.96889406637285</v>
      </c>
      <c r="E17" s="43">
        <f>+IF('Detailed Assumps'!F728&lt;0,'Detailed Assumps'!F728,0)</f>
        <v>-2209.9733933013972</v>
      </c>
      <c r="F17" s="43">
        <f>+IF('Detailed Assumps'!G728&lt;0,'Detailed Assumps'!G728,0)</f>
        <v>-2148.5550255337344</v>
      </c>
      <c r="G17" s="43">
        <f>+IF('Detailed Assumps'!H728&lt;0,'Detailed Assumps'!H728,0)</f>
        <v>-2870.4614948504063</v>
      </c>
      <c r="H17" s="43">
        <f>+IF('Detailed Assumps'!I728&lt;0,'Detailed Assumps'!I728,0)</f>
        <v>-2078.9556823035023</v>
      </c>
      <c r="I17" s="43">
        <f>+IF('Detailed Assumps'!J728&lt;0,'Detailed Assumps'!J728,0)</f>
        <v>-1474.548547560953</v>
      </c>
      <c r="J17" s="43">
        <f>+IF('Detailed Assumps'!K728&lt;0,'Detailed Assumps'!K728,0)</f>
        <v>-1756.9272759297814</v>
      </c>
      <c r="K17" s="43">
        <f>+IF('Detailed Assumps'!L728&lt;0,'Detailed Assumps'!L728,0)</f>
        <v>-1208.6258337424724</v>
      </c>
      <c r="L17" s="43">
        <f>+IF('Detailed Assumps'!M728&lt;0,'Detailed Assumps'!M728,0)</f>
        <v>-2101.1114100657264</v>
      </c>
      <c r="M17" s="43">
        <f>+IF('Detailed Assumps'!N728&lt;0,'Detailed Assumps'!N728,0)</f>
        <v>-1851.3362689846736</v>
      </c>
      <c r="N17" s="43">
        <f>+IF('Detailed Assumps'!O728&lt;0,'Detailed Assumps'!O728,0)</f>
        <v>-160.39842131979259</v>
      </c>
      <c r="O17" s="43">
        <f>+IF('Detailed Assumps'!P728&lt;0,'Detailed Assumps'!P728,0)</f>
        <v>0</v>
      </c>
      <c r="P17" s="43">
        <f>+IF('Detailed Assumps'!Q728&lt;0,'Detailed Assumps'!Q728,0)</f>
        <v>-2874.9523354709822</v>
      </c>
      <c r="Q17" s="43">
        <f>+IF('Detailed Assumps'!R728&lt;0,'Detailed Assumps'!R728,0)</f>
        <v>-2822.1459869647028</v>
      </c>
      <c r="R17" s="43">
        <f>+IF('Detailed Assumps'!S728&lt;0,'Detailed Assumps'!S728,0)</f>
        <v>-4265.359155146738</v>
      </c>
      <c r="S17" s="43">
        <f>+IF('Detailed Assumps'!T728&lt;0,'Detailed Assumps'!T728,0)</f>
        <v>-3916.6214146924758</v>
      </c>
      <c r="T17" s="43">
        <f>+IF('Detailed Assumps'!U728&lt;0,'Detailed Assumps'!U728,0)</f>
        <v>0</v>
      </c>
      <c r="U17" s="43">
        <f>+IF('Detailed Assumps'!V728&lt;0,'Detailed Assumps'!V728,0)</f>
        <v>-7392.8777238958</v>
      </c>
      <c r="V17" s="43">
        <f>+IF('Detailed Assumps'!W728&lt;0,'Detailed Assumps'!W728,0)</f>
        <v>0</v>
      </c>
      <c r="W17" s="43">
        <f>+IF('Detailed Assumps'!X728&lt;0,'Detailed Assumps'!X728,0)</f>
        <v>-4373.3325665778921</v>
      </c>
      <c r="X17" s="43">
        <f>+IF('Detailed Assumps'!Y728&lt;0,'Detailed Assumps'!Y728,0)</f>
        <v>-14218.127518098323</v>
      </c>
      <c r="Y17" s="43">
        <f>+IF('Detailed Assumps'!Z728&lt;0,'Detailed Assumps'!Z728,0)</f>
        <v>-127.38947666011988</v>
      </c>
    </row>
    <row r="18" spans="1:25" x14ac:dyDescent="0.2">
      <c r="A18" t="s">
        <v>158</v>
      </c>
      <c r="B18" s="43">
        <f t="shared" ref="B18:Y18" si="2">+SUM(B13:B17)</f>
        <v>-13.704557634703461</v>
      </c>
      <c r="C18" s="43">
        <f t="shared" si="2"/>
        <v>-1532.0691550673425</v>
      </c>
      <c r="D18" s="43">
        <f t="shared" si="2"/>
        <v>-4626.8204271137538</v>
      </c>
      <c r="E18" s="43">
        <f t="shared" si="2"/>
        <v>-11625.625379122197</v>
      </c>
      <c r="F18" s="43">
        <f t="shared" si="2"/>
        <v>-8953.1901799193274</v>
      </c>
      <c r="G18" s="43">
        <f t="shared" si="2"/>
        <v>-13015.610363436053</v>
      </c>
      <c r="H18" s="43">
        <f t="shared" si="2"/>
        <v>-9439.7026673883593</v>
      </c>
      <c r="I18" s="43">
        <f t="shared" si="2"/>
        <v>-4839.657112319539</v>
      </c>
      <c r="J18" s="43">
        <f t="shared" si="2"/>
        <v>-9334.3890030856473</v>
      </c>
      <c r="K18" s="43">
        <f t="shared" si="2"/>
        <v>-5761.6732852807017</v>
      </c>
      <c r="L18" s="43">
        <f t="shared" si="2"/>
        <v>-9955.4834601085895</v>
      </c>
      <c r="M18" s="43">
        <f t="shared" si="2"/>
        <v>-8773.4454232424523</v>
      </c>
      <c r="N18" s="43">
        <f t="shared" si="2"/>
        <v>-160.39842131979259</v>
      </c>
      <c r="O18" s="43">
        <f t="shared" si="2"/>
        <v>-12502.96708057431</v>
      </c>
      <c r="P18" s="43">
        <f t="shared" si="2"/>
        <v>-7945.8987877841755</v>
      </c>
      <c r="Q18" s="43">
        <f t="shared" si="2"/>
        <v>-9344.4684602036468</v>
      </c>
      <c r="R18" s="43">
        <f t="shared" si="2"/>
        <v>-10621.317175992572</v>
      </c>
      <c r="S18" s="43">
        <f t="shared" si="2"/>
        <v>-10642.345658229902</v>
      </c>
      <c r="T18" s="43">
        <f t="shared" si="2"/>
        <v>-34636.476410909781</v>
      </c>
      <c r="U18" s="43">
        <f t="shared" si="2"/>
        <v>-14835.664065039498</v>
      </c>
      <c r="V18" s="43">
        <f t="shared" si="2"/>
        <v>-15034.012240933196</v>
      </c>
      <c r="W18" s="43">
        <f t="shared" si="2"/>
        <v>-12898.978162271478</v>
      </c>
      <c r="X18" s="43">
        <f t="shared" si="2"/>
        <v>-21090.579141216029</v>
      </c>
      <c r="Y18" s="43">
        <f t="shared" si="2"/>
        <v>-127.38947666011988</v>
      </c>
    </row>
    <row r="19" spans="1:25" x14ac:dyDescent="0.2">
      <c r="B19" s="43"/>
      <c r="C19" s="43"/>
      <c r="D19" s="43"/>
      <c r="E19" s="43"/>
      <c r="F19" s="43"/>
      <c r="G19" s="43"/>
      <c r="H19" s="43"/>
      <c r="I19" s="43"/>
      <c r="J19" s="43"/>
      <c r="K19" s="43"/>
      <c r="L19" s="43"/>
      <c r="M19" s="43"/>
      <c r="N19" s="43"/>
      <c r="O19" s="43"/>
      <c r="P19" s="43"/>
      <c r="Q19" s="43"/>
      <c r="R19" s="43"/>
      <c r="S19" s="43"/>
      <c r="T19" s="43"/>
      <c r="U19" s="43"/>
      <c r="V19" s="43"/>
      <c r="W19" s="43"/>
      <c r="X19" s="43"/>
      <c r="Y19" s="43"/>
    </row>
    <row r="20" spans="1:25" x14ac:dyDescent="0.2">
      <c r="B20" s="43"/>
      <c r="C20" s="43"/>
      <c r="D20" s="43"/>
      <c r="E20" s="43"/>
      <c r="F20" s="43"/>
      <c r="G20" s="43"/>
      <c r="H20" s="43"/>
      <c r="I20" s="43"/>
      <c r="J20" s="43"/>
      <c r="K20" s="43"/>
      <c r="L20" s="43"/>
      <c r="M20" s="43"/>
      <c r="N20" s="43"/>
      <c r="O20" s="43"/>
      <c r="P20" s="43"/>
      <c r="Q20" s="43"/>
      <c r="R20" s="43"/>
      <c r="S20" s="43"/>
      <c r="T20" s="43"/>
      <c r="U20" s="43"/>
      <c r="V20" s="43"/>
      <c r="W20" s="43"/>
      <c r="X20" s="43"/>
      <c r="Y20" s="43"/>
    </row>
    <row r="21" spans="1:25" x14ac:dyDescent="0.2">
      <c r="A21" t="s">
        <v>161</v>
      </c>
      <c r="B21" s="31">
        <f t="shared" ref="B21:Y21" si="3">+B4</f>
        <v>45307</v>
      </c>
      <c r="C21" s="31">
        <f t="shared" si="3"/>
        <v>45338</v>
      </c>
      <c r="D21" s="31">
        <f t="shared" si="3"/>
        <v>45366</v>
      </c>
      <c r="E21" s="31">
        <f t="shared" si="3"/>
        <v>45397</v>
      </c>
      <c r="F21" s="31">
        <f t="shared" si="3"/>
        <v>45427</v>
      </c>
      <c r="G21" s="31">
        <f t="shared" si="3"/>
        <v>45458</v>
      </c>
      <c r="H21" s="31">
        <f t="shared" si="3"/>
        <v>45488</v>
      </c>
      <c r="I21" s="31">
        <f t="shared" si="3"/>
        <v>45519</v>
      </c>
      <c r="J21" s="31">
        <f t="shared" si="3"/>
        <v>45550</v>
      </c>
      <c r="K21" s="31">
        <f t="shared" si="3"/>
        <v>45580</v>
      </c>
      <c r="L21" s="31">
        <f t="shared" si="3"/>
        <v>45611</v>
      </c>
      <c r="M21" s="31">
        <f t="shared" si="3"/>
        <v>45641</v>
      </c>
      <c r="N21" s="31">
        <f t="shared" si="3"/>
        <v>45673</v>
      </c>
      <c r="O21" s="31">
        <f t="shared" si="3"/>
        <v>45704</v>
      </c>
      <c r="P21" s="31">
        <f t="shared" si="3"/>
        <v>45732</v>
      </c>
      <c r="Q21" s="31">
        <f t="shared" si="3"/>
        <v>45763</v>
      </c>
      <c r="R21" s="31">
        <f t="shared" si="3"/>
        <v>45793</v>
      </c>
      <c r="S21" s="31">
        <f t="shared" si="3"/>
        <v>45824</v>
      </c>
      <c r="T21" s="31">
        <f t="shared" si="3"/>
        <v>45854</v>
      </c>
      <c r="U21" s="31">
        <f t="shared" si="3"/>
        <v>45885</v>
      </c>
      <c r="V21" s="31">
        <f t="shared" si="3"/>
        <v>45916</v>
      </c>
      <c r="W21" s="31">
        <f t="shared" si="3"/>
        <v>45946</v>
      </c>
      <c r="X21" s="31">
        <f t="shared" si="3"/>
        <v>45977</v>
      </c>
      <c r="Y21" s="31">
        <f t="shared" si="3"/>
        <v>46007</v>
      </c>
    </row>
    <row r="22" spans="1:25" x14ac:dyDescent="0.2">
      <c r="A22" t="s">
        <v>122</v>
      </c>
      <c r="B22" s="42">
        <f>+IF('Detailed Assumps'!C733&gt;0,'Detailed Assumps'!C733,0)</f>
        <v>152109.00913872215</v>
      </c>
      <c r="C22" s="42">
        <f>+IF('Detailed Assumps'!D733&gt;0,'Detailed Assumps'!D733,0)</f>
        <v>0</v>
      </c>
      <c r="D22" s="42">
        <f>+IF('Detailed Assumps'!E733&gt;0,'Detailed Assumps'!E733,0)</f>
        <v>18739.713391120444</v>
      </c>
      <c r="E22" s="42">
        <f>+IF('Detailed Assumps'!F733&gt;0,'Detailed Assumps'!F733,0)</f>
        <v>0</v>
      </c>
      <c r="F22" s="42">
        <f>+IF('Detailed Assumps'!G733&gt;0,'Detailed Assumps'!G733,0)</f>
        <v>0</v>
      </c>
      <c r="G22" s="42">
        <f>+IF('Detailed Assumps'!H733&gt;0,'Detailed Assumps'!H733,0)</f>
        <v>135418.10182135584</v>
      </c>
      <c r="H22" s="42">
        <f>+IF('Detailed Assumps'!I733&gt;0,'Detailed Assumps'!I733,0)</f>
        <v>0</v>
      </c>
      <c r="I22" s="42">
        <f>+IF('Detailed Assumps'!J733&gt;0,'Detailed Assumps'!J733,0)</f>
        <v>42013.913752047745</v>
      </c>
      <c r="J22" s="42">
        <f>+IF('Detailed Assumps'!K733&gt;0,'Detailed Assumps'!K733,0)</f>
        <v>0</v>
      </c>
      <c r="K22" s="42">
        <f>+IF('Detailed Assumps'!L733&gt;0,'Detailed Assumps'!L733,0)</f>
        <v>0</v>
      </c>
      <c r="L22" s="42">
        <f>+IF('Detailed Assumps'!M733&gt;0,'Detailed Assumps'!M733,0)</f>
        <v>0</v>
      </c>
      <c r="M22" s="42">
        <f>+IF('Detailed Assumps'!N733&gt;0,'Detailed Assumps'!N733,0)</f>
        <v>0</v>
      </c>
      <c r="N22" s="42">
        <f>+IF('Detailed Assumps'!O733&gt;0,'Detailed Assumps'!O733,0)</f>
        <v>67327.167221463678</v>
      </c>
      <c r="O22" s="42">
        <f>+IF('Detailed Assumps'!P733&gt;0,'Detailed Assumps'!P733,0)</f>
        <v>0</v>
      </c>
      <c r="P22" s="42">
        <f>+IF('Detailed Assumps'!Q733&gt;0,'Detailed Assumps'!Q733,0)</f>
        <v>48139.65563489285</v>
      </c>
      <c r="Q22" s="42">
        <f>+IF('Detailed Assumps'!R733&gt;0,'Detailed Assumps'!R733,0)</f>
        <v>0</v>
      </c>
      <c r="R22" s="42">
        <f>+IF('Detailed Assumps'!S733&gt;0,'Detailed Assumps'!S733,0)</f>
        <v>9568.5978859773277</v>
      </c>
      <c r="S22" s="42">
        <f>+IF('Detailed Assumps'!T733&gt;0,'Detailed Assumps'!T733,0)</f>
        <v>885.71876454143853</v>
      </c>
      <c r="T22" s="42">
        <f>+IF('Detailed Assumps'!U733&gt;0,'Detailed Assumps'!U733,0)</f>
        <v>0</v>
      </c>
      <c r="U22" s="42">
        <f>+IF('Detailed Assumps'!V733&gt;0,'Detailed Assumps'!V733,0)</f>
        <v>64229.973524539688</v>
      </c>
      <c r="V22" s="42">
        <f>+IF('Detailed Assumps'!W733&gt;0,'Detailed Assumps'!W733,0)</f>
        <v>0</v>
      </c>
      <c r="W22" s="42">
        <f>+IF('Detailed Assumps'!X733&gt;0,'Detailed Assumps'!X733,0)</f>
        <v>98262.952619293384</v>
      </c>
      <c r="X22" s="42">
        <f>+IF('Detailed Assumps'!Y733&gt;0,'Detailed Assumps'!Y733,0)</f>
        <v>311495.9933816336</v>
      </c>
      <c r="Y22" s="42">
        <f>+IF('Detailed Assumps'!Z733&gt;0,'Detailed Assumps'!Z733,0)</f>
        <v>87281.809590282734</v>
      </c>
    </row>
    <row r="23" spans="1:25" x14ac:dyDescent="0.2">
      <c r="A23" t="s">
        <v>121</v>
      </c>
      <c r="B23" s="42">
        <f>+IF('Detailed Assumps'!C734&gt;0,'Detailed Assumps'!C734,0)</f>
        <v>0</v>
      </c>
      <c r="C23" s="42">
        <f>+IF('Detailed Assumps'!D734&gt;0,'Detailed Assumps'!D734,0)</f>
        <v>111781.76666867425</v>
      </c>
      <c r="D23" s="42">
        <f>+IF('Detailed Assumps'!E734&gt;0,'Detailed Assumps'!E734,0)</f>
        <v>0</v>
      </c>
      <c r="E23" s="42">
        <f>+IF('Detailed Assumps'!F734&gt;0,'Detailed Assumps'!F734,0)</f>
        <v>0</v>
      </c>
      <c r="F23" s="42">
        <f>+IF('Detailed Assumps'!G734&gt;0,'Detailed Assumps'!G734,0)</f>
        <v>0</v>
      </c>
      <c r="G23" s="42">
        <f>+IF('Detailed Assumps'!H734&gt;0,'Detailed Assumps'!H734,0)</f>
        <v>0</v>
      </c>
      <c r="H23" s="42">
        <f>+IF('Detailed Assumps'!I734&gt;0,'Detailed Assumps'!I734,0)</f>
        <v>0</v>
      </c>
      <c r="I23" s="42">
        <f>+IF('Detailed Assumps'!J734&gt;0,'Detailed Assumps'!J734,0)</f>
        <v>0</v>
      </c>
      <c r="J23" s="42">
        <f>+IF('Detailed Assumps'!K734&gt;0,'Detailed Assumps'!K734,0)</f>
        <v>0</v>
      </c>
      <c r="K23" s="42">
        <f>+IF('Detailed Assumps'!L734&gt;0,'Detailed Assumps'!L734,0)</f>
        <v>0</v>
      </c>
      <c r="L23" s="42">
        <f>+IF('Detailed Assumps'!M734&gt;0,'Detailed Assumps'!M734,0)</f>
        <v>0</v>
      </c>
      <c r="M23" s="42">
        <f>+IF('Detailed Assumps'!N734&gt;0,'Detailed Assumps'!N734,0)</f>
        <v>0</v>
      </c>
      <c r="N23" s="42">
        <f>+IF('Detailed Assumps'!O734&gt;0,'Detailed Assumps'!O734,0)</f>
        <v>54613.480422523156</v>
      </c>
      <c r="O23" s="42">
        <f>+IF('Detailed Assumps'!P734&gt;0,'Detailed Assumps'!P734,0)</f>
        <v>478997.2983715937</v>
      </c>
      <c r="P23" s="42">
        <f>+IF('Detailed Assumps'!Q734&gt;0,'Detailed Assumps'!Q734,0)</f>
        <v>0</v>
      </c>
      <c r="Q23" s="42">
        <f>+IF('Detailed Assumps'!R734&gt;0,'Detailed Assumps'!R734,0)</f>
        <v>0</v>
      </c>
      <c r="R23" s="42">
        <f>+IF('Detailed Assumps'!S734&gt;0,'Detailed Assumps'!S734,0)</f>
        <v>0</v>
      </c>
      <c r="S23" s="42">
        <f>+IF('Detailed Assumps'!T734&gt;0,'Detailed Assumps'!T734,0)</f>
        <v>0</v>
      </c>
      <c r="T23" s="42">
        <f>+IF('Detailed Assumps'!U734&gt;0,'Detailed Assumps'!U734,0)</f>
        <v>508569.8290981219</v>
      </c>
      <c r="U23" s="42">
        <f>+IF('Detailed Assumps'!V734&gt;0,'Detailed Assumps'!V734,0)</f>
        <v>0</v>
      </c>
      <c r="V23" s="42">
        <f>+IF('Detailed Assumps'!W734&gt;0,'Detailed Assumps'!W734,0)</f>
        <v>298704.77627687366</v>
      </c>
      <c r="W23" s="42">
        <f>+IF('Detailed Assumps'!X734&gt;0,'Detailed Assumps'!X734,0)</f>
        <v>0</v>
      </c>
      <c r="X23" s="42">
        <f>+IF('Detailed Assumps'!Y734&gt;0,'Detailed Assumps'!Y734,0)</f>
        <v>0</v>
      </c>
      <c r="Y23" s="42">
        <f>+IF('Detailed Assumps'!Z734&gt;0,'Detailed Assumps'!Z734,0)</f>
        <v>18604.311128043581</v>
      </c>
    </row>
    <row r="24" spans="1:25" x14ac:dyDescent="0.2">
      <c r="A24" s="58" t="s">
        <v>56</v>
      </c>
      <c r="B24" s="42">
        <f>+IF('Detailed Assumps'!C735&gt;0,'Detailed Assumps'!C735,0)</f>
        <v>259647.62381896432</v>
      </c>
      <c r="C24" s="42">
        <f>+IF('Detailed Assumps'!D735&gt;0,'Detailed Assumps'!D735,0)</f>
        <v>0</v>
      </c>
      <c r="D24" s="42">
        <f>+IF('Detailed Assumps'!E735&gt;0,'Detailed Assumps'!E735,0)</f>
        <v>36995.609509792965</v>
      </c>
      <c r="E24" s="42">
        <f>+IF('Detailed Assumps'!F735&gt;0,'Detailed Assumps'!F735,0)</f>
        <v>0</v>
      </c>
      <c r="F24" s="42">
        <f>+IF('Detailed Assumps'!G735&gt;0,'Detailed Assumps'!G735,0)</f>
        <v>0</v>
      </c>
      <c r="G24" s="42">
        <f>+IF('Detailed Assumps'!H735&gt;0,'Detailed Assumps'!H735,0)</f>
        <v>250965.64515005844</v>
      </c>
      <c r="H24" s="42">
        <f>+IF('Detailed Assumps'!I735&gt;0,'Detailed Assumps'!I735,0)</f>
        <v>0</v>
      </c>
      <c r="I24" s="42">
        <f>+IF('Detailed Assumps'!J735&gt;0,'Detailed Assumps'!J735,0)</f>
        <v>70788.552593433778</v>
      </c>
      <c r="J24" s="42">
        <f>+IF('Detailed Assumps'!K735&gt;0,'Detailed Assumps'!K735,0)</f>
        <v>0</v>
      </c>
      <c r="K24" s="42">
        <f>+IF('Detailed Assumps'!L735&gt;0,'Detailed Assumps'!L735,0)</f>
        <v>12794.985215713692</v>
      </c>
      <c r="L24" s="42">
        <f>+IF('Detailed Assumps'!M735&gt;0,'Detailed Assumps'!M735,0)</f>
        <v>0</v>
      </c>
      <c r="M24" s="42">
        <f>+IF('Detailed Assumps'!N735&gt;0,'Detailed Assumps'!N735,0)</f>
        <v>0</v>
      </c>
      <c r="N24" s="42">
        <f>+IF('Detailed Assumps'!O735&gt;0,'Detailed Assumps'!O735,0)</f>
        <v>96342.135186619897</v>
      </c>
      <c r="O24" s="42">
        <f>+IF('Detailed Assumps'!P735&gt;0,'Detailed Assumps'!P735,0)</f>
        <v>0</v>
      </c>
      <c r="P24" s="42">
        <f>+IF('Detailed Assumps'!Q735&gt;0,'Detailed Assumps'!Q735,0)</f>
        <v>2210.6732016084193</v>
      </c>
      <c r="Q24" s="42">
        <f>+IF('Detailed Assumps'!R735&gt;0,'Detailed Assumps'!R735,0)</f>
        <v>38205.805016748396</v>
      </c>
      <c r="R24" s="42">
        <f>+IF('Detailed Assumps'!S735&gt;0,'Detailed Assumps'!S735,0)</f>
        <v>33447.035392978039</v>
      </c>
      <c r="S24" s="42">
        <f>+IF('Detailed Assumps'!T735&gt;0,'Detailed Assumps'!T735,0)</f>
        <v>0</v>
      </c>
      <c r="T24" s="42">
        <f>+IF('Detailed Assumps'!U735&gt;0,'Detailed Assumps'!U735,0)</f>
        <v>0</v>
      </c>
      <c r="U24" s="42">
        <f>+IF('Detailed Assumps'!V735&gt;0,'Detailed Assumps'!V735,0)</f>
        <v>10247.661303342826</v>
      </c>
      <c r="V24" s="42">
        <f>+IF('Detailed Assumps'!W735&gt;0,'Detailed Assumps'!W735,0)</f>
        <v>0</v>
      </c>
      <c r="W24" s="42">
        <f>+IF('Detailed Assumps'!X735&gt;0,'Detailed Assumps'!X735,0)</f>
        <v>36844.489166749343</v>
      </c>
      <c r="X24" s="42">
        <f>+IF('Detailed Assumps'!Y735&gt;0,'Detailed Assumps'!Y735,0)</f>
        <v>340536.72056487406</v>
      </c>
      <c r="Y24" s="42">
        <f>+IF('Detailed Assumps'!Z735&gt;0,'Detailed Assumps'!Z735,0)</f>
        <v>111398.56787622385</v>
      </c>
    </row>
    <row r="25" spans="1:25" x14ac:dyDescent="0.2">
      <c r="A25" s="58" t="s">
        <v>123</v>
      </c>
      <c r="B25" s="42">
        <f>+IF('Detailed Assumps'!C736&gt;0,'Detailed Assumps'!C736,0)</f>
        <v>90267.070729664061</v>
      </c>
      <c r="C25" s="42">
        <f>+IF('Detailed Assumps'!D736&gt;0,'Detailed Assumps'!D736,0)</f>
        <v>0</v>
      </c>
      <c r="D25" s="42">
        <f>+IF('Detailed Assumps'!E736&gt;0,'Detailed Assumps'!E736,0)</f>
        <v>17828.389967204341</v>
      </c>
      <c r="E25" s="42">
        <f>+IF('Detailed Assumps'!F736&gt;0,'Detailed Assumps'!F736,0)</f>
        <v>0</v>
      </c>
      <c r="F25" s="42">
        <f>+IF('Detailed Assumps'!G736&gt;0,'Detailed Assumps'!G736,0)</f>
        <v>0</v>
      </c>
      <c r="G25" s="42">
        <f>+IF('Detailed Assumps'!H736&gt;0,'Detailed Assumps'!H736,0)</f>
        <v>81854.125551722536</v>
      </c>
      <c r="H25" s="42">
        <f>+IF('Detailed Assumps'!I736&gt;0,'Detailed Assumps'!I736,0)</f>
        <v>0</v>
      </c>
      <c r="I25" s="42">
        <f>+IF('Detailed Assumps'!J736&gt;0,'Detailed Assumps'!J736,0)</f>
        <v>11759.018827097905</v>
      </c>
      <c r="J25" s="42">
        <f>+IF('Detailed Assumps'!K736&gt;0,'Detailed Assumps'!K736,0)</f>
        <v>0</v>
      </c>
      <c r="K25" s="42">
        <f>+IF('Detailed Assumps'!L736&gt;0,'Detailed Assumps'!L736,0)</f>
        <v>0</v>
      </c>
      <c r="L25" s="42">
        <f>+IF('Detailed Assumps'!M736&gt;0,'Detailed Assumps'!M736,0)</f>
        <v>0</v>
      </c>
      <c r="M25" s="42">
        <f>+IF('Detailed Assumps'!N736&gt;0,'Detailed Assumps'!N736,0)</f>
        <v>0</v>
      </c>
      <c r="N25" s="42">
        <f>+IF('Detailed Assumps'!O736&gt;0,'Detailed Assumps'!O736,0)</f>
        <v>12830.481891059346</v>
      </c>
      <c r="O25" s="42">
        <f>+IF('Detailed Assumps'!P736&gt;0,'Detailed Assumps'!P736,0)</f>
        <v>0</v>
      </c>
      <c r="P25" s="42">
        <f>+IF('Detailed Assumps'!Q736&gt;0,'Detailed Assumps'!Q736,0)</f>
        <v>0</v>
      </c>
      <c r="Q25" s="42">
        <f>+IF('Detailed Assumps'!R736&gt;0,'Detailed Assumps'!R736,0)</f>
        <v>0</v>
      </c>
      <c r="R25" s="42">
        <f>+IF('Detailed Assumps'!S736&gt;0,'Detailed Assumps'!S736,0)</f>
        <v>0</v>
      </c>
      <c r="S25" s="42">
        <f>+IF('Detailed Assumps'!T736&gt;0,'Detailed Assumps'!T736,0)</f>
        <v>0</v>
      </c>
      <c r="T25" s="42">
        <f>+IF('Detailed Assumps'!U736&gt;0,'Detailed Assumps'!U736,0)</f>
        <v>149077.7065749281</v>
      </c>
      <c r="U25" s="42">
        <f>+IF('Detailed Assumps'!V736&gt;0,'Detailed Assumps'!V736,0)</f>
        <v>0</v>
      </c>
      <c r="V25" s="42">
        <f>+IF('Detailed Assumps'!W736&gt;0,'Detailed Assumps'!W736,0)</f>
        <v>0</v>
      </c>
      <c r="W25" s="42">
        <f>+IF('Detailed Assumps'!X736&gt;0,'Detailed Assumps'!X736,0)</f>
        <v>0</v>
      </c>
      <c r="X25" s="42">
        <f>+IF('Detailed Assumps'!Y736&gt;0,'Detailed Assumps'!Y736,0)</f>
        <v>0</v>
      </c>
      <c r="Y25" s="42">
        <f>+IF('Detailed Assumps'!Z736&gt;0,'Detailed Assumps'!Z736,0)</f>
        <v>22703.394778461818</v>
      </c>
    </row>
    <row r="26" spans="1:25" x14ac:dyDescent="0.2">
      <c r="A26" s="58" t="s">
        <v>124</v>
      </c>
      <c r="B26" s="42">
        <f>+IF('Detailed Assumps'!C737&gt;0,'Detailed Assumps'!C737,0)</f>
        <v>43983.729632036579</v>
      </c>
      <c r="C26" s="42">
        <f>+IF('Detailed Assumps'!D737&gt;0,'Detailed Assumps'!D737,0)</f>
        <v>86759.637938439584</v>
      </c>
      <c r="D26" s="42">
        <f>+IF('Detailed Assumps'!E737&gt;0,'Detailed Assumps'!E737,0)</f>
        <v>0</v>
      </c>
      <c r="E26" s="42">
        <f>+IF('Detailed Assumps'!F737&gt;0,'Detailed Assumps'!F737,0)</f>
        <v>0</v>
      </c>
      <c r="F26" s="42">
        <f>+IF('Detailed Assumps'!G737&gt;0,'Detailed Assumps'!G737,0)</f>
        <v>0</v>
      </c>
      <c r="G26" s="42">
        <f>+IF('Detailed Assumps'!H737&gt;0,'Detailed Assumps'!H737,0)</f>
        <v>0</v>
      </c>
      <c r="H26" s="42">
        <f>+IF('Detailed Assumps'!I737&gt;0,'Detailed Assumps'!I737,0)</f>
        <v>0</v>
      </c>
      <c r="I26" s="42">
        <f>+IF('Detailed Assumps'!J737&gt;0,'Detailed Assumps'!J737,0)</f>
        <v>0</v>
      </c>
      <c r="J26" s="42">
        <f>+IF('Detailed Assumps'!K737&gt;0,'Detailed Assumps'!K737,0)</f>
        <v>0</v>
      </c>
      <c r="K26" s="42">
        <f>+IF('Detailed Assumps'!L737&gt;0,'Detailed Assumps'!L737,0)</f>
        <v>0</v>
      </c>
      <c r="L26" s="42">
        <f>+IF('Detailed Assumps'!M737&gt;0,'Detailed Assumps'!M737,0)</f>
        <v>0</v>
      </c>
      <c r="M26" s="42">
        <f>+IF('Detailed Assumps'!N737&gt;0,'Detailed Assumps'!N737,0)</f>
        <v>0</v>
      </c>
      <c r="N26" s="42">
        <f>+IF('Detailed Assumps'!O737&gt;0,'Detailed Assumps'!O737,0)</f>
        <v>0</v>
      </c>
      <c r="O26" s="42">
        <f>+IF('Detailed Assumps'!P737&gt;0,'Detailed Assumps'!P737,0)</f>
        <v>259558.24000330997</v>
      </c>
      <c r="P26" s="42">
        <f>+IF('Detailed Assumps'!Q737&gt;0,'Detailed Assumps'!Q737,0)</f>
        <v>0</v>
      </c>
      <c r="Q26" s="42">
        <f>+IF('Detailed Assumps'!R737&gt;0,'Detailed Assumps'!R737,0)</f>
        <v>0</v>
      </c>
      <c r="R26" s="42">
        <f>+IF('Detailed Assumps'!S737&gt;0,'Detailed Assumps'!S737,0)</f>
        <v>0</v>
      </c>
      <c r="S26" s="42">
        <f>+IF('Detailed Assumps'!T737&gt;0,'Detailed Assumps'!T737,0)</f>
        <v>0</v>
      </c>
      <c r="T26" s="42">
        <f>+IF('Detailed Assumps'!U737&gt;0,'Detailed Assumps'!U737,0)</f>
        <v>799620.25670540379</v>
      </c>
      <c r="U26" s="42">
        <f>+IF('Detailed Assumps'!V737&gt;0,'Detailed Assumps'!V737,0)</f>
        <v>0</v>
      </c>
      <c r="V26" s="42">
        <f>+IF('Detailed Assumps'!W737&gt;0,'Detailed Assumps'!W737,0)</f>
        <v>181201.47240699976</v>
      </c>
      <c r="W26" s="42">
        <f>+IF('Detailed Assumps'!X737&gt;0,'Detailed Assumps'!X737,0)</f>
        <v>0</v>
      </c>
      <c r="X26" s="42">
        <f>+IF('Detailed Assumps'!Y737&gt;0,'Detailed Assumps'!Y737,0)</f>
        <v>0</v>
      </c>
      <c r="Y26" s="42">
        <f>+IF('Detailed Assumps'!Z737&gt;0,'Detailed Assumps'!Z737,0)</f>
        <v>0</v>
      </c>
    </row>
    <row r="27" spans="1:25" x14ac:dyDescent="0.2">
      <c r="A27" t="s">
        <v>37</v>
      </c>
      <c r="B27" s="42">
        <f t="shared" ref="B27:Y27" si="4">+SUM(B22:B26)</f>
        <v>546007.43331938703</v>
      </c>
      <c r="C27" s="42">
        <f t="shared" si="4"/>
        <v>198541.40460711383</v>
      </c>
      <c r="D27" s="42">
        <f t="shared" si="4"/>
        <v>73563.712868117756</v>
      </c>
      <c r="E27" s="42">
        <f t="shared" si="4"/>
        <v>0</v>
      </c>
      <c r="F27" s="42">
        <f t="shared" si="4"/>
        <v>0</v>
      </c>
      <c r="G27" s="42">
        <f t="shared" si="4"/>
        <v>468237.87252313684</v>
      </c>
      <c r="H27" s="42">
        <f t="shared" si="4"/>
        <v>0</v>
      </c>
      <c r="I27" s="42">
        <f t="shared" si="4"/>
        <v>124561.48517257941</v>
      </c>
      <c r="J27" s="42">
        <f t="shared" si="4"/>
        <v>0</v>
      </c>
      <c r="K27" s="42">
        <f t="shared" si="4"/>
        <v>12794.985215713692</v>
      </c>
      <c r="L27" s="42">
        <f t="shared" si="4"/>
        <v>0</v>
      </c>
      <c r="M27" s="42">
        <f t="shared" si="4"/>
        <v>0</v>
      </c>
      <c r="N27" s="42">
        <f t="shared" si="4"/>
        <v>231113.26472166608</v>
      </c>
      <c r="O27" s="42">
        <f t="shared" si="4"/>
        <v>738555.53837490361</v>
      </c>
      <c r="P27" s="42">
        <f t="shared" si="4"/>
        <v>50350.32883650127</v>
      </c>
      <c r="Q27" s="42">
        <f t="shared" si="4"/>
        <v>38205.805016748396</v>
      </c>
      <c r="R27" s="42">
        <f t="shared" si="4"/>
        <v>43015.633278955371</v>
      </c>
      <c r="S27" s="42">
        <f t="shared" si="4"/>
        <v>885.71876454143853</v>
      </c>
      <c r="T27" s="42">
        <f t="shared" si="4"/>
        <v>1457267.7923784538</v>
      </c>
      <c r="U27" s="42">
        <f t="shared" si="4"/>
        <v>74477.634827882517</v>
      </c>
      <c r="V27" s="42">
        <f t="shared" si="4"/>
        <v>479906.24868387345</v>
      </c>
      <c r="W27" s="42">
        <f t="shared" si="4"/>
        <v>135107.44178604273</v>
      </c>
      <c r="X27" s="42">
        <f t="shared" si="4"/>
        <v>652032.71394650766</v>
      </c>
      <c r="Y27" s="42">
        <f t="shared" si="4"/>
        <v>239988.08337301199</v>
      </c>
    </row>
    <row r="28" spans="1:25" x14ac:dyDescent="0.2">
      <c r="B28" s="42"/>
      <c r="C28" s="42"/>
      <c r="D28" s="42"/>
      <c r="E28" s="42"/>
      <c r="F28" s="42"/>
      <c r="G28" s="42"/>
      <c r="H28" s="42"/>
      <c r="I28" s="42"/>
      <c r="J28" s="42"/>
      <c r="K28" s="42"/>
      <c r="L28" s="42"/>
      <c r="M28" s="42"/>
      <c r="N28" s="42"/>
      <c r="O28" s="42"/>
      <c r="P28" s="42"/>
      <c r="Q28" s="42"/>
      <c r="R28" s="42"/>
      <c r="S28" s="42"/>
      <c r="T28" s="42"/>
      <c r="U28" s="42"/>
      <c r="V28" s="42"/>
      <c r="W28" s="42"/>
      <c r="X28" s="42"/>
      <c r="Y28" s="42"/>
    </row>
    <row r="29" spans="1:25" x14ac:dyDescent="0.2">
      <c r="B29" s="42"/>
      <c r="C29" s="42"/>
      <c r="D29" s="42"/>
      <c r="E29" s="42"/>
      <c r="F29" s="42"/>
      <c r="G29" s="42"/>
      <c r="H29" s="42"/>
      <c r="I29" s="42"/>
      <c r="J29" s="42"/>
      <c r="K29" s="42"/>
      <c r="L29" s="42"/>
      <c r="M29" s="42"/>
      <c r="N29" s="42"/>
      <c r="O29" s="42"/>
      <c r="P29" s="42"/>
      <c r="Q29" s="42"/>
      <c r="R29" s="42"/>
      <c r="S29" s="42"/>
      <c r="T29" s="42"/>
      <c r="U29" s="42"/>
      <c r="V29" s="42"/>
      <c r="W29" s="42"/>
      <c r="X29" s="42"/>
      <c r="Y29" s="42"/>
    </row>
    <row r="30" spans="1:25" x14ac:dyDescent="0.2">
      <c r="A30" t="s">
        <v>162</v>
      </c>
      <c r="B30" s="31">
        <f t="shared" ref="B30:Y30" si="5">+B12</f>
        <v>45307</v>
      </c>
      <c r="C30" s="31">
        <f t="shared" si="5"/>
        <v>45338</v>
      </c>
      <c r="D30" s="31">
        <f t="shared" si="5"/>
        <v>45366</v>
      </c>
      <c r="E30" s="31">
        <f t="shared" si="5"/>
        <v>45397</v>
      </c>
      <c r="F30" s="31">
        <f t="shared" si="5"/>
        <v>45427</v>
      </c>
      <c r="G30" s="31">
        <f t="shared" si="5"/>
        <v>45458</v>
      </c>
      <c r="H30" s="31">
        <f t="shared" si="5"/>
        <v>45488</v>
      </c>
      <c r="I30" s="31">
        <f t="shared" si="5"/>
        <v>45519</v>
      </c>
      <c r="J30" s="31">
        <f t="shared" si="5"/>
        <v>45550</v>
      </c>
      <c r="K30" s="31">
        <f t="shared" si="5"/>
        <v>45580</v>
      </c>
      <c r="L30" s="31">
        <f t="shared" si="5"/>
        <v>45611</v>
      </c>
      <c r="M30" s="31">
        <f t="shared" si="5"/>
        <v>45641</v>
      </c>
      <c r="N30" s="31">
        <f t="shared" si="5"/>
        <v>45673</v>
      </c>
      <c r="O30" s="31">
        <f t="shared" si="5"/>
        <v>45704</v>
      </c>
      <c r="P30" s="31">
        <f t="shared" si="5"/>
        <v>45732</v>
      </c>
      <c r="Q30" s="31">
        <f t="shared" si="5"/>
        <v>45763</v>
      </c>
      <c r="R30" s="31">
        <f t="shared" si="5"/>
        <v>45793</v>
      </c>
      <c r="S30" s="31">
        <f t="shared" si="5"/>
        <v>45824</v>
      </c>
      <c r="T30" s="31">
        <f t="shared" si="5"/>
        <v>45854</v>
      </c>
      <c r="U30" s="31">
        <f t="shared" si="5"/>
        <v>45885</v>
      </c>
      <c r="V30" s="31">
        <f t="shared" si="5"/>
        <v>45916</v>
      </c>
      <c r="W30" s="31">
        <f t="shared" si="5"/>
        <v>45946</v>
      </c>
      <c r="X30" s="31">
        <f t="shared" si="5"/>
        <v>45977</v>
      </c>
      <c r="Y30" s="31">
        <f t="shared" si="5"/>
        <v>46007</v>
      </c>
    </row>
    <row r="31" spans="1:25" x14ac:dyDescent="0.2">
      <c r="A31" t="s">
        <v>122</v>
      </c>
      <c r="B31" s="42">
        <f>+IF('Detailed Assumps'!C733&lt;0,'Detailed Assumps'!C733,0)</f>
        <v>0</v>
      </c>
      <c r="C31" s="42">
        <f>+IF('Detailed Assumps'!D733&lt;0,'Detailed Assumps'!D733,0)</f>
        <v>-45688.421991914976</v>
      </c>
      <c r="D31" s="42">
        <f>+IF('Detailed Assumps'!E733&lt;0,'Detailed Assumps'!E733,0)</f>
        <v>0</v>
      </c>
      <c r="E31" s="42">
        <f>+IF('Detailed Assumps'!F733&lt;0,'Detailed Assumps'!F733,0)</f>
        <v>-45840.859768319562</v>
      </c>
      <c r="F31" s="42">
        <f>+IF('Detailed Assumps'!G733&lt;0,'Detailed Assumps'!G733,0)</f>
        <v>-31252.351989386698</v>
      </c>
      <c r="G31" s="42">
        <f>+IF('Detailed Assumps'!H733&lt;0,'Detailed Assumps'!H733,0)</f>
        <v>0</v>
      </c>
      <c r="H31" s="42">
        <f>+IF('Detailed Assumps'!I733&lt;0,'Detailed Assumps'!I733,0)</f>
        <v>-82123.971003151819</v>
      </c>
      <c r="I31" s="42">
        <f>+IF('Detailed Assumps'!J733&lt;0,'Detailed Assumps'!J733,0)</f>
        <v>0</v>
      </c>
      <c r="J31" s="42">
        <f>+IF('Detailed Assumps'!K733&lt;0,'Detailed Assumps'!K733,0)</f>
        <v>-51610.098027394357</v>
      </c>
      <c r="K31" s="42">
        <f>+IF('Detailed Assumps'!L733&lt;0,'Detailed Assumps'!L733,0)</f>
        <v>-30947.38135035551</v>
      </c>
      <c r="L31" s="42">
        <f>+IF('Detailed Assumps'!M733&lt;0,'Detailed Assumps'!M733,0)</f>
        <v>-77733.740464826202</v>
      </c>
      <c r="M31" s="42">
        <f>+IF('Detailed Assumps'!N733&lt;0,'Detailed Assumps'!N733,0)</f>
        <v>-99286.365230241121</v>
      </c>
      <c r="N31" s="42">
        <f>+IF('Detailed Assumps'!O733&lt;0,'Detailed Assumps'!O733,0)</f>
        <v>0</v>
      </c>
      <c r="O31" s="42">
        <f>+IF('Detailed Assumps'!P733&lt;0,'Detailed Assumps'!P733,0)</f>
        <v>-283722.3246794006</v>
      </c>
      <c r="P31" s="42">
        <f>+IF('Detailed Assumps'!Q733&lt;0,'Detailed Assumps'!Q733,0)</f>
        <v>0</v>
      </c>
      <c r="Q31" s="42">
        <f>+IF('Detailed Assumps'!R733&lt;0,'Detailed Assumps'!R733,0)</f>
        <v>-19108.596373309203</v>
      </c>
      <c r="R31" s="42">
        <f>+IF('Detailed Assumps'!S733&lt;0,'Detailed Assumps'!S733,0)</f>
        <v>0</v>
      </c>
      <c r="S31" s="42">
        <f>+IF('Detailed Assumps'!T733&lt;0,'Detailed Assumps'!T733,0)</f>
        <v>0</v>
      </c>
      <c r="T31" s="42">
        <f>+IF('Detailed Assumps'!U733&lt;0,'Detailed Assumps'!U733,0)</f>
        <v>-1502707.3033556484</v>
      </c>
      <c r="U31" s="42">
        <f>+IF('Detailed Assumps'!V733&lt;0,'Detailed Assumps'!V733,0)</f>
        <v>0</v>
      </c>
      <c r="V31" s="42">
        <f>+IF('Detailed Assumps'!W733&lt;0,'Detailed Assumps'!W733,0)</f>
        <v>-318246.53925400169</v>
      </c>
      <c r="W31" s="42">
        <f>+IF('Detailed Assumps'!X733&lt;0,'Detailed Assumps'!X733,0)</f>
        <v>0</v>
      </c>
      <c r="X31" s="42">
        <f>+IF('Detailed Assumps'!Y733&lt;0,'Detailed Assumps'!Y733,0)</f>
        <v>0</v>
      </c>
      <c r="Y31" s="42">
        <f>+IF('Detailed Assumps'!Z733&lt;0,'Detailed Assumps'!Z733,0)</f>
        <v>0</v>
      </c>
    </row>
    <row r="32" spans="1:25" x14ac:dyDescent="0.2">
      <c r="A32" t="s">
        <v>121</v>
      </c>
      <c r="B32" s="42">
        <f>+IF('Detailed Assumps'!C734&lt;0,'Detailed Assumps'!C734,0)</f>
        <v>-1815.7962946461464</v>
      </c>
      <c r="C32" s="42">
        <f>+IF('Detailed Assumps'!D734&lt;0,'Detailed Assumps'!D734,0)</f>
        <v>0</v>
      </c>
      <c r="D32" s="42">
        <f>+IF('Detailed Assumps'!E734&lt;0,'Detailed Assumps'!E734,0)</f>
        <v>-93716.565304213262</v>
      </c>
      <c r="E32" s="42">
        <f>+IF('Detailed Assumps'!F734&lt;0,'Detailed Assumps'!F734,0)</f>
        <v>-152064.05910138652</v>
      </c>
      <c r="F32" s="42">
        <f>+IF('Detailed Assumps'!G734&lt;0,'Detailed Assumps'!G734,0)</f>
        <v>-134920.46309795367</v>
      </c>
      <c r="G32" s="42">
        <f>+IF('Detailed Assumps'!H734&lt;0,'Detailed Assumps'!H734,0)</f>
        <v>-424319.38900444977</v>
      </c>
      <c r="H32" s="42">
        <f>+IF('Detailed Assumps'!I734&lt;0,'Detailed Assumps'!I734,0)</f>
        <v>-298936.37320058269</v>
      </c>
      <c r="I32" s="42">
        <f>+IF('Detailed Assumps'!J734&lt;0,'Detailed Assumps'!J734,0)</f>
        <v>-170258.98750828201</v>
      </c>
      <c r="J32" s="42">
        <f>+IF('Detailed Assumps'!K734&lt;0,'Detailed Assumps'!K734,0)</f>
        <v>-195749.60402691591</v>
      </c>
      <c r="K32" s="42">
        <f>+IF('Detailed Assumps'!L734&lt;0,'Detailed Assumps'!L734,0)</f>
        <v>-148988.69530153924</v>
      </c>
      <c r="L32" s="42">
        <f>+IF('Detailed Assumps'!M734&lt;0,'Detailed Assumps'!M734,0)</f>
        <v>-237940.57866847346</v>
      </c>
      <c r="M32" s="42">
        <f>+IF('Detailed Assumps'!N734&lt;0,'Detailed Assumps'!N734,0)</f>
        <v>-327465.85250242753</v>
      </c>
      <c r="N32" s="42">
        <f>+IF('Detailed Assumps'!O734&lt;0,'Detailed Assumps'!O734,0)</f>
        <v>0</v>
      </c>
      <c r="O32" s="42">
        <f>+IF('Detailed Assumps'!P734&lt;0,'Detailed Assumps'!P734,0)</f>
        <v>0</v>
      </c>
      <c r="P32" s="42">
        <f>+IF('Detailed Assumps'!Q734&lt;0,'Detailed Assumps'!Q734,0)</f>
        <v>-268898.3973306882</v>
      </c>
      <c r="Q32" s="42">
        <f>+IF('Detailed Assumps'!R734&lt;0,'Detailed Assumps'!R734,0)</f>
        <v>-285319.5661506771</v>
      </c>
      <c r="R32" s="42">
        <f>+IF('Detailed Assumps'!S734&lt;0,'Detailed Assumps'!S734,0)</f>
        <v>-251027.78295010049</v>
      </c>
      <c r="S32" s="42">
        <f>+IF('Detailed Assumps'!T734&lt;0,'Detailed Assumps'!T734,0)</f>
        <v>-283719.25744212547</v>
      </c>
      <c r="T32" s="42">
        <f>+IF('Detailed Assumps'!U734&lt;0,'Detailed Assumps'!U734,0)</f>
        <v>0</v>
      </c>
      <c r="U32" s="42">
        <f>+IF('Detailed Assumps'!V734&lt;0,'Detailed Assumps'!V734,0)</f>
        <v>-363068.93654628639</v>
      </c>
      <c r="V32" s="42">
        <f>+IF('Detailed Assumps'!W734&lt;0,'Detailed Assumps'!W734,0)</f>
        <v>0</v>
      </c>
      <c r="W32" s="42">
        <f>+IF('Detailed Assumps'!X734&lt;0,'Detailed Assumps'!X734,0)</f>
        <v>-374778.57169360959</v>
      </c>
      <c r="X32" s="42">
        <f>+IF('Detailed Assumps'!Y734&lt;0,'Detailed Assumps'!Y734,0)</f>
        <v>-236569.25776572799</v>
      </c>
      <c r="Y32" s="42">
        <f>+IF('Detailed Assumps'!Z734&lt;0,'Detailed Assumps'!Z734,0)</f>
        <v>0</v>
      </c>
    </row>
    <row r="33" spans="1:25" x14ac:dyDescent="0.2">
      <c r="A33" s="58" t="s">
        <v>56</v>
      </c>
      <c r="B33" s="42">
        <f>+IF('Detailed Assumps'!C735&lt;0,'Detailed Assumps'!C735,0)</f>
        <v>0</v>
      </c>
      <c r="C33" s="42">
        <f>+IF('Detailed Assumps'!D735&lt;0,'Detailed Assumps'!D735,0)</f>
        <v>-113913.94085011503</v>
      </c>
      <c r="D33" s="42">
        <f>+IF('Detailed Assumps'!E735&lt;0,'Detailed Assumps'!E735,0)</f>
        <v>0</v>
      </c>
      <c r="E33" s="42">
        <f>+IF('Detailed Assumps'!F735&lt;0,'Detailed Assumps'!F735,0)</f>
        <v>-41124.919082497305</v>
      </c>
      <c r="F33" s="42">
        <f>+IF('Detailed Assumps'!G735&lt;0,'Detailed Assumps'!G735,0)</f>
        <v>-15915.121616912469</v>
      </c>
      <c r="G33" s="42">
        <f>+IF('Detailed Assumps'!H735&lt;0,'Detailed Assumps'!H735,0)</f>
        <v>0</v>
      </c>
      <c r="H33" s="42">
        <f>+IF('Detailed Assumps'!I735&lt;0,'Detailed Assumps'!I735,0)</f>
        <v>-45336.691177081899</v>
      </c>
      <c r="I33" s="42">
        <f>+IF('Detailed Assumps'!J735&lt;0,'Detailed Assumps'!J735,0)</f>
        <v>0</v>
      </c>
      <c r="J33" s="42">
        <f>+IF('Detailed Assumps'!K735&lt;0,'Detailed Assumps'!K735,0)</f>
        <v>-39102.131606678187</v>
      </c>
      <c r="K33" s="42">
        <f>+IF('Detailed Assumps'!L735&lt;0,'Detailed Assumps'!L735,0)</f>
        <v>0</v>
      </c>
      <c r="L33" s="42">
        <f>+IF('Detailed Assumps'!M735&lt;0,'Detailed Assumps'!M735,0)</f>
        <v>-71704.251090630161</v>
      </c>
      <c r="M33" s="42">
        <f>+IF('Detailed Assumps'!N735&lt;0,'Detailed Assumps'!N735,0)</f>
        <v>-88227.573103855801</v>
      </c>
      <c r="N33" s="42">
        <f>+IF('Detailed Assumps'!O735&lt;0,'Detailed Assumps'!O735,0)</f>
        <v>0</v>
      </c>
      <c r="O33" s="42">
        <f>+IF('Detailed Assumps'!P735&lt;0,'Detailed Assumps'!P735,0)</f>
        <v>-662748.24672731292</v>
      </c>
      <c r="P33" s="42">
        <f>+IF('Detailed Assumps'!Q735&lt;0,'Detailed Assumps'!Q735,0)</f>
        <v>0</v>
      </c>
      <c r="Q33" s="42">
        <f>+IF('Detailed Assumps'!R735&lt;0,'Detailed Assumps'!R735,0)</f>
        <v>0</v>
      </c>
      <c r="R33" s="42">
        <f>+IF('Detailed Assumps'!S735&lt;0,'Detailed Assumps'!S735,0)</f>
        <v>0</v>
      </c>
      <c r="S33" s="42">
        <f>+IF('Detailed Assumps'!T735&lt;0,'Detailed Assumps'!T735,0)</f>
        <v>-33453.343669834991</v>
      </c>
      <c r="T33" s="42">
        <f>+IF('Detailed Assumps'!U735&lt;0,'Detailed Assumps'!U735,0)</f>
        <v>-773421.67324124137</v>
      </c>
      <c r="U33" s="42">
        <f>+IF('Detailed Assumps'!V735&lt;0,'Detailed Assumps'!V735,0)</f>
        <v>0</v>
      </c>
      <c r="V33" s="42">
        <f>+IF('Detailed Assumps'!W735&lt;0,'Detailed Assumps'!W735,0)</f>
        <v>-271314.755394087</v>
      </c>
      <c r="W33" s="42">
        <f>+IF('Detailed Assumps'!X735&lt;0,'Detailed Assumps'!X735,0)</f>
        <v>0</v>
      </c>
      <c r="X33" s="42">
        <f>+IF('Detailed Assumps'!Y735&lt;0,'Detailed Assumps'!Y735,0)</f>
        <v>0</v>
      </c>
      <c r="Y33" s="42">
        <f>+IF('Detailed Assumps'!Z735&lt;0,'Detailed Assumps'!Z735,0)</f>
        <v>0</v>
      </c>
    </row>
    <row r="34" spans="1:25" x14ac:dyDescent="0.2">
      <c r="A34" s="58" t="s">
        <v>123</v>
      </c>
      <c r="B34" s="42">
        <f>+IF('Detailed Assumps'!C736&lt;0,'Detailed Assumps'!C736,0)</f>
        <v>0</v>
      </c>
      <c r="C34" s="42">
        <f>+IF('Detailed Assumps'!D736&lt;0,'Detailed Assumps'!D736,0)</f>
        <v>-15119.322602669688</v>
      </c>
      <c r="D34" s="42">
        <f>+IF('Detailed Assumps'!E736&lt;0,'Detailed Assumps'!E736,0)</f>
        <v>0</v>
      </c>
      <c r="E34" s="42">
        <f>+IF('Detailed Assumps'!F736&lt;0,'Detailed Assumps'!F736,0)</f>
        <v>-17684.173741193594</v>
      </c>
      <c r="F34" s="42">
        <f>+IF('Detailed Assumps'!G736&lt;0,'Detailed Assumps'!G736,0)</f>
        <v>-12539.975357332703</v>
      </c>
      <c r="G34" s="42">
        <f>+IF('Detailed Assumps'!H736&lt;0,'Detailed Assumps'!H736,0)</f>
        <v>0</v>
      </c>
      <c r="H34" s="42">
        <f>+IF('Detailed Assumps'!I736&lt;0,'Detailed Assumps'!I736,0)</f>
        <v>-23499.708441587994</v>
      </c>
      <c r="I34" s="42">
        <f>+IF('Detailed Assumps'!J736&lt;0,'Detailed Assumps'!J736,0)</f>
        <v>0</v>
      </c>
      <c r="J34" s="42">
        <f>+IF('Detailed Assumps'!K736&lt;0,'Detailed Assumps'!K736,0)</f>
        <v>-12975.241083667786</v>
      </c>
      <c r="K34" s="42">
        <f>+IF('Detailed Assumps'!L736&lt;0,'Detailed Assumps'!L736,0)</f>
        <v>-6210.0099113195492</v>
      </c>
      <c r="L34" s="42">
        <f>+IF('Detailed Assumps'!M736&lt;0,'Detailed Assumps'!M736,0)</f>
        <v>-36460.430457606097</v>
      </c>
      <c r="M34" s="42">
        <f>+IF('Detailed Assumps'!N736&lt;0,'Detailed Assumps'!N736,0)</f>
        <v>-41510.747375196246</v>
      </c>
      <c r="N34" s="42">
        <f>+IF('Detailed Assumps'!O736&lt;0,'Detailed Assumps'!O736,0)</f>
        <v>0</v>
      </c>
      <c r="O34" s="42">
        <f>+IF('Detailed Assumps'!P736&lt;0,'Detailed Assumps'!P736,0)</f>
        <v>-52077.949700955141</v>
      </c>
      <c r="P34" s="42">
        <f>+IF('Detailed Assumps'!Q736&lt;0,'Detailed Assumps'!Q736,0)</f>
        <v>-17018.810271509963</v>
      </c>
      <c r="Q34" s="42">
        <f>+IF('Detailed Assumps'!R736&lt;0,'Detailed Assumps'!R736,0)</f>
        <v>-14841.543557934121</v>
      </c>
      <c r="R34" s="42">
        <f>+IF('Detailed Assumps'!S736&lt;0,'Detailed Assumps'!S736,0)</f>
        <v>-35020.655596780387</v>
      </c>
      <c r="S34" s="42">
        <f>+IF('Detailed Assumps'!T736&lt;0,'Detailed Assumps'!T736,0)</f>
        <v>-48504.548260423675</v>
      </c>
      <c r="T34" s="42">
        <f>+IF('Detailed Assumps'!U736&lt;0,'Detailed Assumps'!U736,0)</f>
        <v>0</v>
      </c>
      <c r="U34" s="42">
        <f>+IF('Detailed Assumps'!V736&lt;0,'Detailed Assumps'!V736,0)</f>
        <v>-86224.315840618685</v>
      </c>
      <c r="V34" s="42">
        <f>+IF('Detailed Assumps'!W736&lt;0,'Detailed Assumps'!W736,0)</f>
        <v>-31254.761370835553</v>
      </c>
      <c r="W34" s="42">
        <f>+IF('Detailed Assumps'!X736&lt;0,'Detailed Assumps'!X736,0)</f>
        <v>-29952.91369930745</v>
      </c>
      <c r="X34" s="42">
        <f>+IF('Detailed Assumps'!Y736&lt;0,'Detailed Assumps'!Y736,0)</f>
        <v>-209008.64845080802</v>
      </c>
      <c r="Y34" s="42">
        <f>+IF('Detailed Assumps'!Z736&lt;0,'Detailed Assumps'!Z736,0)</f>
        <v>0</v>
      </c>
    </row>
    <row r="35" spans="1:25" x14ac:dyDescent="0.2">
      <c r="A35" s="58" t="s">
        <v>124</v>
      </c>
      <c r="B35" s="42">
        <f>+IF('Detailed Assumps'!C737&lt;0,'Detailed Assumps'!C737,0)</f>
        <v>0</v>
      </c>
      <c r="C35" s="42">
        <f>+IF('Detailed Assumps'!D737&lt;0,'Detailed Assumps'!D737,0)</f>
        <v>0</v>
      </c>
      <c r="D35" s="42">
        <f>+IF('Detailed Assumps'!E737&lt;0,'Detailed Assumps'!E737,0)</f>
        <v>-18729.721959328326</v>
      </c>
      <c r="E35" s="42">
        <f>+IF('Detailed Assumps'!F737&lt;0,'Detailed Assumps'!F737,0)</f>
        <v>-58523.769768641971</v>
      </c>
      <c r="F35" s="42">
        <f>+IF('Detailed Assumps'!G737&lt;0,'Detailed Assumps'!G737,0)</f>
        <v>-46057.84883065035</v>
      </c>
      <c r="G35" s="42">
        <f>+IF('Detailed Assumps'!H737&lt;0,'Detailed Assumps'!H737,0)</f>
        <v>-95257.437086656471</v>
      </c>
      <c r="H35" s="42">
        <f>+IF('Detailed Assumps'!I737&lt;0,'Detailed Assumps'!I737,0)</f>
        <v>-93186.342498579703</v>
      </c>
      <c r="I35" s="42">
        <f>+IF('Detailed Assumps'!J737&lt;0,'Detailed Assumps'!J737,0)</f>
        <v>-55039.772611322653</v>
      </c>
      <c r="J35" s="42">
        <f>+IF('Detailed Assumps'!K737&lt;0,'Detailed Assumps'!K737,0)</f>
        <v>-55214.553395863375</v>
      </c>
      <c r="K35" s="42">
        <f>+IF('Detailed Assumps'!L737&lt;0,'Detailed Assumps'!L737,0)</f>
        <v>-37415.60283428261</v>
      </c>
      <c r="L35" s="42">
        <f>+IF('Detailed Assumps'!M737&lt;0,'Detailed Assumps'!M737,0)</f>
        <v>-95195.479650269437</v>
      </c>
      <c r="M35" s="42">
        <f>+IF('Detailed Assumps'!N737&lt;0,'Detailed Assumps'!N737,0)</f>
        <v>-142267.91443749491</v>
      </c>
      <c r="N35" s="42">
        <f>+IF('Detailed Assumps'!O737&lt;0,'Detailed Assumps'!O737,0)</f>
        <v>-14269.640638984403</v>
      </c>
      <c r="O35" s="42">
        <f>+IF('Detailed Assumps'!P737&lt;0,'Detailed Assumps'!P737,0)</f>
        <v>0</v>
      </c>
      <c r="P35" s="42">
        <f>+IF('Detailed Assumps'!Q737&lt;0,'Detailed Assumps'!Q737,0)</f>
        <v>-135868.79589210474</v>
      </c>
      <c r="Q35" s="42">
        <f>+IF('Detailed Assumps'!R737&lt;0,'Detailed Assumps'!R737,0)</f>
        <v>-104374.65135661348</v>
      </c>
      <c r="R35" s="42">
        <f>+IF('Detailed Assumps'!S737&lt;0,'Detailed Assumps'!S737,0)</f>
        <v>-137906.01720205706</v>
      </c>
      <c r="S35" s="42">
        <f>+IF('Detailed Assumps'!T737&lt;0,'Detailed Assumps'!T737,0)</f>
        <v>-143071.56726982887</v>
      </c>
      <c r="T35" s="42">
        <f>+IF('Detailed Assumps'!U737&lt;0,'Detailed Assumps'!U737,0)</f>
        <v>0</v>
      </c>
      <c r="U35" s="42">
        <f>+IF('Detailed Assumps'!V737&lt;0,'Detailed Assumps'!V737,0)</f>
        <v>-277743.57738928171</v>
      </c>
      <c r="V35" s="42">
        <f>+IF('Detailed Assumps'!W737&lt;0,'Detailed Assumps'!W737,0)</f>
        <v>0</v>
      </c>
      <c r="W35" s="42">
        <f>+IF('Detailed Assumps'!X737&lt;0,'Detailed Assumps'!X737,0)</f>
        <v>-141518.83445981456</v>
      </c>
      <c r="X35" s="42">
        <f>+IF('Detailed Assumps'!Y737&lt;0,'Detailed Assumps'!Y737,0)</f>
        <v>-710628.60348941816</v>
      </c>
      <c r="Y35" s="42">
        <f>+IF('Detailed Assumps'!Z737&lt;0,'Detailed Assumps'!Z737,0)</f>
        <v>-10025.926745023065</v>
      </c>
    </row>
    <row r="36" spans="1:25" x14ac:dyDescent="0.2">
      <c r="A36" t="s">
        <v>37</v>
      </c>
      <c r="B36" s="42">
        <f t="shared" ref="B36:Y36" si="6">+SUM(B31:B35)</f>
        <v>-1815.7962946461464</v>
      </c>
      <c r="C36" s="42">
        <f t="shared" si="6"/>
        <v>-174721.68544469969</v>
      </c>
      <c r="D36" s="42">
        <f t="shared" si="6"/>
        <v>-112446.28726354158</v>
      </c>
      <c r="E36" s="42">
        <f t="shared" si="6"/>
        <v>-315237.78146203898</v>
      </c>
      <c r="F36" s="42">
        <f t="shared" si="6"/>
        <v>-240685.76089223591</v>
      </c>
      <c r="G36" s="42">
        <f t="shared" si="6"/>
        <v>-519576.82609110622</v>
      </c>
      <c r="H36" s="42">
        <f t="shared" si="6"/>
        <v>-543083.08632098418</v>
      </c>
      <c r="I36" s="42">
        <f t="shared" si="6"/>
        <v>-225298.76011960465</v>
      </c>
      <c r="J36" s="42">
        <f t="shared" si="6"/>
        <v>-354651.62814051966</v>
      </c>
      <c r="K36" s="42">
        <f t="shared" si="6"/>
        <v>-223561.68939749693</v>
      </c>
      <c r="L36" s="42">
        <f t="shared" si="6"/>
        <v>-519034.48033180536</v>
      </c>
      <c r="M36" s="42">
        <f t="shared" si="6"/>
        <v>-698758.45264921559</v>
      </c>
      <c r="N36" s="42">
        <f t="shared" si="6"/>
        <v>-14269.640638984403</v>
      </c>
      <c r="O36" s="42">
        <f t="shared" si="6"/>
        <v>-998548.52110766864</v>
      </c>
      <c r="P36" s="42">
        <f t="shared" si="6"/>
        <v>-421786.00349430292</v>
      </c>
      <c r="Q36" s="42">
        <f t="shared" si="6"/>
        <v>-423644.35743853392</v>
      </c>
      <c r="R36" s="42">
        <f t="shared" si="6"/>
        <v>-423954.45574893791</v>
      </c>
      <c r="S36" s="42">
        <f t="shared" si="6"/>
        <v>-508748.71664221305</v>
      </c>
      <c r="T36" s="42">
        <f t="shared" si="6"/>
        <v>-2276128.97659689</v>
      </c>
      <c r="U36" s="42">
        <f t="shared" si="6"/>
        <v>-727036.82977618673</v>
      </c>
      <c r="V36" s="42">
        <f t="shared" si="6"/>
        <v>-620816.05601892434</v>
      </c>
      <c r="W36" s="42">
        <f t="shared" si="6"/>
        <v>-546250.31985273166</v>
      </c>
      <c r="X36" s="42">
        <f t="shared" si="6"/>
        <v>-1156206.5097059542</v>
      </c>
      <c r="Y36" s="42">
        <f t="shared" si="6"/>
        <v>-10025.926745023065</v>
      </c>
    </row>
    <row r="37" spans="1:25" x14ac:dyDescent="0.2">
      <c r="B37" s="42"/>
      <c r="C37" s="42"/>
      <c r="D37" s="42"/>
      <c r="E37" s="42"/>
      <c r="F37" s="42"/>
      <c r="G37" s="42"/>
      <c r="H37" s="42"/>
      <c r="I37" s="42"/>
      <c r="J37" s="42"/>
      <c r="K37" s="42"/>
      <c r="L37" s="42"/>
      <c r="M37" s="42"/>
      <c r="N37" s="42"/>
      <c r="O37" s="42"/>
      <c r="P37" s="42"/>
      <c r="Q37" s="42"/>
      <c r="R37" s="42"/>
      <c r="S37" s="42"/>
      <c r="T37" s="42"/>
      <c r="U37" s="42"/>
      <c r="V37" s="42"/>
      <c r="W37" s="42"/>
      <c r="X37" s="42"/>
      <c r="Y37" s="42"/>
    </row>
    <row r="39" spans="1:25" x14ac:dyDescent="0.2">
      <c r="A39" t="s">
        <v>90</v>
      </c>
      <c r="B39" s="43">
        <f t="shared" ref="B39:Y39" si="7">+B18</f>
        <v>-13.704557634703461</v>
      </c>
      <c r="C39" s="43">
        <f t="shared" si="7"/>
        <v>-1532.0691550673425</v>
      </c>
      <c r="D39" s="43">
        <f t="shared" si="7"/>
        <v>-4626.8204271137538</v>
      </c>
      <c r="E39" s="43">
        <f t="shared" si="7"/>
        <v>-11625.625379122197</v>
      </c>
      <c r="F39" s="43">
        <f t="shared" si="7"/>
        <v>-8953.1901799193274</v>
      </c>
      <c r="G39" s="43">
        <f t="shared" si="7"/>
        <v>-13015.610363436053</v>
      </c>
      <c r="H39" s="43">
        <f t="shared" si="7"/>
        <v>-9439.7026673883593</v>
      </c>
      <c r="I39" s="43">
        <f t="shared" si="7"/>
        <v>-4839.657112319539</v>
      </c>
      <c r="J39" s="43">
        <f t="shared" si="7"/>
        <v>-9334.3890030856473</v>
      </c>
      <c r="K39" s="43">
        <f t="shared" si="7"/>
        <v>-5761.6732852807017</v>
      </c>
      <c r="L39" s="43">
        <f t="shared" si="7"/>
        <v>-9955.4834601085895</v>
      </c>
      <c r="M39" s="43">
        <f t="shared" si="7"/>
        <v>-8773.4454232424523</v>
      </c>
      <c r="N39" s="43">
        <f t="shared" si="7"/>
        <v>-160.39842131979259</v>
      </c>
      <c r="O39" s="43">
        <f t="shared" si="7"/>
        <v>-12502.96708057431</v>
      </c>
      <c r="P39" s="43">
        <f t="shared" si="7"/>
        <v>-7945.8987877841755</v>
      </c>
      <c r="Q39" s="43">
        <f t="shared" si="7"/>
        <v>-9344.4684602036468</v>
      </c>
      <c r="R39" s="43">
        <f t="shared" si="7"/>
        <v>-10621.317175992572</v>
      </c>
      <c r="S39" s="43">
        <f t="shared" si="7"/>
        <v>-10642.345658229902</v>
      </c>
      <c r="T39" s="43">
        <f t="shared" si="7"/>
        <v>-34636.476410909781</v>
      </c>
      <c r="U39" s="43">
        <f t="shared" si="7"/>
        <v>-14835.664065039498</v>
      </c>
      <c r="V39" s="43">
        <f t="shared" si="7"/>
        <v>-15034.012240933196</v>
      </c>
      <c r="W39" s="43">
        <f t="shared" si="7"/>
        <v>-12898.978162271478</v>
      </c>
      <c r="X39" s="43">
        <f t="shared" si="7"/>
        <v>-21090.579141216029</v>
      </c>
      <c r="Y39" s="43">
        <f t="shared" si="7"/>
        <v>-127.38947666011988</v>
      </c>
    </row>
    <row r="40" spans="1:25" x14ac:dyDescent="0.2">
      <c r="A40" t="s">
        <v>91</v>
      </c>
      <c r="B40" s="43">
        <f t="shared" ref="B40:Y40" si="8">+B10</f>
        <v>4443.1985499705943</v>
      </c>
      <c r="C40" s="43">
        <f t="shared" si="8"/>
        <v>1760.0007470535411</v>
      </c>
      <c r="D40" s="43">
        <f t="shared" si="8"/>
        <v>2975.9258489889353</v>
      </c>
      <c r="E40" s="43">
        <f t="shared" si="8"/>
        <v>0</v>
      </c>
      <c r="F40" s="43">
        <f t="shared" si="8"/>
        <v>0</v>
      </c>
      <c r="G40" s="43">
        <f t="shared" si="8"/>
        <v>12143.580589154259</v>
      </c>
      <c r="H40" s="43">
        <f t="shared" si="8"/>
        <v>0</v>
      </c>
      <c r="I40" s="43">
        <f t="shared" si="8"/>
        <v>2719.1905692910436</v>
      </c>
      <c r="J40" s="43">
        <f t="shared" si="8"/>
        <v>0</v>
      </c>
      <c r="K40" s="43">
        <f t="shared" si="8"/>
        <v>386.21755066119511</v>
      </c>
      <c r="L40" s="43">
        <f t="shared" si="8"/>
        <v>0</v>
      </c>
      <c r="M40" s="43">
        <f t="shared" si="8"/>
        <v>0</v>
      </c>
      <c r="N40" s="43">
        <f t="shared" si="8"/>
        <v>2566.5083940295822</v>
      </c>
      <c r="O40" s="43">
        <f t="shared" si="8"/>
        <v>8636.425281815269</v>
      </c>
      <c r="P40" s="43">
        <f t="shared" si="8"/>
        <v>876.06292265617731</v>
      </c>
      <c r="Q40" s="43">
        <f t="shared" si="8"/>
        <v>1115.6832171956394</v>
      </c>
      <c r="R40" s="43">
        <f t="shared" si="8"/>
        <v>1329.2854937725738</v>
      </c>
      <c r="S40" s="43">
        <f t="shared" si="8"/>
        <v>13.081444579904241</v>
      </c>
      <c r="T40" s="43">
        <f t="shared" si="8"/>
        <v>26187.807169925782</v>
      </c>
      <c r="U40" s="43">
        <f t="shared" si="8"/>
        <v>1190.2740136474958</v>
      </c>
      <c r="V40" s="43">
        <f t="shared" si="8"/>
        <v>11009.470983397201</v>
      </c>
      <c r="W40" s="43">
        <f t="shared" si="8"/>
        <v>3154.7695570474807</v>
      </c>
      <c r="X40" s="43">
        <f t="shared" si="8"/>
        <v>12390.642451604024</v>
      </c>
      <c r="Y40" s="43">
        <f t="shared" si="8"/>
        <v>3217.997538266126</v>
      </c>
    </row>
    <row r="41" spans="1:25" x14ac:dyDescent="0.2">
      <c r="A41" t="s">
        <v>94</v>
      </c>
      <c r="B41" s="43"/>
      <c r="C41" s="43"/>
      <c r="D41" s="43"/>
      <c r="E41" s="43"/>
      <c r="F41" s="43"/>
      <c r="G41" s="43"/>
      <c r="H41" s="43"/>
      <c r="I41" s="43"/>
      <c r="J41" s="43"/>
      <c r="K41" s="43"/>
      <c r="L41" s="43"/>
      <c r="M41" s="43"/>
      <c r="N41" s="43"/>
      <c r="O41" s="43"/>
      <c r="P41" s="43"/>
      <c r="Q41" s="43"/>
      <c r="R41" s="43"/>
      <c r="S41" s="43"/>
      <c r="T41" s="43"/>
      <c r="U41" s="43"/>
      <c r="V41" s="43"/>
      <c r="W41" s="43"/>
      <c r="X41" s="43"/>
      <c r="Y41" s="43"/>
    </row>
    <row r="43" spans="1:25" x14ac:dyDescent="0.2">
      <c r="A43" t="s">
        <v>92</v>
      </c>
      <c r="B43" s="42">
        <f t="shared" ref="B43:Y43" si="9">+B36</f>
        <v>-1815.7962946461464</v>
      </c>
      <c r="C43" s="42">
        <f t="shared" si="9"/>
        <v>-174721.68544469969</v>
      </c>
      <c r="D43" s="42">
        <f t="shared" si="9"/>
        <v>-112446.28726354158</v>
      </c>
      <c r="E43" s="42">
        <f t="shared" si="9"/>
        <v>-315237.78146203898</v>
      </c>
      <c r="F43" s="42">
        <f t="shared" si="9"/>
        <v>-240685.76089223591</v>
      </c>
      <c r="G43" s="42">
        <f t="shared" si="9"/>
        <v>-519576.82609110622</v>
      </c>
      <c r="H43" s="42">
        <f t="shared" si="9"/>
        <v>-543083.08632098418</v>
      </c>
      <c r="I43" s="42">
        <f t="shared" si="9"/>
        <v>-225298.76011960465</v>
      </c>
      <c r="J43" s="42">
        <f t="shared" si="9"/>
        <v>-354651.62814051966</v>
      </c>
      <c r="K43" s="42">
        <f t="shared" si="9"/>
        <v>-223561.68939749693</v>
      </c>
      <c r="L43" s="42">
        <f t="shared" si="9"/>
        <v>-519034.48033180536</v>
      </c>
      <c r="M43" s="42">
        <f t="shared" si="9"/>
        <v>-698758.45264921559</v>
      </c>
      <c r="N43" s="42">
        <f t="shared" si="9"/>
        <v>-14269.640638984403</v>
      </c>
      <c r="O43" s="42">
        <f t="shared" si="9"/>
        <v>-998548.52110766864</v>
      </c>
      <c r="P43" s="42">
        <f t="shared" si="9"/>
        <v>-421786.00349430292</v>
      </c>
      <c r="Q43" s="42">
        <f t="shared" si="9"/>
        <v>-423644.35743853392</v>
      </c>
      <c r="R43" s="42">
        <f t="shared" si="9"/>
        <v>-423954.45574893791</v>
      </c>
      <c r="S43" s="42">
        <f t="shared" si="9"/>
        <v>-508748.71664221305</v>
      </c>
      <c r="T43" s="42">
        <f t="shared" si="9"/>
        <v>-2276128.97659689</v>
      </c>
      <c r="U43" s="42">
        <f t="shared" si="9"/>
        <v>-727036.82977618673</v>
      </c>
      <c r="V43" s="42">
        <f t="shared" si="9"/>
        <v>-620816.05601892434</v>
      </c>
      <c r="W43" s="42">
        <f t="shared" si="9"/>
        <v>-546250.31985273166</v>
      </c>
      <c r="X43" s="42">
        <f t="shared" si="9"/>
        <v>-1156206.5097059542</v>
      </c>
      <c r="Y43" s="42">
        <f t="shared" si="9"/>
        <v>-10025.926745023065</v>
      </c>
    </row>
    <row r="44" spans="1:25" x14ac:dyDescent="0.2">
      <c r="A44" t="s">
        <v>93</v>
      </c>
      <c r="B44" s="42">
        <f t="shared" ref="B44:Y44" si="10">+B27</f>
        <v>546007.43331938703</v>
      </c>
      <c r="C44" s="42">
        <f t="shared" si="10"/>
        <v>198541.40460711383</v>
      </c>
      <c r="D44" s="42">
        <f t="shared" si="10"/>
        <v>73563.712868117756</v>
      </c>
      <c r="E44" s="42">
        <f t="shared" si="10"/>
        <v>0</v>
      </c>
      <c r="F44" s="42">
        <f t="shared" si="10"/>
        <v>0</v>
      </c>
      <c r="G44" s="42">
        <f t="shared" si="10"/>
        <v>468237.87252313684</v>
      </c>
      <c r="H44" s="42">
        <f t="shared" si="10"/>
        <v>0</v>
      </c>
      <c r="I44" s="42">
        <f t="shared" si="10"/>
        <v>124561.48517257941</v>
      </c>
      <c r="J44" s="42">
        <f t="shared" si="10"/>
        <v>0</v>
      </c>
      <c r="K44" s="42">
        <f t="shared" si="10"/>
        <v>12794.985215713692</v>
      </c>
      <c r="L44" s="42">
        <f t="shared" si="10"/>
        <v>0</v>
      </c>
      <c r="M44" s="42">
        <f t="shared" si="10"/>
        <v>0</v>
      </c>
      <c r="N44" s="42">
        <f t="shared" si="10"/>
        <v>231113.26472166608</v>
      </c>
      <c r="O44" s="42">
        <f t="shared" si="10"/>
        <v>738555.53837490361</v>
      </c>
      <c r="P44" s="42">
        <f t="shared" si="10"/>
        <v>50350.32883650127</v>
      </c>
      <c r="Q44" s="42">
        <f t="shared" si="10"/>
        <v>38205.805016748396</v>
      </c>
      <c r="R44" s="42">
        <f t="shared" si="10"/>
        <v>43015.633278955371</v>
      </c>
      <c r="S44" s="42">
        <f t="shared" si="10"/>
        <v>885.71876454143853</v>
      </c>
      <c r="T44" s="42">
        <f t="shared" si="10"/>
        <v>1457267.7923784538</v>
      </c>
      <c r="U44" s="42">
        <f t="shared" si="10"/>
        <v>74477.634827882517</v>
      </c>
      <c r="V44" s="42">
        <f t="shared" si="10"/>
        <v>479906.24868387345</v>
      </c>
      <c r="W44" s="42">
        <f t="shared" si="10"/>
        <v>135107.44178604273</v>
      </c>
      <c r="X44" s="42">
        <f t="shared" si="10"/>
        <v>652032.71394650766</v>
      </c>
      <c r="Y44" s="42">
        <f t="shared" si="10"/>
        <v>239988.08337301199</v>
      </c>
    </row>
    <row r="47" spans="1:25" x14ac:dyDescent="0.2">
      <c r="A47" s="54" t="s">
        <v>521</v>
      </c>
    </row>
    <row r="48" spans="1:25" x14ac:dyDescent="0.2">
      <c r="A48" t="s">
        <v>518</v>
      </c>
      <c r="B48" s="192">
        <v>2500</v>
      </c>
      <c r="C48" s="192">
        <v>2500</v>
      </c>
      <c r="D48" s="192">
        <v>2500</v>
      </c>
      <c r="E48" s="192">
        <v>2500</v>
      </c>
      <c r="F48" s="192">
        <v>2500</v>
      </c>
      <c r="G48" s="192">
        <v>2500</v>
      </c>
      <c r="H48" s="192">
        <v>2500</v>
      </c>
      <c r="I48" s="192">
        <v>2500</v>
      </c>
      <c r="J48" s="192">
        <v>2500</v>
      </c>
      <c r="K48" s="192">
        <v>2500</v>
      </c>
      <c r="L48" s="192">
        <v>2500</v>
      </c>
      <c r="M48" s="192">
        <v>2500</v>
      </c>
      <c r="N48" s="192">
        <v>2500</v>
      </c>
      <c r="O48" s="192">
        <v>2500</v>
      </c>
      <c r="P48" s="192">
        <v>2500</v>
      </c>
      <c r="Q48" s="192">
        <v>2500</v>
      </c>
      <c r="R48" s="192">
        <v>2500</v>
      </c>
      <c r="S48" s="192">
        <v>2500</v>
      </c>
      <c r="T48" s="192">
        <v>2500</v>
      </c>
      <c r="U48" s="192">
        <v>2500</v>
      </c>
      <c r="V48" s="192">
        <v>2500</v>
      </c>
      <c r="W48" s="192">
        <v>2500</v>
      </c>
      <c r="X48" s="192">
        <v>2500</v>
      </c>
      <c r="Y48" s="192">
        <v>2500</v>
      </c>
    </row>
    <row r="49" spans="1:25" x14ac:dyDescent="0.2">
      <c r="A49" s="54" t="s">
        <v>520</v>
      </c>
      <c r="B49" s="10">
        <f t="shared" ref="B49:Y49" si="11">IF(B39&lt;0,B43/B39,B44/B40)</f>
        <v>132.4957976059062</v>
      </c>
      <c r="C49" s="10">
        <f t="shared" si="11"/>
        <v>114.04294960629225</v>
      </c>
      <c r="D49" s="10">
        <f t="shared" si="11"/>
        <v>24.303144899376708</v>
      </c>
      <c r="E49" s="10">
        <f t="shared" si="11"/>
        <v>27.115769791460568</v>
      </c>
      <c r="F49" s="10">
        <f t="shared" si="11"/>
        <v>26.882681597902192</v>
      </c>
      <c r="G49" s="10">
        <f t="shared" si="11"/>
        <v>39.919512922015642</v>
      </c>
      <c r="H49" s="10">
        <f t="shared" si="11"/>
        <v>57.531800042515172</v>
      </c>
      <c r="I49" s="10">
        <f t="shared" si="11"/>
        <v>46.552628603811151</v>
      </c>
      <c r="J49" s="10">
        <f t="shared" si="11"/>
        <v>37.994091313666409</v>
      </c>
      <c r="K49" s="10">
        <f t="shared" si="11"/>
        <v>38.801521420631069</v>
      </c>
      <c r="L49" s="10">
        <f t="shared" si="11"/>
        <v>52.135537406251089</v>
      </c>
      <c r="M49" s="10">
        <f t="shared" si="11"/>
        <v>79.644702729679878</v>
      </c>
      <c r="N49" s="10">
        <f t="shared" si="11"/>
        <v>88.963722470400526</v>
      </c>
      <c r="O49" s="10">
        <f t="shared" si="11"/>
        <v>79.864924435344619</v>
      </c>
      <c r="P49" s="10">
        <f t="shared" si="11"/>
        <v>53.08222704053896</v>
      </c>
      <c r="Q49" s="10">
        <f t="shared" si="11"/>
        <v>45.33637833363732</v>
      </c>
      <c r="R49" s="10">
        <f t="shared" si="11"/>
        <v>39.915431271293244</v>
      </c>
      <c r="S49" s="10">
        <f t="shared" si="11"/>
        <v>47.804190258450141</v>
      </c>
      <c r="T49" s="10">
        <f t="shared" si="11"/>
        <v>65.714795858390374</v>
      </c>
      <c r="U49" s="10">
        <f t="shared" si="11"/>
        <v>49.00601864458914</v>
      </c>
      <c r="V49" s="10">
        <f t="shared" si="11"/>
        <v>41.29410340166045</v>
      </c>
      <c r="W49" s="10">
        <f t="shared" si="11"/>
        <v>42.348340541460246</v>
      </c>
      <c r="X49" s="10">
        <f t="shared" si="11"/>
        <v>54.82099386481287</v>
      </c>
      <c r="Y49" s="10">
        <f t="shared" si="11"/>
        <v>78.702943193436852</v>
      </c>
    </row>
    <row r="50" spans="1:25" x14ac:dyDescent="0.2">
      <c r="A50" s="54" t="s">
        <v>519</v>
      </c>
      <c r="B50" s="16">
        <f t="shared" ref="B50:Y50" si="12">+B49*B48</f>
        <v>331239.49401476549</v>
      </c>
      <c r="C50" s="16">
        <f t="shared" si="12"/>
        <v>285107.37401573063</v>
      </c>
      <c r="D50" s="16">
        <f t="shared" si="12"/>
        <v>60757.862248441772</v>
      </c>
      <c r="E50" s="16">
        <f t="shared" si="12"/>
        <v>67789.424478651417</v>
      </c>
      <c r="F50" s="16">
        <f t="shared" si="12"/>
        <v>67206.703994755473</v>
      </c>
      <c r="G50" s="16">
        <f t="shared" si="12"/>
        <v>99798.782305039102</v>
      </c>
      <c r="H50" s="16">
        <f t="shared" si="12"/>
        <v>143829.50010628792</v>
      </c>
      <c r="I50" s="16">
        <f>+I49*I48</f>
        <v>116381.57150952787</v>
      </c>
      <c r="J50" s="16">
        <f t="shared" si="12"/>
        <v>94985.22828416602</v>
      </c>
      <c r="K50" s="16">
        <f t="shared" si="12"/>
        <v>97003.803551577672</v>
      </c>
      <c r="L50" s="16">
        <f t="shared" si="12"/>
        <v>130338.84351562773</v>
      </c>
      <c r="M50" s="16">
        <f t="shared" si="12"/>
        <v>199111.75682419969</v>
      </c>
      <c r="N50" s="16">
        <f t="shared" si="12"/>
        <v>222409.30617600132</v>
      </c>
      <c r="O50" s="16">
        <f t="shared" si="12"/>
        <v>199662.31108836154</v>
      </c>
      <c r="P50" s="16">
        <f t="shared" si="12"/>
        <v>132705.5676013474</v>
      </c>
      <c r="Q50" s="16">
        <f t="shared" si="12"/>
        <v>113340.94583409331</v>
      </c>
      <c r="R50" s="16">
        <f t="shared" si="12"/>
        <v>99788.578178233103</v>
      </c>
      <c r="S50" s="16">
        <f t="shared" si="12"/>
        <v>119510.47564612536</v>
      </c>
      <c r="T50" s="16">
        <f t="shared" si="12"/>
        <v>164286.98964597593</v>
      </c>
      <c r="U50" s="16">
        <f t="shared" si="12"/>
        <v>122515.04661147285</v>
      </c>
      <c r="V50" s="16">
        <f t="shared" si="12"/>
        <v>103235.25850415112</v>
      </c>
      <c r="W50" s="16">
        <f t="shared" si="12"/>
        <v>105870.85135365062</v>
      </c>
      <c r="X50" s="16">
        <f t="shared" si="12"/>
        <v>137052.48466203216</v>
      </c>
      <c r="Y50" s="16">
        <f t="shared" si="12"/>
        <v>196757.35798359214</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5-Year Plan Data</vt:lpstr>
      <vt:lpstr>$</vt:lpstr>
      <vt:lpstr>MWH</vt:lpstr>
      <vt:lpstr>Detailed Assumps</vt:lpstr>
      <vt:lpstr>ACCT 447 Est</vt:lpstr>
      <vt:lpstr>'Detailed Assumps'!Print_Area</vt:lpstr>
      <vt:lpstr>'$'!Print_Titles</vt:lpstr>
      <vt:lpstr>MWH!Print_Titles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1997 15-1-V</dc:title>
  <dc:subject>PRODUCTION DETAILS</dc:subject>
  <dc:creator>Citizens Utilities Co.</dc:creator>
  <cp:lastModifiedBy>Brown, Victoria</cp:lastModifiedBy>
  <cp:lastPrinted>2018-03-05T14:19:11Z</cp:lastPrinted>
  <dcterms:created xsi:type="dcterms:W3CDTF">1998-11-05T19:30:33Z</dcterms:created>
  <dcterms:modified xsi:type="dcterms:W3CDTF">2024-11-15T18:24:47Z</dcterms:modified>
</cp:coreProperties>
</file>