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/>
  <workbookPr/>
  <mc:AlternateContent xmlns:mc="http://schemas.openxmlformats.org/markup-compatibility/2006">
    <mc:Choice Requires="x15">
      <x15ac:absPath xmlns:x15ac="http://schemas.microsoft.com/office/spreadsheetml/2010/11/ac" url="V:\Rate Case\2025 Rate Case (Filed in 2024)\"/>
    </mc:Choice>
  </mc:AlternateContent>
  <xr:revisionPtr revIDLastSave="0" documentId="13_ncr:1_{8FABD82B-2329-4DE3-B4C1-961DAA9A327C}" xr6:coauthVersionLast="36" xr6:coauthVersionMax="36" xr10:uidLastSave="{00000000-0000-0000-0000-000000000000}"/>
  <bookViews>
    <workbookView xWindow="0" yWindow="0" windowWidth="23040" windowHeight="8496" tabRatio="840" xr2:uid="{22B46203-3FFB-4E28-BE56-AAFA49ED8C21}"/>
  </bookViews>
  <sheets>
    <sheet name="S1 VEC Master Summary" sheetId="1" r:id="rId1"/>
    <sheet name="S1-1.5 TIER" sheetId="30" state="hidden" r:id="rId2"/>
    <sheet name="S1A Chart of Major Items" sheetId="42" r:id="rId3"/>
    <sheet name="S1B Major Items of Change" sheetId="36" r:id="rId4"/>
    <sheet name="S2 Power Supply" sheetId="3" r:id="rId5"/>
    <sheet name="S3 Transmission" sheetId="4" r:id="rId6"/>
    <sheet name="S4 Dist Ops &amp; Mtce" sheetId="5" r:id="rId7"/>
    <sheet name="S5 Customer Accounts" sheetId="6" r:id="rId8"/>
    <sheet name="S6 Admin &amp; Gen" sheetId="10" r:id="rId9"/>
    <sheet name="S6A Total Payroll by Function" sheetId="8" r:id="rId10"/>
    <sheet name="S6B Total Payroll + Benefits" sheetId="37" r:id="rId11"/>
    <sheet name="S7 - Insurance" sheetId="39" r:id="rId12"/>
    <sheet name="S7A Information Technology" sheetId="47" r:id="rId13"/>
    <sheet name="S7B Transportation" sheetId="49" r:id="rId14"/>
    <sheet name="S8 Deprec &amp; Amort Exp " sheetId="13" r:id="rId15"/>
    <sheet name="S9 Interest Exp" sheetId="23" r:id="rId16"/>
    <sheet name="S10 Int, Div, Capital Income" sheetId="18" r:id="rId17"/>
    <sheet name="S11 Revenues &amp; Non-Op Margins" sheetId="27" r:id="rId18"/>
    <sheet name="S12 Chart of Accts Trial Bal." sheetId="2" r:id="rId19"/>
    <sheet name="S14 Financial Ratio Analysis" sheetId="48" r:id="rId20"/>
  </sheets>
  <externalReferences>
    <externalReference r:id="rId21"/>
    <externalReference r:id="rId22"/>
  </externalReferences>
  <definedNames>
    <definedName name="_xlnm._FilterDatabase" localSheetId="18" hidden="1">'S12 Chart of Accts Trial Bal.'!$A$5:$C$290</definedName>
    <definedName name="INT" localSheetId="13">#REF!</definedName>
    <definedName name="INT">#REF!</definedName>
    <definedName name="JANDATA">'[1]01 JAN DATA'!$1:$1048576</definedName>
    <definedName name="_xlnm.Print_Area" localSheetId="0">'S1 VEC Master Summary'!$A$1:$G$41</definedName>
    <definedName name="_xlnm.Print_Area" localSheetId="16">'S10 Int, Div, Capital Income'!$A$1:$I$33</definedName>
    <definedName name="_xlnm.Print_Area" localSheetId="17">'S11 Revenues &amp; Non-Op Margins'!$A$1:$F$35</definedName>
    <definedName name="_xlnm.Print_Area" localSheetId="1">'S1-1.5 TIER'!$A$1:$F$47</definedName>
    <definedName name="_xlnm.Print_Area" localSheetId="18">'S12 Chart of Accts Trial Bal.'!$A$1:$C$19</definedName>
    <definedName name="_xlnm.Print_Area" localSheetId="19">'S14 Financial Ratio Analysis'!$A$1:$G$43</definedName>
    <definedName name="_xlnm.Print_Area" localSheetId="3">'S1B Major Items of Change'!$A$1:$S$37</definedName>
    <definedName name="_xlnm.Print_Area" localSheetId="4">'S2 Power Supply'!$A$1:$K$95</definedName>
    <definedName name="_xlnm.Print_Area" localSheetId="5">'S3 Transmission'!$A$1:$G$60</definedName>
    <definedName name="_xlnm.Print_Area" localSheetId="6">'S4 Dist Ops &amp; Mtce'!$A$1:$L$77</definedName>
    <definedName name="_xlnm.Print_Area" localSheetId="7">'S5 Customer Accounts'!$A$1:$J$25</definedName>
    <definedName name="_xlnm.Print_Area" localSheetId="8">'S6 Admin &amp; Gen'!$A$1:$J$50</definedName>
    <definedName name="_xlnm.Print_Area" localSheetId="9">'S6A Total Payroll by Function'!$A$1:$F$19</definedName>
    <definedName name="_xlnm.Print_Area" localSheetId="10">'S6B Total Payroll + Benefits'!$A$1:$F$35</definedName>
    <definedName name="_xlnm.Print_Area" localSheetId="11">'S7 - Insurance'!$A$1:$G$30</definedName>
    <definedName name="_xlnm.Print_Area" localSheetId="12">'S7A Information Technology'!$A$1:$H$34</definedName>
    <definedName name="_xlnm.Print_Area" localSheetId="13">'S7B Transportation'!$A$1:$H$31</definedName>
    <definedName name="_xlnm.Print_Area" localSheetId="14">'S8 Deprec &amp; Amort Exp '!$A$1:$H$73</definedName>
    <definedName name="_xlnm.Print_Area" localSheetId="15">'S9 Interest Exp'!$A$1:$F$43</definedName>
    <definedName name="_xlnm.Print_Titles" localSheetId="18">'S12 Chart of Accts Trial Bal.'!$2:$5</definedName>
  </definedNames>
  <calcPr calcId="191029"/>
</workbook>
</file>

<file path=xl/calcChain.xml><?xml version="1.0" encoding="utf-8"?>
<calcChain xmlns="http://schemas.openxmlformats.org/spreadsheetml/2006/main">
  <c r="A42" i="48" l="1"/>
  <c r="F9" i="49" l="1"/>
  <c r="C38" i="42" l="1"/>
  <c r="J15" i="36" l="1"/>
  <c r="C15" i="36"/>
  <c r="C32" i="36"/>
  <c r="F32" i="36" s="1"/>
  <c r="L32" i="36"/>
  <c r="F15" i="36"/>
  <c r="I48" i="5" l="1"/>
  <c r="G48" i="5"/>
  <c r="C12" i="8"/>
  <c r="G13" i="5"/>
  <c r="H51" i="5"/>
  <c r="H17" i="10"/>
  <c r="I93" i="3" l="1"/>
  <c r="H12" i="3"/>
  <c r="E39" i="1" s="1"/>
  <c r="H11" i="3"/>
  <c r="H34" i="10" l="1"/>
  <c r="I29" i="10" s="1"/>
  <c r="E32" i="13"/>
  <c r="E65" i="13" s="1"/>
  <c r="E16" i="13"/>
  <c r="D12" i="13"/>
  <c r="E61" i="13"/>
  <c r="B38" i="13"/>
  <c r="O37" i="36" l="1"/>
  <c r="N37" i="36"/>
  <c r="M37" i="36"/>
  <c r="I13" i="5" l="1"/>
  <c r="C11" i="1" l="1"/>
  <c r="C6" i="1"/>
  <c r="F12" i="47" l="1"/>
  <c r="D11" i="47"/>
  <c r="B9" i="47"/>
  <c r="B12" i="47" s="1"/>
  <c r="E10" i="27" l="1"/>
  <c r="C10" i="27"/>
  <c r="I11" i="10"/>
  <c r="G11" i="10"/>
  <c r="I11" i="6"/>
  <c r="G11" i="6"/>
  <c r="I42" i="5"/>
  <c r="G42" i="5"/>
  <c r="I11" i="5"/>
  <c r="G11" i="5"/>
  <c r="F12" i="4"/>
  <c r="D12" i="4"/>
  <c r="F25" i="49" l="1"/>
  <c r="B25" i="49"/>
  <c r="D24" i="49"/>
  <c r="D23" i="49"/>
  <c r="D22" i="49"/>
  <c r="D21" i="49"/>
  <c r="D20" i="49"/>
  <c r="D19" i="49"/>
  <c r="F17" i="49"/>
  <c r="B17" i="49"/>
  <c r="B27" i="49" s="1"/>
  <c r="D16" i="49"/>
  <c r="D17" i="49" s="1"/>
  <c r="D9" i="49"/>
  <c r="F7" i="49"/>
  <c r="F14" i="49" s="1"/>
  <c r="B7" i="49"/>
  <c r="B14" i="49" s="1"/>
  <c r="D25" i="49" l="1"/>
  <c r="F27" i="49"/>
  <c r="D27" i="49" s="1"/>
  <c r="F33" i="36" l="1"/>
  <c r="J33" i="36" s="1"/>
  <c r="T33" i="36" s="1"/>
  <c r="C33" i="36"/>
  <c r="C37" i="42" s="1"/>
  <c r="U33" i="36" l="1"/>
  <c r="H48" i="5" l="1"/>
  <c r="F27" i="39" l="1"/>
  <c r="F29" i="39" s="1"/>
  <c r="B27" i="39"/>
  <c r="B29" i="39" s="1"/>
  <c r="G26" i="5" l="1"/>
  <c r="D10" i="27" l="1"/>
  <c r="S29" i="36" s="1"/>
  <c r="C15" i="27" l="1"/>
  <c r="D15" i="27" s="1"/>
  <c r="C14" i="27"/>
  <c r="D14" i="27" s="1"/>
  <c r="C16" i="27"/>
  <c r="D16" i="27" s="1"/>
  <c r="H26" i="5"/>
  <c r="J21" i="36" s="1"/>
  <c r="F21" i="36" l="1"/>
  <c r="C21" i="36"/>
  <c r="S21" i="36"/>
  <c r="T21" i="36" s="1"/>
  <c r="U21" i="36" s="1"/>
  <c r="F20" i="4" l="1"/>
  <c r="D34" i="4" l="1"/>
  <c r="D31" i="4"/>
  <c r="D40" i="4" l="1"/>
  <c r="D51" i="4" l="1"/>
  <c r="C27" i="27" l="1"/>
  <c r="E31" i="4" l="1"/>
  <c r="F32" i="18" l="1"/>
  <c r="D32" i="18"/>
  <c r="H13" i="5" l="1"/>
  <c r="C25" i="36" l="1"/>
  <c r="F25" i="36"/>
  <c r="E32" i="23"/>
  <c r="B9" i="39" l="1"/>
  <c r="B15" i="39" l="1"/>
  <c r="C28" i="1" l="1"/>
  <c r="E28" i="18" l="1"/>
  <c r="E29" i="18"/>
  <c r="C30" i="23" l="1"/>
  <c r="D30" i="23" s="1"/>
  <c r="D10" i="47" l="1"/>
  <c r="D9" i="47"/>
  <c r="I15" i="10" l="1"/>
  <c r="G15" i="10"/>
  <c r="I46" i="5"/>
  <c r="G46" i="5"/>
  <c r="D28" i="39"/>
  <c r="E13" i="37" l="1"/>
  <c r="B13" i="37"/>
  <c r="D22" i="39" l="1"/>
  <c r="D23" i="39"/>
  <c r="D24" i="39"/>
  <c r="D25" i="39"/>
  <c r="D26" i="39"/>
  <c r="I13" i="6" l="1"/>
  <c r="G13" i="6"/>
  <c r="I13" i="10"/>
  <c r="G13" i="10"/>
  <c r="B27" i="47"/>
  <c r="D26" i="47"/>
  <c r="D25" i="47"/>
  <c r="D24" i="47"/>
  <c r="D23" i="47"/>
  <c r="D22" i="47"/>
  <c r="F20" i="47"/>
  <c r="B20" i="47"/>
  <c r="D19" i="47"/>
  <c r="D20" i="47" s="1"/>
  <c r="F15" i="39" l="1"/>
  <c r="D15" i="39" l="1"/>
  <c r="D13" i="8" l="1"/>
  <c r="C14" i="8"/>
  <c r="C16" i="8" s="1"/>
  <c r="B38" i="37" s="1"/>
  <c r="E14" i="8"/>
  <c r="E16" i="8" s="1"/>
  <c r="D16" i="8" l="1"/>
  <c r="D14" i="8"/>
  <c r="H30" i="5" l="1"/>
  <c r="C70" i="13" l="1"/>
  <c r="D70" i="13" s="1"/>
  <c r="C29" i="23" l="1"/>
  <c r="C28" i="23"/>
  <c r="C17" i="23"/>
  <c r="C31" i="23"/>
  <c r="C9" i="23"/>
  <c r="C277" i="2" l="1"/>
  <c r="B28" i="23" l="1"/>
  <c r="D28" i="23"/>
  <c r="E21" i="18" l="1"/>
  <c r="E20" i="18"/>
  <c r="C32" i="1" l="1"/>
  <c r="C13" i="27" l="1"/>
  <c r="G94" i="3" l="1"/>
  <c r="F94" i="3"/>
  <c r="H93" i="3"/>
  <c r="E93" i="3"/>
  <c r="D93" i="3"/>
  <c r="G91" i="3"/>
  <c r="F91" i="3"/>
  <c r="I90" i="3"/>
  <c r="H90" i="3"/>
  <c r="E90" i="3"/>
  <c r="D90" i="3"/>
  <c r="G89" i="3"/>
  <c r="F89" i="3"/>
  <c r="G88" i="3"/>
  <c r="F88" i="3"/>
  <c r="G87" i="3"/>
  <c r="F87" i="3"/>
  <c r="G86" i="3"/>
  <c r="F86" i="3"/>
  <c r="G85" i="3"/>
  <c r="F85" i="3"/>
  <c r="G84" i="3"/>
  <c r="F84" i="3"/>
  <c r="G83" i="3"/>
  <c r="F83" i="3"/>
  <c r="G82" i="3"/>
  <c r="F82" i="3"/>
  <c r="G81" i="3"/>
  <c r="F81" i="3"/>
  <c r="G80" i="3"/>
  <c r="F80" i="3"/>
  <c r="G79" i="3"/>
  <c r="F79" i="3"/>
  <c r="G78" i="3"/>
  <c r="F78" i="3"/>
  <c r="G77" i="3"/>
  <c r="F77" i="3"/>
  <c r="G76" i="3"/>
  <c r="F76" i="3"/>
  <c r="G75" i="3"/>
  <c r="F75" i="3"/>
  <c r="G74" i="3"/>
  <c r="F74" i="3"/>
  <c r="G73" i="3"/>
  <c r="F73" i="3"/>
  <c r="G72" i="3"/>
  <c r="F72" i="3"/>
  <c r="G71" i="3"/>
  <c r="F71" i="3"/>
  <c r="G70" i="3"/>
  <c r="F70" i="3"/>
  <c r="G69" i="3"/>
  <c r="F69" i="3"/>
  <c r="G68" i="3"/>
  <c r="F68" i="3"/>
  <c r="G67" i="3"/>
  <c r="F67" i="3"/>
  <c r="G66" i="3"/>
  <c r="F66" i="3"/>
  <c r="G65" i="3"/>
  <c r="F65" i="3"/>
  <c r="G64" i="3"/>
  <c r="F64" i="3"/>
  <c r="G63" i="3"/>
  <c r="F63" i="3"/>
  <c r="G62" i="3"/>
  <c r="F62" i="3"/>
  <c r="G61" i="3"/>
  <c r="F61" i="3"/>
  <c r="G60" i="3"/>
  <c r="F60" i="3"/>
  <c r="G59" i="3"/>
  <c r="F59" i="3"/>
  <c r="G58" i="3"/>
  <c r="F58" i="3"/>
  <c r="G57" i="3"/>
  <c r="F57" i="3"/>
  <c r="G56" i="3"/>
  <c r="F56" i="3"/>
  <c r="G55" i="3"/>
  <c r="F55" i="3"/>
  <c r="G54" i="3"/>
  <c r="F54" i="3"/>
  <c r="G53" i="3"/>
  <c r="F53" i="3"/>
  <c r="G52" i="3"/>
  <c r="F52" i="3"/>
  <c r="G51" i="3"/>
  <c r="F51" i="3"/>
  <c r="G50" i="3"/>
  <c r="F50" i="3"/>
  <c r="G49" i="3"/>
  <c r="F49" i="3"/>
  <c r="G48" i="3"/>
  <c r="F48" i="3"/>
  <c r="G47" i="3"/>
  <c r="F47" i="3"/>
  <c r="G46" i="3"/>
  <c r="F46" i="3"/>
  <c r="G45" i="3"/>
  <c r="F45" i="3"/>
  <c r="G44" i="3"/>
  <c r="F44" i="3"/>
  <c r="G43" i="3"/>
  <c r="F43" i="3"/>
  <c r="G42" i="3"/>
  <c r="F42" i="3"/>
  <c r="G41" i="3"/>
  <c r="F41" i="3"/>
  <c r="G40" i="3"/>
  <c r="F40" i="3"/>
  <c r="G39" i="3"/>
  <c r="F39" i="3"/>
  <c r="G38" i="3"/>
  <c r="F38" i="3"/>
  <c r="G37" i="3"/>
  <c r="F37" i="3"/>
  <c r="G36" i="3"/>
  <c r="F36" i="3"/>
  <c r="G35" i="3"/>
  <c r="F35" i="3"/>
  <c r="G34" i="3"/>
  <c r="F34" i="3"/>
  <c r="G33" i="3"/>
  <c r="F33" i="3"/>
  <c r="G32" i="3"/>
  <c r="F32" i="3"/>
  <c r="G31" i="3"/>
  <c r="F31" i="3"/>
  <c r="G30" i="3"/>
  <c r="F30" i="3"/>
  <c r="G29" i="3"/>
  <c r="F29" i="3"/>
  <c r="G28" i="3"/>
  <c r="F28" i="3"/>
  <c r="G27" i="3"/>
  <c r="F27" i="3"/>
  <c r="G26" i="3"/>
  <c r="F26" i="3"/>
  <c r="G25" i="3"/>
  <c r="F25" i="3"/>
  <c r="G24" i="3"/>
  <c r="F24" i="3"/>
  <c r="A24" i="3"/>
  <c r="J23" i="3"/>
  <c r="G23" i="3"/>
  <c r="F23" i="3"/>
  <c r="I95" i="3" l="1"/>
  <c r="H10" i="3"/>
  <c r="E95" i="3"/>
  <c r="H95" i="3"/>
  <c r="F93" i="3"/>
  <c r="G93" i="3"/>
  <c r="D95" i="3"/>
  <c r="G90" i="3"/>
  <c r="F90" i="3"/>
  <c r="F95" i="3" s="1"/>
  <c r="A25" i="3"/>
  <c r="J24" i="3"/>
  <c r="G95" i="3" l="1"/>
  <c r="A26" i="3"/>
  <c r="J25" i="3"/>
  <c r="A27" i="3" l="1"/>
  <c r="J26" i="3"/>
  <c r="E9" i="18"/>
  <c r="J27" i="3" l="1"/>
  <c r="A28" i="3"/>
  <c r="A29" i="3" l="1"/>
  <c r="J28" i="3"/>
  <c r="A30" i="3" l="1"/>
  <c r="J29" i="3"/>
  <c r="A31" i="3" l="1"/>
  <c r="J30" i="3"/>
  <c r="A32" i="3" l="1"/>
  <c r="J31" i="3"/>
  <c r="D56" i="48"/>
  <c r="A33" i="3" l="1"/>
  <c r="J32" i="3"/>
  <c r="A34" i="3" l="1"/>
  <c r="J33" i="3"/>
  <c r="A35" i="3" l="1"/>
  <c r="J34" i="3"/>
  <c r="E12" i="4" l="1"/>
  <c r="I29" i="36" s="1"/>
  <c r="A36" i="3"/>
  <c r="J35" i="3"/>
  <c r="H42" i="5"/>
  <c r="H11" i="6"/>
  <c r="K29" i="36" s="1"/>
  <c r="H11" i="5"/>
  <c r="J29" i="36" l="1"/>
  <c r="A37" i="3"/>
  <c r="J36" i="3"/>
  <c r="E6" i="8"/>
  <c r="C7" i="8"/>
  <c r="E7" i="8"/>
  <c r="D8" i="8"/>
  <c r="D9" i="8"/>
  <c r="D10" i="8"/>
  <c r="D11" i="8"/>
  <c r="D12" i="8"/>
  <c r="A38" i="3" l="1"/>
  <c r="J37" i="3"/>
  <c r="D18" i="4"/>
  <c r="A39" i="3" l="1"/>
  <c r="J38" i="3"/>
  <c r="A40" i="3" l="1"/>
  <c r="J39" i="3"/>
  <c r="A41" i="3" l="1"/>
  <c r="J40" i="3"/>
  <c r="A42" i="3" l="1"/>
  <c r="J41" i="3"/>
  <c r="A43" i="3" l="1"/>
  <c r="J42" i="3"/>
  <c r="H46" i="5"/>
  <c r="J31" i="36" s="1"/>
  <c r="H15" i="10"/>
  <c r="L31" i="36" s="1"/>
  <c r="A44" i="3" l="1"/>
  <c r="J43" i="3"/>
  <c r="A45" i="3" l="1"/>
  <c r="J44" i="3"/>
  <c r="C12" i="13"/>
  <c r="A46" i="3" l="1"/>
  <c r="J45" i="3"/>
  <c r="C52" i="13"/>
  <c r="D61" i="13"/>
  <c r="E63" i="13" s="1"/>
  <c r="C40" i="13"/>
  <c r="C39" i="13"/>
  <c r="C38" i="13"/>
  <c r="C25" i="13"/>
  <c r="C24" i="13"/>
  <c r="D24" i="13" s="1"/>
  <c r="E24" i="13" s="1"/>
  <c r="C23" i="13"/>
  <c r="A47" i="3" l="1"/>
  <c r="J46" i="3"/>
  <c r="B27" i="13"/>
  <c r="A48" i="3" l="1"/>
  <c r="J47" i="3"/>
  <c r="F7" i="47"/>
  <c r="F17" i="47" s="1"/>
  <c r="B7" i="47"/>
  <c r="B17" i="47" s="1"/>
  <c r="A49" i="3" l="1"/>
  <c r="J48" i="3"/>
  <c r="F9" i="39"/>
  <c r="F21" i="39"/>
  <c r="B21" i="39"/>
  <c r="F7" i="39"/>
  <c r="B7" i="39"/>
  <c r="E8" i="37"/>
  <c r="B8" i="37"/>
  <c r="A50" i="3" l="1"/>
  <c r="J49" i="3"/>
  <c r="B70" i="13"/>
  <c r="A70" i="13"/>
  <c r="C71" i="13"/>
  <c r="C68" i="13"/>
  <c r="E71" i="13"/>
  <c r="A51" i="3" l="1"/>
  <c r="J50" i="3"/>
  <c r="A52" i="3" l="1"/>
  <c r="J51" i="3"/>
  <c r="D71" i="13"/>
  <c r="D16" i="1"/>
  <c r="I63" i="5"/>
  <c r="I64" i="5"/>
  <c r="I65" i="5"/>
  <c r="G19" i="5" s="1"/>
  <c r="A53" i="3" l="1"/>
  <c r="J52" i="3"/>
  <c r="A54" i="3" l="1"/>
  <c r="J53" i="3"/>
  <c r="A55" i="3" l="1"/>
  <c r="J54" i="3"/>
  <c r="C18" i="1"/>
  <c r="C17" i="1"/>
  <c r="C16" i="1"/>
  <c r="A56" i="3" l="1"/>
  <c r="J55" i="3"/>
  <c r="A57" i="3" l="1"/>
  <c r="J56" i="3"/>
  <c r="C36" i="23"/>
  <c r="C27" i="23"/>
  <c r="C26" i="23"/>
  <c r="C25" i="23"/>
  <c r="C24" i="23"/>
  <c r="C23" i="23"/>
  <c r="C22" i="23"/>
  <c r="C21" i="23"/>
  <c r="C20" i="23"/>
  <c r="C19" i="23"/>
  <c r="C18" i="23"/>
  <c r="C16" i="23"/>
  <c r="C15" i="23"/>
  <c r="C14" i="23"/>
  <c r="C13" i="23"/>
  <c r="C12" i="23"/>
  <c r="C11" i="23"/>
  <c r="C10" i="23"/>
  <c r="B26" i="23"/>
  <c r="B25" i="23"/>
  <c r="B24" i="23"/>
  <c r="B23" i="23"/>
  <c r="B22" i="23"/>
  <c r="B21" i="23"/>
  <c r="B20" i="23"/>
  <c r="B19" i="23"/>
  <c r="B18" i="23"/>
  <c r="B17" i="23"/>
  <c r="B16" i="23"/>
  <c r="B15" i="23"/>
  <c r="B14" i="23"/>
  <c r="B13" i="23"/>
  <c r="B12" i="23"/>
  <c r="B11" i="23"/>
  <c r="B10" i="23"/>
  <c r="B9" i="23"/>
  <c r="C32" i="23" l="1"/>
  <c r="A58" i="3"/>
  <c r="J57" i="3"/>
  <c r="C285" i="2"/>
  <c r="C27" i="1" s="1"/>
  <c r="C26" i="1"/>
  <c r="C242" i="2"/>
  <c r="C25" i="1" s="1"/>
  <c r="C234" i="2"/>
  <c r="C229" i="2"/>
  <c r="C20" i="1" s="1"/>
  <c r="C226" i="2"/>
  <c r="C19" i="1" s="1"/>
  <c r="C200" i="2"/>
  <c r="C196" i="2"/>
  <c r="C15" i="1" s="1"/>
  <c r="C183" i="2"/>
  <c r="C132" i="2"/>
  <c r="C129" i="2"/>
  <c r="C116" i="2"/>
  <c r="C95" i="2"/>
  <c r="C62" i="2"/>
  <c r="C35" i="2"/>
  <c r="C20" i="2"/>
  <c r="C21" i="1" l="1"/>
  <c r="C185" i="2"/>
  <c r="C236" i="2" s="1"/>
  <c r="C238" i="2" s="1"/>
  <c r="C290" i="2" s="1"/>
  <c r="C64" i="2"/>
  <c r="A59" i="3"/>
  <c r="J58" i="3"/>
  <c r="D21" i="1" l="1"/>
  <c r="A60" i="3"/>
  <c r="J59" i="3"/>
  <c r="D26" i="23"/>
  <c r="D29" i="23"/>
  <c r="D27" i="23"/>
  <c r="A61" i="3" l="1"/>
  <c r="J60" i="3"/>
  <c r="E22" i="18"/>
  <c r="A62" i="3" l="1"/>
  <c r="J61" i="3"/>
  <c r="D30" i="27"/>
  <c r="D28" i="27"/>
  <c r="D27" i="27"/>
  <c r="D25" i="27"/>
  <c r="D52" i="4"/>
  <c r="E51" i="4"/>
  <c r="E50" i="4"/>
  <c r="E49" i="4"/>
  <c r="E45" i="4"/>
  <c r="E44" i="4"/>
  <c r="D42" i="4"/>
  <c r="E41" i="4"/>
  <c r="E40" i="4"/>
  <c r="E39" i="4"/>
  <c r="D37" i="4"/>
  <c r="D47" i="4" s="1"/>
  <c r="E36" i="4"/>
  <c r="E35" i="4"/>
  <c r="E34" i="4"/>
  <c r="E29" i="4"/>
  <c r="A63" i="3" l="1"/>
  <c r="J62" i="3"/>
  <c r="F42" i="4"/>
  <c r="D33" i="27"/>
  <c r="E31" i="27"/>
  <c r="E34" i="27" s="1"/>
  <c r="D29" i="27"/>
  <c r="C31" i="27"/>
  <c r="C34" i="27" s="1"/>
  <c r="D26" i="27"/>
  <c r="D24" i="27"/>
  <c r="F37" i="4"/>
  <c r="F52" i="4"/>
  <c r="F19" i="4" s="1"/>
  <c r="E30" i="4"/>
  <c r="E37" i="4" l="1"/>
  <c r="F47" i="4"/>
  <c r="F18" i="4" s="1"/>
  <c r="A64" i="3"/>
  <c r="J63" i="3"/>
  <c r="E42" i="4"/>
  <c r="E52" i="4"/>
  <c r="D31" i="27"/>
  <c r="D34" i="27" s="1"/>
  <c r="A65" i="3" l="1"/>
  <c r="J64" i="3"/>
  <c r="E47" i="4"/>
  <c r="F56" i="4"/>
  <c r="A66" i="3" l="1"/>
  <c r="J65" i="3"/>
  <c r="I44" i="5"/>
  <c r="F14" i="4"/>
  <c r="G44" i="5"/>
  <c r="D14" i="4"/>
  <c r="H13" i="6" l="1"/>
  <c r="K28" i="36" s="1"/>
  <c r="A67" i="3"/>
  <c r="J66" i="3"/>
  <c r="E14" i="4"/>
  <c r="H13" i="10"/>
  <c r="L28" i="36" s="1"/>
  <c r="H44" i="5"/>
  <c r="J28" i="36" s="1"/>
  <c r="F27" i="47"/>
  <c r="D12" i="47"/>
  <c r="C28" i="36" l="1"/>
  <c r="F28" i="36"/>
  <c r="I28" i="36"/>
  <c r="T28" i="36" s="1"/>
  <c r="A68" i="3"/>
  <c r="J67" i="3"/>
  <c r="D13" i="27"/>
  <c r="S11" i="36" s="1"/>
  <c r="B29" i="47"/>
  <c r="F29" i="47"/>
  <c r="D27" i="47"/>
  <c r="U28" i="36" l="1"/>
  <c r="C42" i="42"/>
  <c r="A69" i="3"/>
  <c r="J68" i="3"/>
  <c r="D32" i="1"/>
  <c r="K39" i="1" s="1"/>
  <c r="D29" i="47"/>
  <c r="E32" i="1" l="1"/>
  <c r="A70" i="3"/>
  <c r="J69" i="3"/>
  <c r="E17" i="27"/>
  <c r="D39" i="1" l="1"/>
  <c r="A71" i="3"/>
  <c r="J70" i="3"/>
  <c r="C17" i="27"/>
  <c r="E27" i="37"/>
  <c r="B27" i="37"/>
  <c r="C26" i="37"/>
  <c r="C25" i="37"/>
  <c r="C24" i="37"/>
  <c r="E22" i="37"/>
  <c r="B22" i="37"/>
  <c r="C21" i="37"/>
  <c r="C20" i="37"/>
  <c r="C19" i="37"/>
  <c r="C18" i="37"/>
  <c r="C17" i="37"/>
  <c r="C16" i="37"/>
  <c r="C12" i="37"/>
  <c r="C11" i="37"/>
  <c r="C10" i="37"/>
  <c r="C9" i="37"/>
  <c r="A72" i="3" l="1"/>
  <c r="J71" i="3"/>
  <c r="E31" i="37"/>
  <c r="E38" i="37" s="1"/>
  <c r="C27" i="37"/>
  <c r="C13" i="37"/>
  <c r="C22" i="37"/>
  <c r="B31" i="37"/>
  <c r="C31" i="37" l="1"/>
  <c r="C38" i="37" s="1"/>
  <c r="A73" i="3"/>
  <c r="J72" i="3"/>
  <c r="A74" i="3" l="1"/>
  <c r="J73" i="3"/>
  <c r="A75" i="3" l="1"/>
  <c r="J74" i="3"/>
  <c r="A76" i="3" l="1"/>
  <c r="J75" i="3"/>
  <c r="D14" i="39"/>
  <c r="D13" i="39"/>
  <c r="D12" i="39"/>
  <c r="D9" i="39"/>
  <c r="A77" i="3" l="1"/>
  <c r="J76" i="3"/>
  <c r="D27" i="39"/>
  <c r="F31" i="36" l="1"/>
  <c r="C31" i="36"/>
  <c r="C39" i="42" s="1"/>
  <c r="D29" i="39"/>
  <c r="A78" i="3"/>
  <c r="J77" i="3"/>
  <c r="E26" i="18"/>
  <c r="E27" i="18"/>
  <c r="E23" i="18"/>
  <c r="D28" i="1" s="1"/>
  <c r="E30" i="18"/>
  <c r="E31" i="18"/>
  <c r="E25" i="18"/>
  <c r="E24" i="18"/>
  <c r="A79" i="3" l="1"/>
  <c r="J78" i="3"/>
  <c r="E28" i="1"/>
  <c r="A80" i="3" l="1"/>
  <c r="J79" i="3"/>
  <c r="A81" i="3" l="1"/>
  <c r="J80" i="3"/>
  <c r="D16" i="4"/>
  <c r="A82" i="3" l="1"/>
  <c r="J81" i="3"/>
  <c r="D20" i="4"/>
  <c r="D19" i="4"/>
  <c r="B20" i="4"/>
  <c r="B19" i="4"/>
  <c r="B18" i="4"/>
  <c r="A20" i="4"/>
  <c r="A19" i="4"/>
  <c r="A18" i="4"/>
  <c r="B16" i="4"/>
  <c r="A16" i="4"/>
  <c r="E54" i="4" l="1"/>
  <c r="D56" i="4"/>
  <c r="E56" i="4" s="1"/>
  <c r="A83" i="3"/>
  <c r="J82" i="3"/>
  <c r="C51" i="13"/>
  <c r="C50" i="13"/>
  <c r="A84" i="3" l="1"/>
  <c r="J83" i="3"/>
  <c r="B54" i="13"/>
  <c r="D53" i="13"/>
  <c r="E53" i="13" s="1"/>
  <c r="D52" i="13"/>
  <c r="E52" i="13" s="1"/>
  <c r="D51" i="13"/>
  <c r="E51" i="13" s="1"/>
  <c r="D50" i="13"/>
  <c r="E50" i="13" s="1"/>
  <c r="A85" i="3" l="1"/>
  <c r="J84" i="3"/>
  <c r="C54" i="13"/>
  <c r="E54" i="13"/>
  <c r="E56" i="13" s="1"/>
  <c r="D54" i="13"/>
  <c r="D39" i="13"/>
  <c r="E39" i="13" s="1"/>
  <c r="D38" i="13"/>
  <c r="E38" i="13" s="1"/>
  <c r="B42" i="13"/>
  <c r="D41" i="13"/>
  <c r="E41" i="13" s="1"/>
  <c r="D40" i="13"/>
  <c r="E40" i="13" s="1"/>
  <c r="D26" i="13"/>
  <c r="E26" i="13" s="1"/>
  <c r="D25" i="13"/>
  <c r="E25" i="13" s="1"/>
  <c r="E42" i="13" l="1"/>
  <c r="E44" i="13" s="1"/>
  <c r="A86" i="3"/>
  <c r="J85" i="3"/>
  <c r="C27" i="13"/>
  <c r="C42" i="13"/>
  <c r="D23" i="13"/>
  <c r="D42" i="13"/>
  <c r="A87" i="3" l="1"/>
  <c r="J86" i="3"/>
  <c r="E23" i="13"/>
  <c r="D27" i="13"/>
  <c r="A88" i="3" l="1"/>
  <c r="J87" i="3"/>
  <c r="E27" i="13"/>
  <c r="C27" i="36" l="1"/>
  <c r="C43" i="42" s="1"/>
  <c r="F27" i="36"/>
  <c r="P27" i="36" s="1"/>
  <c r="A89" i="3"/>
  <c r="J88" i="3"/>
  <c r="T27" i="36" l="1"/>
  <c r="U27" i="36" s="1"/>
  <c r="P37" i="36"/>
  <c r="P39" i="36" s="1"/>
  <c r="A90" i="3"/>
  <c r="J89" i="3"/>
  <c r="D66" i="5"/>
  <c r="D67" i="5" s="1"/>
  <c r="A91" i="3" l="1"/>
  <c r="J90" i="3"/>
  <c r="I74" i="5"/>
  <c r="G24" i="5" s="1"/>
  <c r="I73" i="5"/>
  <c r="A92" i="3" l="1"/>
  <c r="J91" i="3"/>
  <c r="F75" i="5"/>
  <c r="F76" i="5" s="1"/>
  <c r="D75" i="5"/>
  <c r="D76" i="5" s="1"/>
  <c r="I76" i="5" l="1"/>
  <c r="I24" i="5" s="1"/>
  <c r="A93" i="3"/>
  <c r="J92" i="3"/>
  <c r="D25" i="23"/>
  <c r="A94" i="3" l="1"/>
  <c r="J93" i="3"/>
  <c r="D12" i="3"/>
  <c r="B12" i="3"/>
  <c r="A12" i="3"/>
  <c r="D10" i="3"/>
  <c r="B10" i="3"/>
  <c r="A10" i="3"/>
  <c r="J94" i="3" l="1"/>
  <c r="A95" i="3"/>
  <c r="J95" i="3" s="1"/>
  <c r="C9" i="1"/>
  <c r="C8" i="1"/>
  <c r="C7" i="1"/>
  <c r="C35" i="1" l="1"/>
  <c r="C10" i="1"/>
  <c r="E11" i="18" l="1"/>
  <c r="E12" i="18" l="1"/>
  <c r="D24" i="23" l="1"/>
  <c r="G39" i="10" l="1"/>
  <c r="I72" i="5" l="1"/>
  <c r="D17" i="27" l="1"/>
  <c r="F66" i="5"/>
  <c r="F67" i="5" s="1"/>
  <c r="I67" i="5" s="1"/>
  <c r="I19" i="5" s="1"/>
  <c r="C36" i="42" l="1"/>
  <c r="C45" i="42"/>
  <c r="J25" i="36"/>
  <c r="T25" i="36" s="1"/>
  <c r="U25" i="36" s="1"/>
  <c r="D23" i="23"/>
  <c r="T15" i="36" l="1"/>
  <c r="U15" i="36" s="1"/>
  <c r="D22" i="23"/>
  <c r="G15" i="6"/>
  <c r="G19" i="10"/>
  <c r="G53" i="5" l="1"/>
  <c r="E20" i="4" l="1"/>
  <c r="I66" i="5" l="1"/>
  <c r="H19" i="5" l="1"/>
  <c r="I75" i="5" l="1"/>
  <c r="E7" i="27" l="1"/>
  <c r="E23" i="27" s="1"/>
  <c r="F18" i="18"/>
  <c r="F7" i="18"/>
  <c r="E35" i="23"/>
  <c r="E7" i="23"/>
  <c r="E11" i="13"/>
  <c r="E69" i="13" s="1"/>
  <c r="I39" i="10"/>
  <c r="I7" i="10"/>
  <c r="I7" i="6"/>
  <c r="I38" i="5"/>
  <c r="I7" i="5"/>
  <c r="F8" i="4"/>
  <c r="F28" i="4" s="1"/>
  <c r="H8" i="3"/>
  <c r="F21" i="4" l="1"/>
  <c r="H13" i="3" l="1"/>
  <c r="H17" i="3" s="1"/>
  <c r="F12" i="3"/>
  <c r="D11" i="3"/>
  <c r="B11" i="3"/>
  <c r="A11" i="3"/>
  <c r="F11" i="3" l="1"/>
  <c r="I36" i="10" l="1"/>
  <c r="D21" i="23" l="1"/>
  <c r="D20" i="23"/>
  <c r="E10" i="18" l="1"/>
  <c r="D13" i="3" l="1"/>
  <c r="D17" i="3" s="1"/>
  <c r="D21" i="4" l="1"/>
  <c r="D19" i="23"/>
  <c r="D31" i="23"/>
  <c r="E6" i="27" l="1"/>
  <c r="C7" i="27"/>
  <c r="C23" i="27" s="1"/>
  <c r="F17" i="18"/>
  <c r="F6" i="18"/>
  <c r="D18" i="18"/>
  <c r="D7" i="18"/>
  <c r="E34" i="23"/>
  <c r="E6" i="23"/>
  <c r="C35" i="23"/>
  <c r="C7" i="23"/>
  <c r="E10" i="13"/>
  <c r="E68" i="13" s="1"/>
  <c r="C11" i="13"/>
  <c r="C69" i="13" s="1"/>
  <c r="I38" i="10"/>
  <c r="I6" i="10"/>
  <c r="G7" i="10"/>
  <c r="I6" i="6"/>
  <c r="G7" i="6"/>
  <c r="I6" i="5"/>
  <c r="G7" i="5"/>
  <c r="I37" i="5"/>
  <c r="G38" i="5"/>
  <c r="F7" i="4"/>
  <c r="F27" i="4" s="1"/>
  <c r="D8" i="4"/>
  <c r="D28" i="4" s="1"/>
  <c r="H7" i="3"/>
  <c r="D8" i="3"/>
  <c r="C32" i="30"/>
  <c r="D18" i="23"/>
  <c r="D15" i="23"/>
  <c r="D13" i="23"/>
  <c r="D12" i="23"/>
  <c r="D11" i="23"/>
  <c r="C20" i="30"/>
  <c r="C14" i="30"/>
  <c r="D10" i="23"/>
  <c r="D14" i="23"/>
  <c r="D16" i="23"/>
  <c r="D17" i="23"/>
  <c r="H31" i="5"/>
  <c r="C13" i="30"/>
  <c r="C28" i="30"/>
  <c r="E13" i="18"/>
  <c r="D14" i="18"/>
  <c r="F14" i="18"/>
  <c r="B19" i="10"/>
  <c r="B15" i="6"/>
  <c r="I32" i="5"/>
  <c r="D8" i="30"/>
  <c r="D16" i="30" s="1"/>
  <c r="D30" i="30" s="1"/>
  <c r="D36" i="30" s="1"/>
  <c r="A9" i="30"/>
  <c r="A10" i="30" s="1"/>
  <c r="A11" i="30" s="1"/>
  <c r="A12" i="30" s="1"/>
  <c r="A13" i="30" s="1"/>
  <c r="A14" i="30" s="1"/>
  <c r="D9" i="30"/>
  <c r="E9" i="30"/>
  <c r="C10" i="30"/>
  <c r="C11" i="30"/>
  <c r="D11" i="30"/>
  <c r="C12" i="30"/>
  <c r="D13" i="30"/>
  <c r="D14" i="30"/>
  <c r="A17" i="30"/>
  <c r="A18" i="30" s="1"/>
  <c r="A19" i="30" s="1"/>
  <c r="A20" i="30" s="1"/>
  <c r="A21" i="30" s="1"/>
  <c r="A22" i="30" s="1"/>
  <c r="A23" i="30" s="1"/>
  <c r="A24" i="30" s="1"/>
  <c r="A25" i="30" s="1"/>
  <c r="A26" i="30" s="1"/>
  <c r="A27" i="30" s="1"/>
  <c r="A28" i="30" s="1"/>
  <c r="A29" i="30" s="1"/>
  <c r="A30" i="30" s="1"/>
  <c r="A31" i="30" s="1"/>
  <c r="A32" i="30" s="1"/>
  <c r="A33" i="30" s="1"/>
  <c r="A34" i="30" s="1"/>
  <c r="A35" i="30" s="1"/>
  <c r="A36" i="30" s="1"/>
  <c r="A37" i="30" s="1"/>
  <c r="A38" i="30" s="1"/>
  <c r="A40" i="30" s="1"/>
  <c r="A41" i="30" s="1"/>
  <c r="A42" i="30" s="1"/>
  <c r="A43" i="30" s="1"/>
  <c r="A44" i="30" s="1"/>
  <c r="A45" i="30" s="1"/>
  <c r="A46" i="30" s="1"/>
  <c r="A47" i="30" s="1"/>
  <c r="C18" i="30"/>
  <c r="D18" i="30"/>
  <c r="E19" i="30"/>
  <c r="E20" i="30"/>
  <c r="C21" i="30"/>
  <c r="E21" i="30" s="1"/>
  <c r="C22" i="30"/>
  <c r="D22" i="30" s="1"/>
  <c r="E22" i="30" s="1"/>
  <c r="C23" i="30"/>
  <c r="D23" i="30" s="1"/>
  <c r="C25" i="30"/>
  <c r="C40" i="30" s="1"/>
  <c r="C26" i="30"/>
  <c r="D26" i="30"/>
  <c r="D28" i="30"/>
  <c r="D32" i="30"/>
  <c r="C34" i="30"/>
  <c r="D37" i="30"/>
  <c r="A7" i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D36" i="23"/>
  <c r="D20" i="1" s="1"/>
  <c r="E26" i="30" l="1"/>
  <c r="E18" i="30"/>
  <c r="E13" i="30"/>
  <c r="H24" i="5"/>
  <c r="G32" i="5"/>
  <c r="E32" i="30"/>
  <c r="E11" i="30"/>
  <c r="E23" i="30"/>
  <c r="E28" i="30"/>
  <c r="E14" i="30"/>
  <c r="E20" i="1"/>
  <c r="G49" i="10"/>
  <c r="C33" i="30"/>
  <c r="C19" i="30"/>
  <c r="D19" i="30" s="1"/>
  <c r="C37" i="30"/>
  <c r="C8" i="30"/>
  <c r="E18" i="4"/>
  <c r="D9" i="23"/>
  <c r="D32" i="23" s="1"/>
  <c r="D17" i="1"/>
  <c r="D20" i="30"/>
  <c r="E14" i="18"/>
  <c r="E19" i="4"/>
  <c r="F10" i="3"/>
  <c r="F13" i="3" s="1"/>
  <c r="D40" i="23" l="1"/>
  <c r="Q24" i="36"/>
  <c r="F24" i="36"/>
  <c r="C12" i="36"/>
  <c r="C33" i="42" s="1"/>
  <c r="F12" i="36"/>
  <c r="J12" i="36" s="1"/>
  <c r="E17" i="1"/>
  <c r="C24" i="36"/>
  <c r="C46" i="42" s="1"/>
  <c r="F17" i="3"/>
  <c r="C13" i="36"/>
  <c r="E21" i="4"/>
  <c r="D25" i="1"/>
  <c r="H42" i="10"/>
  <c r="H41" i="10"/>
  <c r="I19" i="10"/>
  <c r="H45" i="10"/>
  <c r="H46" i="10"/>
  <c r="F16" i="4"/>
  <c r="H29" i="5"/>
  <c r="H32" i="5" s="1"/>
  <c r="D18" i="1"/>
  <c r="E18" i="1" s="1"/>
  <c r="E8" i="30"/>
  <c r="E16" i="30" s="1"/>
  <c r="E30" i="30" s="1"/>
  <c r="E36" i="30" s="1"/>
  <c r="C9" i="30"/>
  <c r="C16" i="30" s="1"/>
  <c r="C30" i="30" s="1"/>
  <c r="E37" i="30"/>
  <c r="C35" i="30"/>
  <c r="F13" i="36" l="1"/>
  <c r="H13" i="36" s="1"/>
  <c r="H37" i="36" s="1"/>
  <c r="H39" i="36" s="1"/>
  <c r="T12" i="36"/>
  <c r="U12" i="36" s="1"/>
  <c r="Q37" i="36"/>
  <c r="Q39" i="36" s="1"/>
  <c r="T24" i="36"/>
  <c r="U24" i="36" s="1"/>
  <c r="C20" i="36"/>
  <c r="C50" i="42" s="1"/>
  <c r="F20" i="36"/>
  <c r="I20" i="36" s="1"/>
  <c r="C26" i="36"/>
  <c r="C44" i="42" s="1"/>
  <c r="F26" i="36"/>
  <c r="J26" i="36" s="1"/>
  <c r="T26" i="36" s="1"/>
  <c r="E25" i="1"/>
  <c r="F30" i="36"/>
  <c r="C30" i="36"/>
  <c r="D25" i="30"/>
  <c r="E25" i="30" s="1"/>
  <c r="E40" i="30" s="1"/>
  <c r="E39" i="30" s="1"/>
  <c r="D19" i="1"/>
  <c r="K38" i="1" s="1"/>
  <c r="C34" i="42"/>
  <c r="H19" i="10"/>
  <c r="L22" i="36" s="1"/>
  <c r="H43" i="10"/>
  <c r="I33" i="42"/>
  <c r="I49" i="10"/>
  <c r="H48" i="10"/>
  <c r="I53" i="5"/>
  <c r="H44" i="10"/>
  <c r="E16" i="4"/>
  <c r="I22" i="36" s="1"/>
  <c r="C36" i="30"/>
  <c r="C38" i="30" s="1"/>
  <c r="E38" i="30"/>
  <c r="H40" i="10"/>
  <c r="C13" i="1"/>
  <c r="H47" i="10"/>
  <c r="I15" i="6"/>
  <c r="T13" i="36" l="1"/>
  <c r="U13" i="36" s="1"/>
  <c r="U26" i="36"/>
  <c r="H49" i="10"/>
  <c r="C40" i="42"/>
  <c r="T20" i="36"/>
  <c r="U20" i="36" s="1"/>
  <c r="E19" i="1"/>
  <c r="E35" i="1" s="1"/>
  <c r="G30" i="36"/>
  <c r="T30" i="36" s="1"/>
  <c r="U30" i="36" s="1"/>
  <c r="E41" i="30"/>
  <c r="E42" i="30" s="1"/>
  <c r="C22" i="36"/>
  <c r="H15" i="6"/>
  <c r="K22" i="36" s="1"/>
  <c r="H53" i="5"/>
  <c r="E16" i="1"/>
  <c r="C23" i="1"/>
  <c r="D6" i="1"/>
  <c r="C39" i="30"/>
  <c r="D39" i="30" s="1"/>
  <c r="D41" i="30" s="1"/>
  <c r="C41" i="30"/>
  <c r="F22" i="36" l="1"/>
  <c r="J22" i="36"/>
  <c r="E13" i="48"/>
  <c r="E31" i="48" s="1"/>
  <c r="E11" i="48"/>
  <c r="C48" i="42"/>
  <c r="E43" i="30"/>
  <c r="E44" i="30" s="1"/>
  <c r="C30" i="1"/>
  <c r="C33" i="1" s="1"/>
  <c r="D15" i="1"/>
  <c r="E6" i="1"/>
  <c r="C44" i="30"/>
  <c r="C43" i="30"/>
  <c r="T22" i="36" l="1"/>
  <c r="U22" i="36" s="1"/>
  <c r="E15" i="1"/>
  <c r="E33" i="48" s="1"/>
  <c r="E29" i="48"/>
  <c r="E15" i="48"/>
  <c r="E17" i="48" s="1"/>
  <c r="C37" i="1"/>
  <c r="C40" i="1" s="1"/>
  <c r="I9" i="10"/>
  <c r="I21" i="10" s="1"/>
  <c r="I40" i="5"/>
  <c r="I56" i="5" s="1"/>
  <c r="D10" i="30" s="1"/>
  <c r="E10" i="30" s="1"/>
  <c r="I9" i="6"/>
  <c r="I9" i="5"/>
  <c r="I34" i="5" s="1"/>
  <c r="F10" i="4"/>
  <c r="F23" i="4" s="1"/>
  <c r="E9" i="27"/>
  <c r="E19" i="27" s="1"/>
  <c r="K37" i="1" l="1"/>
  <c r="G11" i="36"/>
  <c r="F11" i="36"/>
  <c r="C11" i="36"/>
  <c r="E35" i="48"/>
  <c r="E39" i="48" s="1"/>
  <c r="I18" i="6"/>
  <c r="D12" i="30" s="1"/>
  <c r="E12" i="30" s="1"/>
  <c r="D15" i="8"/>
  <c r="G37" i="36" l="1"/>
  <c r="T11" i="36"/>
  <c r="U11" i="36" s="1"/>
  <c r="C32" i="42"/>
  <c r="C9" i="27"/>
  <c r="C19" i="27" s="1"/>
  <c r="G9" i="6"/>
  <c r="G18" i="6" s="1"/>
  <c r="G9" i="10"/>
  <c r="D10" i="4"/>
  <c r="G9" i="5"/>
  <c r="G34" i="5" s="1"/>
  <c r="G40" i="5"/>
  <c r="H40" i="5" l="1"/>
  <c r="H56" i="5" s="1"/>
  <c r="D8" i="1" s="1"/>
  <c r="E8" i="1" s="1"/>
  <c r="G56" i="5"/>
  <c r="H9" i="5"/>
  <c r="H9" i="10"/>
  <c r="L23" i="36" s="1"/>
  <c r="G21" i="10"/>
  <c r="H9" i="6"/>
  <c r="K23" i="36" s="1"/>
  <c r="K37" i="36" s="1"/>
  <c r="E10" i="4"/>
  <c r="D23" i="4"/>
  <c r="D9" i="27"/>
  <c r="E23" i="4" l="1"/>
  <c r="D7" i="1" s="1"/>
  <c r="E7" i="1" s="1"/>
  <c r="I23" i="36"/>
  <c r="S23" i="36"/>
  <c r="S37" i="36" s="1"/>
  <c r="D19" i="27"/>
  <c r="C23" i="36"/>
  <c r="F23" i="36"/>
  <c r="J23" i="36"/>
  <c r="J37" i="36" s="1"/>
  <c r="H34" i="5"/>
  <c r="H18" i="6"/>
  <c r="D10" i="1" s="1"/>
  <c r="T23" i="36" l="1"/>
  <c r="U23" i="36" s="1"/>
  <c r="I37" i="36"/>
  <c r="I39" i="36" s="1"/>
  <c r="K39" i="36"/>
  <c r="S39" i="36"/>
  <c r="J39" i="36"/>
  <c r="C47" i="42"/>
  <c r="E10" i="1"/>
  <c r="D9" i="1"/>
  <c r="C49" i="42"/>
  <c r="D33" i="30"/>
  <c r="E33" i="30" s="1"/>
  <c r="D26" i="1"/>
  <c r="E9" i="1" l="1"/>
  <c r="E26" i="1"/>
  <c r="E32" i="18" l="1"/>
  <c r="C14" i="36" l="1"/>
  <c r="C17" i="36" s="1"/>
  <c r="F14" i="36"/>
  <c r="F17" i="36" s="1"/>
  <c r="D27" i="1"/>
  <c r="D34" i="30"/>
  <c r="E34" i="30" s="1"/>
  <c r="R14" i="36" l="1"/>
  <c r="C35" i="42"/>
  <c r="E27" i="1"/>
  <c r="R37" i="36" l="1"/>
  <c r="T14" i="36"/>
  <c r="U14" i="36" s="1"/>
  <c r="H11" i="10"/>
  <c r="R39" i="36" l="1"/>
  <c r="H21" i="10"/>
  <c r="L29" i="36"/>
  <c r="C29" i="36"/>
  <c r="C35" i="36" s="1"/>
  <c r="C37" i="36" s="1"/>
  <c r="F29" i="36"/>
  <c r="F35" i="36" s="1"/>
  <c r="F37" i="36" s="1"/>
  <c r="D11" i="1"/>
  <c r="T29" i="36" l="1"/>
  <c r="U29" i="36" s="1"/>
  <c r="L37" i="36"/>
  <c r="T37" i="36" s="1"/>
  <c r="D13" i="1"/>
  <c r="D23" i="1" s="1"/>
  <c r="D30" i="1" s="1"/>
  <c r="K36" i="1" s="1"/>
  <c r="K40" i="1" s="1"/>
  <c r="C41" i="42"/>
  <c r="E11" i="1"/>
  <c r="E13" i="1" s="1"/>
  <c r="E23" i="1" s="1"/>
  <c r="E30" i="1" s="1"/>
  <c r="E33" i="1" s="1"/>
  <c r="E37" i="1" s="1"/>
  <c r="E40" i="1" s="1"/>
  <c r="F38" i="36" s="1"/>
  <c r="C51" i="42" l="1"/>
  <c r="I35" i="42"/>
  <c r="I37" i="42" s="1"/>
  <c r="E41" i="1"/>
  <c r="E45" i="30"/>
  <c r="E47" i="30" s="1"/>
  <c r="U37" i="36"/>
  <c r="L39" i="36"/>
  <c r="B41" i="42" l="1"/>
  <c r="C52" i="42"/>
  <c r="B38" i="42"/>
  <c r="B37" i="42"/>
  <c r="B46" i="42"/>
  <c r="B36" i="42"/>
  <c r="B44" i="42"/>
  <c r="B33" i="42"/>
  <c r="B42" i="42"/>
  <c r="B49" i="42"/>
  <c r="B35" i="42"/>
  <c r="B48" i="42"/>
  <c r="B45" i="42"/>
  <c r="B50" i="42"/>
  <c r="B32" i="42"/>
  <c r="B43" i="42"/>
  <c r="B39" i="42"/>
  <c r="B40" i="42"/>
  <c r="B47" i="42"/>
  <c r="B34" i="42"/>
  <c r="B51" i="42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Bursell, Mike</author>
  </authors>
  <commentList>
    <comment ref="C28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Bursell, Mike:</t>
        </r>
        <r>
          <rPr>
            <sz val="9"/>
            <color indexed="81"/>
            <rFont val="Tahoma"/>
            <family val="2"/>
          </rPr>
          <t xml:space="preserve">
Patronage Capital Retirements That Are Not Cash do Not Count Towards TIER.  Equity Only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Preferred Customer</author>
  </authors>
  <commentList>
    <comment ref="D9" authorId="0" shapeId="0" xr:uid="{00000000-0006-0000-0100-000001000000}">
      <text>
        <r>
          <rPr>
            <sz val="8"/>
            <color indexed="81"/>
            <rFont val="Tahoma"/>
            <family val="2"/>
          </rPr>
          <t xml:space="preserve">fix so will come in by formula
</t>
        </r>
      </text>
    </comment>
  </commentList>
</comments>
</file>

<file path=xl/sharedStrings.xml><?xml version="1.0" encoding="utf-8"?>
<sst xmlns="http://schemas.openxmlformats.org/spreadsheetml/2006/main" count="1652" uniqueCount="1292">
  <si>
    <t>TRANS SUPERVISION - OPER / ENGR</t>
  </si>
  <si>
    <t>TRANSMISSION-LOAD DISPATCHING</t>
  </si>
  <si>
    <t>MISC TRANSMISSION EXPENSE</t>
  </si>
  <si>
    <t>SUPV-ENGR MAINT DISTRIBUTION</t>
  </si>
  <si>
    <t>MAINT OVHD LINES-TRANSMISSION</t>
  </si>
  <si>
    <t>MAINT TRANSM LINES - CZN ROW</t>
  </si>
  <si>
    <t>MAINT TRANSM LINES - OTHER ROW</t>
  </si>
  <si>
    <t>CFC Patronage Capital - Equity</t>
  </si>
  <si>
    <t>CoBank Patronage Capital - Equity</t>
  </si>
  <si>
    <t>NISC Patronage Capital - Equity</t>
  </si>
  <si>
    <t>DIST SUPERVISION - OPER / ENGR</t>
  </si>
  <si>
    <t>REQ'D ADDITIONAL REVENUE (PRE-TAX)</t>
  </si>
  <si>
    <t>REQ'D RATE INCREASE</t>
  </si>
  <si>
    <t>NET COST OF SERVICE</t>
  </si>
  <si>
    <t>DISTRIBUTION-LOAD DISPATCHING</t>
  </si>
  <si>
    <t>METER EXPENSES</t>
  </si>
  <si>
    <t>CUSTOMER BILLABLE SERVICES</t>
  </si>
  <si>
    <t>VARIOUS</t>
  </si>
  <si>
    <t>MAJOR STORM DAMAGE EXPENSE: (EXTERNAL COSTS)</t>
  </si>
  <si>
    <t>CONTRACTING/OUTSIDE SERVICES</t>
  </si>
  <si>
    <t>593.1X</t>
  </si>
  <si>
    <t>593.20</t>
  </si>
  <si>
    <t>Per Detailed Schedule Below</t>
  </si>
  <si>
    <t>SCHEDULE 9</t>
  </si>
  <si>
    <t>INTEREST ON SHORT TERM DEBT</t>
  </si>
  <si>
    <t xml:space="preserve">**(1)**  </t>
  </si>
  <si>
    <t>AVERAGE</t>
  </si>
  <si>
    <t>ADMIN &amp; GENERAL</t>
  </si>
  <si>
    <t>INTEREST ON LT DEBT</t>
  </si>
  <si>
    <t>INTEREST &amp; DIVIDENDS</t>
  </si>
  <si>
    <t>TOTAL INTEREST &amp; DIVIDENDS</t>
  </si>
  <si>
    <t>PAYROLL DISTRIBUTION</t>
  </si>
  <si>
    <t>TOTAL PAYROLL &amp; OVERHEADS EXPENSED</t>
  </si>
  <si>
    <t>TOTAL CAPITALIZED PAYROLL</t>
  </si>
  <si>
    <t>TOTAL ALL PAYROLL &amp; PAYROLL RELATED OH</t>
  </si>
  <si>
    <t xml:space="preserve">Transmission By Others </t>
  </si>
  <si>
    <t>SPA - O&amp;M - Newport and Irasburg</t>
  </si>
  <si>
    <t>SPA - Shared Use - Newport and Irasburg</t>
  </si>
  <si>
    <t xml:space="preserve">565.XX </t>
  </si>
  <si>
    <t>Total Transmission by Others</t>
  </si>
  <si>
    <t>PCB, TEST, STORAGE &amp; DISPOSAL</t>
  </si>
  <si>
    <t>MAINT OVERHEAD LINES</t>
  </si>
  <si>
    <t>MAINT OVERHEAD LINES ROW</t>
  </si>
  <si>
    <t>MAINT UNDERGROUND LINES</t>
  </si>
  <si>
    <t>MAINT LINE TRANSFORMERS</t>
  </si>
  <si>
    <t>MAINT STREET LIGHTS</t>
  </si>
  <si>
    <t>MAINT SECURITY LIGHTS</t>
  </si>
  <si>
    <t>METER READING EXPENSES</t>
  </si>
  <si>
    <t>CUST EXP - SQRP ADMINISTRATION</t>
  </si>
  <si>
    <t>HUMAN RESOURCE</t>
  </si>
  <si>
    <t>ADMIN &amp; GENERAL - RATES</t>
  </si>
  <si>
    <t>SAFETY PROGRAM ADMINISTRATIVE</t>
  </si>
  <si>
    <t>BUSINESS DEVELOPMENT</t>
  </si>
  <si>
    <t>Account Name &amp; Description</t>
  </si>
  <si>
    <t>Adjustment Description</t>
  </si>
  <si>
    <t>Transmission By Others - CZN Tariff</t>
  </si>
  <si>
    <t>MAINT WHSE &amp; GARAGE NORTH</t>
  </si>
  <si>
    <t>MAINT WHSE &amp; GARAGE SOUTH</t>
  </si>
  <si>
    <t>DISTRIBUTION OPERATION</t>
  </si>
  <si>
    <t>DISTRIBUTION MAINTENANCE</t>
  </si>
  <si>
    <t>CUSTOMER ACCOUNTS</t>
  </si>
  <si>
    <t>ADMIN. &amp; GENERAL</t>
  </si>
  <si>
    <t>TOTAL O&amp;M</t>
  </si>
  <si>
    <t>DEPRECIATION EXPENSE</t>
  </si>
  <si>
    <t>GROSS REVENUE TAX</t>
  </si>
  <si>
    <t>OTHER INTEREST</t>
  </si>
  <si>
    <t>OTHER DEDUCTIONS</t>
  </si>
  <si>
    <t>TOTAL COST OF SERVICE</t>
  </si>
  <si>
    <t>OTHER CAPITAL CREDITS</t>
  </si>
  <si>
    <t>TOTAL REVENUE REQUIREMENT</t>
  </si>
  <si>
    <t>REVENUE AT EXISTING RATES</t>
  </si>
  <si>
    <t>REVENUE LESS EXPENSES</t>
  </si>
  <si>
    <t>ACCT</t>
  </si>
  <si>
    <t>RENT FROM ELECTRIC PROPERTY</t>
  </si>
  <si>
    <t>OTHER ELECTRIC REVENUES</t>
  </si>
  <si>
    <t>LOAD DISPATCHING</t>
  </si>
  <si>
    <t>TRANSMISSION BY OTHERS</t>
  </si>
  <si>
    <t>OVERHEAD LINE EXPENSE</t>
  </si>
  <si>
    <t>US DOT REGULATIONS</t>
  </si>
  <si>
    <t>UNDERGROUND LINE EXPENSE</t>
  </si>
  <si>
    <t>CUSTOMER INSTALLATIONS EXPENSE</t>
  </si>
  <si>
    <t>MISC DIST EXP - MAPPING</t>
  </si>
  <si>
    <t>RENTS</t>
  </si>
  <si>
    <t>RETURN (x.x TIER) see line 32</t>
  </si>
  <si>
    <t>REVENUE LESS EXPENSES (MARGIN)</t>
  </si>
  <si>
    <t>CUSTOMER RECORDS EXPENSE</t>
  </si>
  <si>
    <t>CUSTOMER EXP - CASH DIFFERENCE</t>
  </si>
  <si>
    <t>UNCOLLECTABLE ACCOUNTS</t>
  </si>
  <si>
    <t>ADMIN &amp; GENERAL SALARIES</t>
  </si>
  <si>
    <t>MICROGRAPHICS EXPENSE</t>
  </si>
  <si>
    <t>Net Rate Impact</t>
  </si>
  <si>
    <t>OFFICE SUPPLIES &amp; EXPENSE</t>
  </si>
  <si>
    <t>OUTSIDE SERVICES EMP</t>
  </si>
  <si>
    <t>INJURIES &amp; DAMAGES</t>
  </si>
  <si>
    <t>MISC GEN EXP EMP, ASSOC MTGS</t>
  </si>
  <si>
    <t>MISC GEN EXP EMP MTGS</t>
  </si>
  <si>
    <t>MISC GEN EXP DIRECTORS</t>
  </si>
  <si>
    <t>DEPRECIATION EXP - TRANS</t>
  </si>
  <si>
    <t>DEPRECIATION EXP - DIST.</t>
  </si>
  <si>
    <t>DEPRECIATION EXP - GEN PLANT</t>
  </si>
  <si>
    <t>Base Salary</t>
  </si>
  <si>
    <t>Overtime</t>
  </si>
  <si>
    <t>On-call</t>
  </si>
  <si>
    <t>Health Benefits (net)</t>
  </si>
  <si>
    <t>401(k)</t>
  </si>
  <si>
    <t>Pension</t>
  </si>
  <si>
    <t xml:space="preserve">Life </t>
  </si>
  <si>
    <t>Total Benefits</t>
  </si>
  <si>
    <t>Workers Comp</t>
  </si>
  <si>
    <t>Total Direct Compensation</t>
  </si>
  <si>
    <t>General Liability (25%)</t>
  </si>
  <si>
    <t>Total Other Payroll Related Costs</t>
  </si>
  <si>
    <t>Total Payroll Costs</t>
  </si>
  <si>
    <t xml:space="preserve">Payroll Tax </t>
  </si>
  <si>
    <t>Insurance that does not follow payroll:</t>
  </si>
  <si>
    <t>Insurance that follows payroll:</t>
  </si>
  <si>
    <t>Total Insurance *</t>
  </si>
  <si>
    <t xml:space="preserve"> * Insurance Spread</t>
  </si>
  <si>
    <t>Meal Allowance</t>
  </si>
  <si>
    <t>TAXES - GROSS REVENUE</t>
  </si>
  <si>
    <t>INTEREST - OTHER LTD</t>
  </si>
  <si>
    <t>OTHER INTEREST EXPENSE</t>
  </si>
  <si>
    <t>OTHER INC DED - DONATIONS</t>
  </si>
  <si>
    <t>OTHER INC DED - ABAN WO'S</t>
  </si>
  <si>
    <t>REVENUE REQUIREMENTS SUMMARY</t>
  </si>
  <si>
    <t>2, 2A</t>
  </si>
  <si>
    <t>Source</t>
  </si>
  <si>
    <t xml:space="preserve"> Pro Forma Adjustments</t>
  </si>
  <si>
    <t>MWH</t>
  </si>
  <si>
    <t>555.00 Purchased Power</t>
  </si>
  <si>
    <t>Energy Sold</t>
  </si>
  <si>
    <t>447.00 Sales for Resale</t>
  </si>
  <si>
    <t>Net Purchased Power</t>
  </si>
  <si>
    <t>VELCO Transmission</t>
  </si>
  <si>
    <t>Other Capital Credits</t>
  </si>
  <si>
    <t>CFC Return of Patronage - Cash</t>
  </si>
  <si>
    <t>CoBank Return of Patronage - Cash</t>
  </si>
  <si>
    <t>NISC Return of Patronage - Cash</t>
  </si>
  <si>
    <t>Balance</t>
  </si>
  <si>
    <t>INTEREST ON LONG TERM DEBT</t>
  </si>
  <si>
    <t>OTHER JOBBING; CONTRACT WORK</t>
  </si>
  <si>
    <t>Amortization Schedule</t>
  </si>
  <si>
    <t>593.00</t>
  </si>
  <si>
    <t>Description</t>
  </si>
  <si>
    <t>Non-Cash Equity is excluded from TIER by covenants</t>
  </si>
  <si>
    <t>TOTAL INTEREST ON LONG TERM DEBT</t>
  </si>
  <si>
    <t>Pro Forma</t>
  </si>
  <si>
    <t>Adjustments</t>
  </si>
  <si>
    <t>INTEREST &amp; DIV INCOME</t>
  </si>
  <si>
    <t>INTEREST &amp; DIV INCOME - NOTES</t>
  </si>
  <si>
    <t>Gross Receipts Tax</t>
  </si>
  <si>
    <t>RETURN (1 plus Margin) - additional required</t>
  </si>
  <si>
    <t>CHART OF ACCOUNTS TRIAL BALANCE</t>
  </si>
  <si>
    <t>TRANSPORTATION - UNDISTRIBUTED</t>
  </si>
  <si>
    <t>Detailed Schedule of Transmission By Others (FERC Acct 565)</t>
  </si>
  <si>
    <t>AMORTIZATION:</t>
  </si>
  <si>
    <t>ACC PROV DEPR - TRANS</t>
  </si>
  <si>
    <t>ACC PROV DEPR - DIST</t>
  </si>
  <si>
    <t>ACC PROV DEPR - STRUCTURE</t>
  </si>
  <si>
    <t>ACC PROV DEPR - OFFICE EQUIPMENT</t>
  </si>
  <si>
    <t>ACC PROV DEPR - STORES</t>
  </si>
  <si>
    <t>ACC PROV DEPR - TOOLS</t>
  </si>
  <si>
    <t>ACC PROV DEPR - RADIO</t>
  </si>
  <si>
    <t>ACC PROV DEPR - MISCELLANEOUS</t>
  </si>
  <si>
    <t>ACC PROV DEPR - TRANSPORTATION</t>
  </si>
  <si>
    <t>DISTRIBUTION OPERATION - PROPERTY TAXES</t>
  </si>
  <si>
    <t>OTHER CAP CREDITS - NISC</t>
  </si>
  <si>
    <t>$</t>
  </si>
  <si>
    <t>CUSTOMER A/R - RECONCILIATION</t>
  </si>
  <si>
    <t>UNCOLL EEU - WRITTEN OFF</t>
  </si>
  <si>
    <t>EEU - REIMBURSEMENTS</t>
  </si>
  <si>
    <t>INVENTORY ADJMT</t>
  </si>
  <si>
    <t>OTHER PREPAYMENTS - POSTAGE</t>
  </si>
  <si>
    <t>DEPRECIATION:</t>
  </si>
  <si>
    <t>Annual</t>
  </si>
  <si>
    <t>GROSS RECEIPTS &amp; GROSS REVENUE TAX</t>
  </si>
  <si>
    <t>First Wind - Index to Market</t>
  </si>
  <si>
    <t>VPPSA Peaker</t>
  </si>
  <si>
    <t>CRC Return of Patronage - Cash</t>
  </si>
  <si>
    <t>VEC Power Costs</t>
  </si>
  <si>
    <t>ADJ Test Year</t>
  </si>
  <si>
    <t>OFFICE FURN &amp; EQUIP-HIGHGATE</t>
  </si>
  <si>
    <t>AMORTIZATION EXPENSE - ACQ</t>
  </si>
  <si>
    <t>AMORTIZATION EXPENSE - DSM, DEBT &amp; MISC</t>
  </si>
  <si>
    <t>OTHER REVENUES--Transm; SFRO, Jobbing, bldg income</t>
  </si>
  <si>
    <t>EXTRAORDINARY ITEMS (Gain  Disp Prop-Extra-ord Ded)</t>
  </si>
  <si>
    <t>ELECTRIC PLANT ACQ ADJ</t>
  </si>
  <si>
    <t>PAT CAP - SEDC</t>
  </si>
  <si>
    <t>OTHER INVESTMENTS - STOCK</t>
  </si>
  <si>
    <t>OTHER SPECIAL DEPOSITS</t>
  </si>
  <si>
    <t>UNCOLL ENERGY - WRITTEN OFF</t>
  </si>
  <si>
    <t>ACC PROV UNCOLL ENERGY</t>
  </si>
  <si>
    <t>5/04-4/05</t>
  </si>
  <si>
    <t>582.99 &amp;</t>
  </si>
  <si>
    <t>Work Area for Property Taxes:</t>
  </si>
  <si>
    <t>CWIP CAPITAL</t>
  </si>
  <si>
    <t>583.99 &amp; 586.99</t>
  </si>
  <si>
    <t>903.99</t>
  </si>
  <si>
    <t>PROP. TAX OH LINE EXPENSE TRANSMISSION</t>
  </si>
  <si>
    <t>PROP. TAX SUBSTATION EXPENSE</t>
  </si>
  <si>
    <t>PROP. TAX OH LINE EXPENSE DISTRIBUTION</t>
  </si>
  <si>
    <t>PROP. TAX METER EXPENSES</t>
  </si>
  <si>
    <t>PROP. TAX CUSTOMER RECORDS EXPENSE</t>
  </si>
  <si>
    <t>PROP. TAX MISC GENERAL EXPENSE</t>
  </si>
  <si>
    <t>UNCOLL MDSE - WRITTEN OFF</t>
  </si>
  <si>
    <t>MATERIALS - ELECTRIC</t>
  </si>
  <si>
    <t>MATERIALS - TRUCK PARTS</t>
  </si>
  <si>
    <t>Amortization Expense</t>
  </si>
  <si>
    <t>STORES EXPENSE - UNDISTRIBUTED</t>
  </si>
  <si>
    <t>Schedule #</t>
  </si>
  <si>
    <t>N/A</t>
  </si>
  <si>
    <t>Schedule 11</t>
  </si>
  <si>
    <t>Schedule 3</t>
  </si>
  <si>
    <t>Schedule 4</t>
  </si>
  <si>
    <t>Schedule 5</t>
  </si>
  <si>
    <t>Schedule 6</t>
  </si>
  <si>
    <t>OTHER PREPAYMENTS</t>
  </si>
  <si>
    <t>OTHER PREPAYMENTS - DUES</t>
  </si>
  <si>
    <t>OTHER PREPAYMENTS - RET</t>
  </si>
  <si>
    <t>OTHER PREPAYMENTS - LTD</t>
  </si>
  <si>
    <t>OTHER PREPAYMENTS - LIFE</t>
  </si>
  <si>
    <t>OTHER PREPAYMENTS - SAVINGS</t>
  </si>
  <si>
    <t>VEC SPECIAL MEETING</t>
  </si>
  <si>
    <t>2004 VERMONT ELECTRIC PLAN (DPS)</t>
  </si>
  <si>
    <t>AMI METER INSTALLS</t>
  </si>
  <si>
    <t>Workpaper Available</t>
  </si>
  <si>
    <t>Total Additions to Plant in Svc</t>
  </si>
  <si>
    <t>Retirements</t>
  </si>
  <si>
    <t>Proforma Change</t>
  </si>
  <si>
    <t>Depreciation Expense</t>
  </si>
  <si>
    <t>Line</t>
  </si>
  <si>
    <t>Schedule S6-A</t>
  </si>
  <si>
    <t>PAT CAP - CRC</t>
  </si>
  <si>
    <t>CIS A/R CLEARING</t>
  </si>
  <si>
    <t>OTHER PREPAYMENTS - UNIFORMS</t>
  </si>
  <si>
    <t>Transmission By Others  DMNRC</t>
  </si>
  <si>
    <t>LAND AND LAND RIGHTS - TRANS</t>
  </si>
  <si>
    <t>STATION EQUIPMENT - TRANS</t>
  </si>
  <si>
    <t>POLE AND FIXTURES - TRANS</t>
  </si>
  <si>
    <t>EXHIBIT: VEC-MLB-3</t>
  </si>
  <si>
    <t>TOTAL Req'd Margin = 0.5 TIER</t>
  </si>
  <si>
    <t>REVENUE REQUIREMENTS SUMMARY (1.5 TIER)</t>
  </si>
  <si>
    <t>TOTAL REQUIRED ADDITIONAL REVENUE (TIER = 1.8)</t>
  </si>
  <si>
    <t>Difference In Revenue Requirements TIER of 1.5 vs 1.8</t>
  </si>
  <si>
    <t>LAND AND LAND RIGHTS - DIST</t>
  </si>
  <si>
    <t>STATION EQUIPMENT</t>
  </si>
  <si>
    <t>POLES TOWERS AND FIXTURES</t>
  </si>
  <si>
    <t>OVERHEAD CONDUCTOR AND DEVICES</t>
  </si>
  <si>
    <t>UNDERGROUND CONDUIT</t>
  </si>
  <si>
    <t>LINE TRANSFORMERS</t>
  </si>
  <si>
    <t>SERVICES</t>
  </si>
  <si>
    <t>METERS</t>
  </si>
  <si>
    <t>METER SOCKETS</t>
  </si>
  <si>
    <t>STREET LIGHTING</t>
  </si>
  <si>
    <t>Total Depreciation for Adjusted Test Year</t>
  </si>
  <si>
    <t>OFFICE FURNITURE AND EQUIPMENT</t>
  </si>
  <si>
    <t>COMPUTER EQUIPMENT</t>
  </si>
  <si>
    <t>Acct</t>
  </si>
  <si>
    <t>Transmission</t>
  </si>
  <si>
    <t>SUBTOTAL VEGETATION MANAGEMENT:</t>
  </si>
  <si>
    <t xml:space="preserve">Phase I Support </t>
  </si>
  <si>
    <t>Phase II Support</t>
  </si>
  <si>
    <t>GMP OATT</t>
  </si>
  <si>
    <t>Bill Back Agreement</t>
  </si>
  <si>
    <t>Arlon Warner</t>
  </si>
  <si>
    <t>ISO 90-Day Resettlement</t>
  </si>
  <si>
    <t>TRANSPORTATION EQUIPMENT</t>
  </si>
  <si>
    <t>STORES EQUIPMENT</t>
  </si>
  <si>
    <t>TOOLS\SHOP\GARAGE EQUIPMENT</t>
  </si>
  <si>
    <t>LABORATORY EQUIPMENT</t>
  </si>
  <si>
    <t>POWER OPERATED EQUIPMENT</t>
  </si>
  <si>
    <t>MISCELLANEOUS EQUIPMENT</t>
  </si>
  <si>
    <t>SCHEDULE 2</t>
  </si>
  <si>
    <t>SCHEDULE 3</t>
  </si>
  <si>
    <t>SCHEDULE 4</t>
  </si>
  <si>
    <t>DSM EXPENSE excluding amortization</t>
  </si>
  <si>
    <t>INCREASE (DECREASE) IN COST</t>
  </si>
  <si>
    <t>SCHEDULE 5</t>
  </si>
  <si>
    <t>SCHEDULE 6</t>
  </si>
  <si>
    <t>REGULATORY COMM EXP</t>
  </si>
  <si>
    <t>MISC GEN EXP COOP LIFE</t>
  </si>
  <si>
    <t>ADMINISTRATION &amp; GENERAL</t>
  </si>
  <si>
    <t>SCHEDULE 8</t>
  </si>
  <si>
    <t>SCHEDULE 10</t>
  </si>
  <si>
    <t>SCHEDULE 11</t>
  </si>
  <si>
    <t>SCHEDULE 12</t>
  </si>
  <si>
    <t>OTHER INCOME</t>
  </si>
  <si>
    <t>INTEREST ON LT DEBT - blend</t>
  </si>
  <si>
    <t>PROPERTY TAXES - per FERC instructions-follows property</t>
  </si>
  <si>
    <t>LTD</t>
  </si>
  <si>
    <t>INTEREST &amp; DIVIDEND INCOME 419's</t>
  </si>
  <si>
    <t>OTHER CAP CREDITS - COBANK</t>
  </si>
  <si>
    <t>PAT CAP - COBANK</t>
  </si>
  <si>
    <t>PAT CAP - NISC</t>
  </si>
  <si>
    <t>From Detailed Schedule Below</t>
  </si>
  <si>
    <t>DSM NOTES - WRITTEN OFF</t>
  </si>
  <si>
    <t>MAINT RADIO CONTROLS</t>
  </si>
  <si>
    <t>OTHER INC DED - LOBBYING</t>
  </si>
  <si>
    <t xml:space="preserve">SCHEDULE 1 </t>
  </si>
  <si>
    <t>Test Year</t>
  </si>
  <si>
    <t>SCHEDULE 7</t>
  </si>
  <si>
    <t>Subtotal Operating Costs</t>
  </si>
  <si>
    <t>Schedule S7</t>
  </si>
  <si>
    <t>REVENUE LESS EXPENSES - TEST YR VS. ADJ TEST YR</t>
  </si>
  <si>
    <t>REQ'D ADDITIONAL REVENUE / REVENUE @ EXISTING RATES</t>
  </si>
  <si>
    <t>TOTAL REQUIRED ADDITIONAL REVENUE</t>
  </si>
  <si>
    <t>line 34</t>
  </si>
  <si>
    <t>TEST YEAR</t>
  </si>
  <si>
    <t>ADJUSTED</t>
  </si>
  <si>
    <t>REF</t>
  </si>
  <si>
    <t>LINE</t>
  </si>
  <si>
    <t>DESCRIPTION</t>
  </si>
  <si>
    <t>AMOUNT</t>
  </si>
  <si>
    <t>ADJUSTMENTS</t>
  </si>
  <si>
    <t>SCHED</t>
  </si>
  <si>
    <t>PURCHASED POWER</t>
  </si>
  <si>
    <t>TRANSMISSION</t>
  </si>
  <si>
    <t>Account</t>
  </si>
  <si>
    <t>Total Purchase Power Pro Forma Adjustments</t>
  </si>
  <si>
    <t>VEGETATION MANAGEMENT:</t>
  </si>
  <si>
    <t>ADMINISTRATIVE &amp; GENERAL</t>
  </si>
  <si>
    <t>RWIP - FORCE ACCOUNT</t>
  </si>
  <si>
    <t>CLEARING - TRANSPORTATION</t>
  </si>
  <si>
    <t>CLEARING - TOOL EXPENSE LINE</t>
  </si>
  <si>
    <t>CLEARING - COMPUTER EXPENSE</t>
  </si>
  <si>
    <t>ACC EMPLOYEES SICK LEAVE</t>
  </si>
  <si>
    <t>ACC EMPLOYEES HOLIDAY</t>
  </si>
  <si>
    <t xml:space="preserve">Test Year </t>
  </si>
  <si>
    <t>G/L #</t>
  </si>
  <si>
    <t>G/L No. Description</t>
  </si>
  <si>
    <t>REVENUE UNBILLED EOY - CLEARING</t>
  </si>
  <si>
    <t>SALES - RURAL RESIDENTIAL</t>
  </si>
  <si>
    <t>SALES - RESIDENTIAL SEAS</t>
  </si>
  <si>
    <t>SALES - COMMERCIAL / GENERAL</t>
  </si>
  <si>
    <t>SALES - INDUSTRIAL</t>
  </si>
  <si>
    <t>SALES - PUBLIC STREET LIGHTING</t>
  </si>
  <si>
    <t>SALES -  PUBLIC BUILDINGS</t>
  </si>
  <si>
    <t>SALES FOR RESALE - OTHER</t>
  </si>
  <si>
    <t>MISC SERVICES REVENUES</t>
  </si>
  <si>
    <t>OTHER REVENUE - METALLIC</t>
  </si>
  <si>
    <t>RENEWABLE ENERGY CREDITS</t>
  </si>
  <si>
    <t>Operating Revenue</t>
  </si>
  <si>
    <t>OTHER POWER GEN-OPER SUPV/ENGR</t>
  </si>
  <si>
    <t>OTHER POWER GENERATION EXP</t>
  </si>
  <si>
    <t>OTHER POWER GEN EXP-PROP TAX</t>
  </si>
  <si>
    <t>MISC OTHER POWER GENERATION EXP</t>
  </si>
  <si>
    <t>Power Production Expense</t>
  </si>
  <si>
    <t>HYDRO QUEBEC DISALLOWANCE</t>
  </si>
  <si>
    <t>OTHER EXPENSES-POWER</t>
  </si>
  <si>
    <t>RENEWABLE ENERGY CREDITS EXPENSES</t>
  </si>
  <si>
    <t>TRANS SUPERVISION - OPER (KCW-GMP)</t>
  </si>
  <si>
    <t>TRANSMISSION-LOAD DISPATCHING-SCADA</t>
  </si>
  <si>
    <t>TRANSMISSION SUBSTATION - OPERATION</t>
  </si>
  <si>
    <t>TRANSMISSION SUBSTATION-OPER (KCW-GMP)</t>
  </si>
  <si>
    <t>OVERHEAD LINE EXPENSE - TRANSM</t>
  </si>
  <si>
    <t>OVHD LINE EXP-TRANS-OPER (KCW-GMP)</t>
  </si>
  <si>
    <t>O/H LINE EXP-TRANSM - PROP TAX</t>
  </si>
  <si>
    <t>TRANSM. BY OTHERS-CZN TARIFF</t>
  </si>
  <si>
    <t>TRANSM. BY OTHERS-HIGHGATE</t>
  </si>
  <si>
    <t>TRANSM. BY OTHERS-METALLIC</t>
  </si>
  <si>
    <t>SUPV-ENGR MAINT TRANSMISSION</t>
  </si>
  <si>
    <t>TRANS SUPERVISION - MAINT (KCW-GMP)</t>
  </si>
  <si>
    <t>MAINT TRANSMISSION STATION EQUIP</t>
  </si>
  <si>
    <t>MAINT TRANSMISSION SUBSTATION-SCADA</t>
  </si>
  <si>
    <t>TRANSMISSION SUBSTATION-MAINT (KCW-GMP)</t>
  </si>
  <si>
    <t>OVHD LINE EXP-TRANS-MAINT (KCW-GMP)</t>
  </si>
  <si>
    <t>MAINT TRANS LINES-ROW (KCW-GMP)</t>
  </si>
  <si>
    <t>MTC TX LINES-BARTON/ORLEANS ROW</t>
  </si>
  <si>
    <t>Transmission Expense</t>
  </si>
  <si>
    <t>Gross Margin</t>
  </si>
  <si>
    <t>DISTRIBUTION-LOAD DISPATCHING-SCADA</t>
  </si>
  <si>
    <t>DISTRIBUTION SUBSTATION - OPERATION</t>
  </si>
  <si>
    <t>DIST-INCIDENT INVESTIGATION</t>
  </si>
  <si>
    <t>STATION EXP - PROPERTY TAX</t>
  </si>
  <si>
    <t>US DOT REGULATIONS-HR RESEARCH</t>
  </si>
  <si>
    <t>DISTRIBUTION - INCIDENT INVESTIGATION</t>
  </si>
  <si>
    <t>O/H LINE EXPENSE - PROPERTY TAX</t>
  </si>
  <si>
    <t>UNDERGROUND LINE EXP - DIG SAF</t>
  </si>
  <si>
    <t>AMI OPERATIONS &amp; MTCE</t>
  </si>
  <si>
    <t>METER EXPENSE - PROPERTY TAX</t>
  </si>
  <si>
    <t>CUST INST EXPENSE - TRNS SWT</t>
  </si>
  <si>
    <t>MISC DISTRIBUTION EXP</t>
  </si>
  <si>
    <t>SNOW PLOWING-IN HOUSE (SUBSTATIONS)</t>
  </si>
  <si>
    <t>MISC DIST EXP - POLE ATTACHMEN</t>
  </si>
  <si>
    <t>MISC DIST EXP - J.O. VERIZON</t>
  </si>
  <si>
    <t>MAKE READY WORK FIBER BUILD</t>
  </si>
  <si>
    <t>MISC DIST EXP-FIBER TRANSFERS</t>
  </si>
  <si>
    <t>Distribution Expense - Operations</t>
  </si>
  <si>
    <t>MAINT DISTRIBUTION STATION EQUIP</t>
  </si>
  <si>
    <t>MAINT DISTRIBUTION SUBSTATION-SCADA</t>
  </si>
  <si>
    <t>MAINT - AMI SUBSTATION MAINTENANCE</t>
  </si>
  <si>
    <t>VEGETATIVE MTCE DANGER TREE REM.</t>
  </si>
  <si>
    <t>MAINT LINES ROW - BILLING</t>
  </si>
  <si>
    <t>MAINT MAJOR STORMS NORTH</t>
  </si>
  <si>
    <t>MAINT-2011 SPRING FLOODING (D/C &amp; R/C)</t>
  </si>
  <si>
    <t>MAINT TRANSFORMER NUMBERING</t>
  </si>
  <si>
    <t>MAINTENANCE - MUTUAL AID</t>
  </si>
  <si>
    <t>MAINT METERS</t>
  </si>
  <si>
    <t>Distribution Expense - Maintenance</t>
  </si>
  <si>
    <t>CUSTOMER DISC &amp; COLLECTION EXP</t>
  </si>
  <si>
    <t>CUST RECORDS EXP - PROPERTY TA</t>
  </si>
  <si>
    <t>MISC CUSTOMER A/C'S EXPENSE</t>
  </si>
  <si>
    <t>CUSTOMER ASSISTANCE / COMMUNICATION EXP</t>
  </si>
  <si>
    <t>Customer Accounts Expense</t>
  </si>
  <si>
    <t>DEMONSTRATING &amp; SELLING EXP</t>
  </si>
  <si>
    <t>Sales Expense</t>
  </si>
  <si>
    <t>DSM-EEU COORDINATION</t>
  </si>
  <si>
    <t>EMPLOYEE BUYOUT / SEVERANCE EXP</t>
  </si>
  <si>
    <t>SAFETY, HAZ MAT RELATED EXP</t>
  </si>
  <si>
    <t>SALES TAX AUDIT EXPENSE</t>
  </si>
  <si>
    <t>EMPLOYEE BEN - IBEW PRIOR SERV</t>
  </si>
  <si>
    <t>DERBY LINE SETTLEMENT-DKT 5246</t>
  </si>
  <si>
    <t>SMART GRID GRANT ADMINISTRATION</t>
  </si>
  <si>
    <t>SMART GRID CUSTOMER SYSTEMS ADM.</t>
  </si>
  <si>
    <t>VEC GREEN TEAM (VOLUNTARY PRICE PROGRAM)</t>
  </si>
  <si>
    <t>IRP-INTERNAL &amp; LEGAL</t>
  </si>
  <si>
    <t>DKT 6801 TAFT CNR AREA SPEC COLL</t>
  </si>
  <si>
    <t>DKT #    -COST OF SERVICE STUDY</t>
  </si>
  <si>
    <t>DKT #    - RATE CASE</t>
  </si>
  <si>
    <t>DKT #7273-SQRP INVESTIGATION</t>
  </si>
  <si>
    <t>VEC EASEMENTS</t>
  </si>
  <si>
    <t>GENERAL ADVERTISING EXP</t>
  </si>
  <si>
    <t>MISC GEN EXP/SURVEY/ASSOC DUES</t>
  </si>
  <si>
    <t>MISC ANNUAL MTG GEN EXP</t>
  </si>
  <si>
    <t>MISC GEN EXP-STRATEGIC PLANNING</t>
  </si>
  <si>
    <t>MISC GEN EXPENSE - PROPERTY TA</t>
  </si>
  <si>
    <t>MAINT GEN PROP HDQTRS</t>
  </si>
  <si>
    <t>MAINT GEN PROP MISC EQUIP</t>
  </si>
  <si>
    <t>Administrative &amp; General Expenses</t>
  </si>
  <si>
    <t>Total Operating &amp; Maintenance Expenses</t>
  </si>
  <si>
    <t>DEPREC. EXP-OTHER PRODUCTION</t>
  </si>
  <si>
    <t>DEPRECIATION EXP-TRAN-CZN TARIFF</t>
  </si>
  <si>
    <t>DEPRECIATION EXP-TRAN-HIGHGATE</t>
  </si>
  <si>
    <t>DEPRECIATION EXP-TRAN-METALLIC</t>
  </si>
  <si>
    <t>AMORTIZATION OF DEFERRED CHARGES</t>
  </si>
  <si>
    <t>Depreciation &amp; Amortization Expenses</t>
  </si>
  <si>
    <t>TAXES - FUEL GROSS RECEIPTS</t>
  </si>
  <si>
    <t>Tax Exp. - Prop. &amp; Receipts</t>
  </si>
  <si>
    <t>INTEREST - COBANK (2001 BOND)</t>
  </si>
  <si>
    <t>INTEREST-COBANK (2002 BOND)</t>
  </si>
  <si>
    <t>INTEREST-COBANK (2003 A BOND)</t>
  </si>
  <si>
    <t>INTEREST-COBANK (2003 B BOND)</t>
  </si>
  <si>
    <t>INTEREST-CFC (2004 A BOND)</t>
  </si>
  <si>
    <t>INTEREST-CFC (2005 A BOND)</t>
  </si>
  <si>
    <t>INTEREST-CFC (2006 A BOND)</t>
  </si>
  <si>
    <t>INTEREST-COBANK (2008 B BOND)</t>
  </si>
  <si>
    <t>Interest on Long Term Debt</t>
  </si>
  <si>
    <t>Other Interest Expense</t>
  </si>
  <si>
    <t>Other Deductions</t>
  </si>
  <si>
    <t>Total Cost of Electric Service</t>
  </si>
  <si>
    <t>Patronage Capital &amp; Operating Margins</t>
  </si>
  <si>
    <t>Non-Operating Margin Interest Income</t>
  </si>
  <si>
    <t>REVENUE - BARTON/ORLEANS</t>
  </si>
  <si>
    <t>REVENUE - JOBBING (KCW-GMP)</t>
  </si>
  <si>
    <t>REVENUE-CONT SERV-OTHER UTIL #1</t>
  </si>
  <si>
    <t>REVENUE-CONT SERV-OTHER UTIL #2</t>
  </si>
  <si>
    <t>REVENUE-CONT SERV-OTHER UTIL #3</t>
  </si>
  <si>
    <t>REVENUE-CONT SERV-OTHER UTIL #4</t>
  </si>
  <si>
    <t>REVENUES - VELCO JOBBING</t>
  </si>
  <si>
    <t>COSTS - MDSE - BARTON/ORLEANS</t>
  </si>
  <si>
    <t>COSTS - MDSE - (KCW-GMP)</t>
  </si>
  <si>
    <t>COSTS-CONT SERV-OTHER UTIL #1</t>
  </si>
  <si>
    <t>COSTS-CONT SERV-OTHER UTIL #2</t>
  </si>
  <si>
    <t>COSTS-CONT SERV-OTHER UTIL #3</t>
  </si>
  <si>
    <t>COSTS-CONT SERV-OTHER UTIL #4</t>
  </si>
  <si>
    <t>COSTS - MDSE - VELCO</t>
  </si>
  <si>
    <t>COSTS - SERVICES FOR REDONA, INC</t>
  </si>
  <si>
    <t>REVENUE-SCHOOL ST BLDG LEASE</t>
  </si>
  <si>
    <t>EXPENSES-SCHOOL ST BLDG LEASE</t>
  </si>
  <si>
    <t>GAIN/LOSS-DISPOSITION OF PROP.</t>
  </si>
  <si>
    <t>Non-Operating Margin - Other</t>
  </si>
  <si>
    <t>OTHER CAP CREDITS- CFC</t>
  </si>
  <si>
    <t>OTHER CAP CREDITS - CRC</t>
  </si>
  <si>
    <t>Other Capital Credits &amp; Partronage Dividends</t>
  </si>
  <si>
    <t>EX. ITEM-TELECOM</t>
  </si>
  <si>
    <t>Extraordinary items</t>
  </si>
  <si>
    <t>Net Patronage Capital &amp; Margins</t>
  </si>
  <si>
    <t>COMPLETED CONST NOT CLASSIFIED</t>
  </si>
  <si>
    <t>LAND/LAND RIGHTS-TRAN-EASE &amp; ROW</t>
  </si>
  <si>
    <t>LAND/LAND RIGHTS-TRN-CZN-TARIF</t>
  </si>
  <si>
    <t>LAND/LAND RIGHTS-TRANS-HIGHGATE</t>
  </si>
  <si>
    <t>STRUCTURES TRANSM-CZN TARIFF</t>
  </si>
  <si>
    <t>STRUCTURE &amp; IMPROVE-TRN-HIGHGATE</t>
  </si>
  <si>
    <t>STATION EQUIP-TRANS-CZN TARIFF</t>
  </si>
  <si>
    <t>STATION EQUIP-TRANS-HIGHGATE</t>
  </si>
  <si>
    <t>POLES &amp; FIXTURES-TRAN-CZN TARIFF</t>
  </si>
  <si>
    <t>POLES &amp; FIXTURES-TRAN-HIGHGATE</t>
  </si>
  <si>
    <t>OVERHEAD CONDUCTORS &amp; DEV -TRA</t>
  </si>
  <si>
    <t>OVHD COND &amp; DEV-TRAN-CZN TARIFF</t>
  </si>
  <si>
    <t>OVHD COND &amp; DEV-TRAN-HIGHGATE</t>
  </si>
  <si>
    <t>OVHD COND &amp; DEV-TRAN-METALLIC</t>
  </si>
  <si>
    <t>UNDERGROUND CONDUIT-TRANS</t>
  </si>
  <si>
    <t>UNGD CONDUCTOR &amp; DEVICES-TRANS</t>
  </si>
  <si>
    <t>LAND AND LAND RIGHTS PROC-DIST</t>
  </si>
  <si>
    <t>UNDERGROUND CONDUCTOR &amp; DEVICE</t>
  </si>
  <si>
    <t>INST CONS PREM-SEC LGTS</t>
  </si>
  <si>
    <t>INST CONS PREM-NEUTRAL ISOLATO</t>
  </si>
  <si>
    <t>LAND &amp; RIGHTS-GENERAL PLANT</t>
  </si>
  <si>
    <t>STRUCTURES-HEADQUARTERS</t>
  </si>
  <si>
    <t>ASSET UNDER CAPITAL LEASE-DERBY</t>
  </si>
  <si>
    <t>STRUCTURES-HIGHGATE</t>
  </si>
  <si>
    <t>STRUCTURES-GARAGE\WAREHOUSE</t>
  </si>
  <si>
    <t>AMI METER INSTALLS - MODULES</t>
  </si>
  <si>
    <t>COMMUNICATIONS EQUIPMENT</t>
  </si>
  <si>
    <t>COMM. EQUIPMENT-SCADA</t>
  </si>
  <si>
    <t>COMM. EQUIPMENT-FIBER</t>
  </si>
  <si>
    <t>MISC EQUIPMENT - DEMONSTRATION</t>
  </si>
  <si>
    <t>CWIP - FORCE ACCOUNT</t>
  </si>
  <si>
    <t>CWIP-PROJECTS IN SERVICE 106.00</t>
  </si>
  <si>
    <t>CWIP - SPECIAL EQUIPMENT PURCHAS</t>
  </si>
  <si>
    <t>CWIP-OTHER WO PROJECTS</t>
  </si>
  <si>
    <t>ACC PROV DEPR-TRANS-CZN TARIFF</t>
  </si>
  <si>
    <t>ACC PROV DEPR-TRANS-HIGHGATE</t>
  </si>
  <si>
    <t>ACC PROV DEPR-TRANS-METALLIC</t>
  </si>
  <si>
    <t>ACC PROV DEPR-DIST-AMI METERS</t>
  </si>
  <si>
    <t>ACC PROV DEPR - LAB EQUIP</t>
  </si>
  <si>
    <t>ACC PROV DEPR - POWER OP</t>
  </si>
  <si>
    <t>ACC PROV DEPR - DEM EQUIP</t>
  </si>
  <si>
    <t>ACC PROV-AMORTIZATION</t>
  </si>
  <si>
    <t>PAT CAP - CFC</t>
  </si>
  <si>
    <t>PAT CAP - NRTC</t>
  </si>
  <si>
    <t>INVESTMENT - NEW ENGLAND HYDRO</t>
  </si>
  <si>
    <t>CASH GENERAL FUND - MERCHANTS</t>
  </si>
  <si>
    <t>CASH PAYROLL - PEOPLE'S UNITED</t>
  </si>
  <si>
    <t>CASH GENERAL FUND - PEOPLE'S</t>
  </si>
  <si>
    <t>PETTY CASH $1400, DRAWER $100(2)</t>
  </si>
  <si>
    <t>CASH-EMP CAFETERIA DEP-PEOPLE'S</t>
  </si>
  <si>
    <t>SPECIAL DEP-CHITTENDEN SERV CTR</t>
  </si>
  <si>
    <t>ACC PROV UNCOLL DSM NOTES</t>
  </si>
  <si>
    <t>CUSTOMER A/R UNBILLED - CLEARING</t>
  </si>
  <si>
    <t>CUSTOMER A\R - ELECTRIC</t>
  </si>
  <si>
    <t>CUSTOMER A/R - UNBILLED TREE TRIMMING</t>
  </si>
  <si>
    <t>CUSTOMER A\R - BAD CHECKS</t>
  </si>
  <si>
    <t>CUSTOMER A\R - MISCELLANEOUS</t>
  </si>
  <si>
    <t>A/R-FAIRPOINT JOINT OWNERSHIP</t>
  </si>
  <si>
    <t>CUSTOMER A\R - LINE EXT</t>
  </si>
  <si>
    <t>FEMA REIMBURSEMENT - MAJOR STORM</t>
  </si>
  <si>
    <t>MISC A/R - EMPLOYEE PURCHASES</t>
  </si>
  <si>
    <t>MISC A/R - RECONCILIATION</t>
  </si>
  <si>
    <t>ACC PROV UNCOLL MDSE &amp; MISC</t>
  </si>
  <si>
    <t>UN-INVOICED MATERIAL</t>
  </si>
  <si>
    <t>MINOR MATERIAL</t>
  </si>
  <si>
    <t>OTHER PREPAYMENTS-PROPERTY INS</t>
  </si>
  <si>
    <t>OTHER PREPAYMENTS-VEH. LEASE</t>
  </si>
  <si>
    <t>OTHER PREPAYMENTS-EE SUPP LIFE</t>
  </si>
  <si>
    <t>OTHER PREPAYMENTS - LOANS - EM</t>
  </si>
  <si>
    <t>UNAMORT DEBT SER-REF 1997 BONDS</t>
  </si>
  <si>
    <t>TERRITORIAL RATIONALIZATION STUDY</t>
  </si>
  <si>
    <t>SEALANDER WATER WORKS-PREL SURVE</t>
  </si>
  <si>
    <t>KINGDOM AQUAPONICS BIOMASS-PREL SURVEY</t>
  </si>
  <si>
    <t>HINESBURG WHEELING-PREL SURVEY</t>
  </si>
  <si>
    <t>AGNORTH BIOPOWER-PREL SURVEY</t>
  </si>
  <si>
    <t>CHARLESTON HYDRO PROJ.-PREL SURV</t>
  </si>
  <si>
    <t>JONESLAN FARM GEN.-PREL SURVEY</t>
  </si>
  <si>
    <t>BNE ENGY BIGELOW BASIN-PREL SURV</t>
  </si>
  <si>
    <t>FALLING WATERS HYDRO-PREL SURVEY</t>
  </si>
  <si>
    <t>E FRANKLIN COW POWER-PREL SURVEY</t>
  </si>
  <si>
    <t>PARSONS WIND GENERATION-PREL SUR</t>
  </si>
  <si>
    <t>N.E. WASTE SERVICES-SOLAR-PREL SURVEY</t>
  </si>
  <si>
    <t>CLEARING-COMMUNICATIONS EXPENSE</t>
  </si>
  <si>
    <t>CLEARING - OFFICE SUPPLIES</t>
  </si>
  <si>
    <t>DEF DR-HYDRO QUEBEC DISALLOWANCE</t>
  </si>
  <si>
    <t xml:space="preserve">EFFICIENCY VERMONT </t>
  </si>
  <si>
    <t>INTEREST - COBANK 2012 B BOND</t>
  </si>
  <si>
    <t>COSTS-CONT SERV-OTHER UTIL #5</t>
  </si>
  <si>
    <t>Ending</t>
  </si>
  <si>
    <t>CWIP-M/E-Y/E ACCRUALS AFTER WO CLOSING</t>
  </si>
  <si>
    <t>NON UTILITY PROPERTY</t>
  </si>
  <si>
    <t>CASH REGISTER CLEARING</t>
  </si>
  <si>
    <t>OTHER PREPAYMENTS-HEALTH INSURANCE</t>
  </si>
  <si>
    <t>OTHER PREPAYMENTS-BENEFITS ADMIN FEES</t>
  </si>
  <si>
    <t>ALBURGH SOLAR 1, LLC-PREL SURVEY</t>
  </si>
  <si>
    <t>KCW SVC-PRELIMINARY SURVEY</t>
  </si>
  <si>
    <t>BARTON SOLAR-PRELIMINARY SURVEY</t>
  </si>
  <si>
    <t>MEMBERSHIPS ISSUED</t>
  </si>
  <si>
    <t>PATRONAGE CAPITAL CREDITS</t>
  </si>
  <si>
    <t>PAT CAP CR - LINE EXT</t>
  </si>
  <si>
    <t>PATRONAGE CAPITAL ASSIGNABLE</t>
  </si>
  <si>
    <t>DONATED CAPITAL</t>
  </si>
  <si>
    <t>CHANGE IN NET ASSETS-FAS 158</t>
  </si>
  <si>
    <t>OPERATING MARGINS - NON CURRENT</t>
  </si>
  <si>
    <t>NON OPER. MARGINS-NON CURRENT</t>
  </si>
  <si>
    <t>LTD - 1997 &amp; 2008 SERIES A BONDS</t>
  </si>
  <si>
    <t>LTD - 2010 SERIES A BOND</t>
  </si>
  <si>
    <t>LTD - 2012 A BOND</t>
  </si>
  <si>
    <t>LTD - 2012 B BOND</t>
  </si>
  <si>
    <t>LTD - 2002 SERIES A BONDS</t>
  </si>
  <si>
    <t>LTD - 2003 SERIES A BONDS</t>
  </si>
  <si>
    <t>LTD - 2003 SERIES B BONDS</t>
  </si>
  <si>
    <t>LTD - 2004 SERIES A BONDS</t>
  </si>
  <si>
    <t>LTD - 2005 SERIES A BONDS</t>
  </si>
  <si>
    <t>LTD - 2006 SERIES A BONDS</t>
  </si>
  <si>
    <t>LTD - 2008 SERIES B BONDS</t>
  </si>
  <si>
    <t>LTD - 2009 SERIES A BOND</t>
  </si>
  <si>
    <t>OTHER LTD-CFC REFINANCE NRECA</t>
  </si>
  <si>
    <t>CAPITAL LEASE-NON CURRENT-DERBY</t>
  </si>
  <si>
    <t>CURRENT-1997 &amp; 2008 SERIE A BOND</t>
  </si>
  <si>
    <t>CURRENT - 2010 SERIES A BONDS</t>
  </si>
  <si>
    <t>CURRENT - 2012 A BOND</t>
  </si>
  <si>
    <t>CURRENT - 2012 B BOND</t>
  </si>
  <si>
    <t>CURRENT - 2002 SERIES A BONDS</t>
  </si>
  <si>
    <t>CURRENT-OTHER LTD CFC REF. NRECA</t>
  </si>
  <si>
    <t>CURRENT - 2003 SERIES B BONDS</t>
  </si>
  <si>
    <t>CURRENT - 2004 SERIES A BONDS</t>
  </si>
  <si>
    <t>CURRENT - 2005 SERIES A BONDS</t>
  </si>
  <si>
    <t>CURRENT - 2006 SERIES A BONDS</t>
  </si>
  <si>
    <t>CURRENT - 2008 SERIES B BOND</t>
  </si>
  <si>
    <t>CURRENT - 2009 SERIES A BOND</t>
  </si>
  <si>
    <t>REVOLVING DEBT - COBANK</t>
  </si>
  <si>
    <t>CURRENT - 2003 SERIES A BONDS</t>
  </si>
  <si>
    <t>A/P GENERAL SYSTEM</t>
  </si>
  <si>
    <t>A/P PURCHASED POWER CLEARING</t>
  </si>
  <si>
    <t>CUSTOMER DEPOSITS</t>
  </si>
  <si>
    <t>CUST DEP ENG &amp; TS FEES</t>
  </si>
  <si>
    <t>ACCRUED PROPERTY TAXES</t>
  </si>
  <si>
    <t>ACCRUED US UNEMP TAX</t>
  </si>
  <si>
    <t>ACCRUED FICA TAX</t>
  </si>
  <si>
    <t>ACCRUED STATE UNEMP TAX</t>
  </si>
  <si>
    <t>ACCRUED STATE SALES TAX</t>
  </si>
  <si>
    <t>ACCRUED STATE SALES/USE TAX-AUDIT ADJ.</t>
  </si>
  <si>
    <t>ACCRUED WILLISTON SALES TAX 1%</t>
  </si>
  <si>
    <t>ACCRUED GROSS REVENUE TAX</t>
  </si>
  <si>
    <t>ACCRUED FUEL GROSS RECEIPTS TA</t>
  </si>
  <si>
    <t>ACCRUED LIAB - EEU CHARGE</t>
  </si>
  <si>
    <t>ACCRUED LIAB-RENEWABLE ENERGY PROGRAM</t>
  </si>
  <si>
    <t>INTEREST ACCR-2010 A BOND</t>
  </si>
  <si>
    <t>INTEREST ACCR - 2012 A BOND</t>
  </si>
  <si>
    <t>INTEREST ACCR - 2012 B BOND</t>
  </si>
  <si>
    <t>INTEREST ACCRUED-SHORT TERM</t>
  </si>
  <si>
    <t>INTEREST ACCR-COBANK-2002 BOND</t>
  </si>
  <si>
    <t>INTEREST ACCR-COBANK-2003 A BOND</t>
  </si>
  <si>
    <t>INTEREST ACCR-COBANK-2003 B BOND</t>
  </si>
  <si>
    <t>INTEREST ACCR-CFC-2004 A BOND</t>
  </si>
  <si>
    <t>INTEREST ACCR-CFC-2005 A BOND</t>
  </si>
  <si>
    <t>INTEREST ACCR-CFC-2006 A BOND</t>
  </si>
  <si>
    <t>INTEREST ACCR-COBANK 2008 B BOND</t>
  </si>
  <si>
    <t>INTEREST ACCRUED-2009 A BOND</t>
  </si>
  <si>
    <t>INTEREST ACCRUED DEPOSITS</t>
  </si>
  <si>
    <t>INTEREST ACCRUED BOND</t>
  </si>
  <si>
    <t>TAX COLLECTIONS PAYABLE</t>
  </si>
  <si>
    <t>TAX COLLECTIONS PAYABLE STATE</t>
  </si>
  <si>
    <t>ACC LIAB EMPLOYEE BUYOUT/SEVER</t>
  </si>
  <si>
    <t>ACC EMPLOYEES CTO</t>
  </si>
  <si>
    <t>ACCRUED INSURANCE-BENEFITS</t>
  </si>
  <si>
    <t>ACCRUED INSURANCE-RETIREE BENEFIT</t>
  </si>
  <si>
    <t>ACCRUED POST RET HEALTH &amp; LIFE</t>
  </si>
  <si>
    <t>OTHER LIAB - EMP 401K SAVINGS</t>
  </si>
  <si>
    <t>ACCRUED LIAB - TREE MITIGATION</t>
  </si>
  <si>
    <t>ACCRUED LIAB - MISCELLANEOUS</t>
  </si>
  <si>
    <t>ACCRUED LIAB-ABANDON PROPERTY</t>
  </si>
  <si>
    <t>PAYROLL DEDUCTION CLEARING</t>
  </si>
  <si>
    <t>ACCRUED PAYROLL</t>
  </si>
  <si>
    <t>PAYROLL CLEARING ACCOUNT</t>
  </si>
  <si>
    <t>CAPITAL LEASE-CURRENT-DERBY</t>
  </si>
  <si>
    <t>DEF CR - SPEC EQUIP INSTALL</t>
  </si>
  <si>
    <t>DEF CR - UNEARNED REVENUE</t>
  </si>
  <si>
    <t>DEF CR-GAIN ON DERBY PROP SALE</t>
  </si>
  <si>
    <t>DEF CR - ACCRUED CLEARING A/C</t>
  </si>
  <si>
    <t>DEF CR - ENERGY CERTIFICATES</t>
  </si>
  <si>
    <t>DEF CR - SHARE PROGRAM RECEIPT</t>
  </si>
  <si>
    <t>ACCR LIAB - PRIOR SERVICE</t>
  </si>
  <si>
    <t>STRUCTURES TRANSMMISSION</t>
  </si>
  <si>
    <t>AMI LEASE BUYOUT</t>
  </si>
  <si>
    <t>Profit Clearing Operating</t>
  </si>
  <si>
    <t>Profit Clearing Non Operating</t>
  </si>
  <si>
    <t>Balance Sheet Trial Balance Accounts</t>
  </si>
  <si>
    <t>Change From Prior Year</t>
  </si>
  <si>
    <t>% Increase</t>
  </si>
  <si>
    <t>Property Tax Year</t>
  </si>
  <si>
    <t>Acct #</t>
  </si>
  <si>
    <t>Account Description</t>
  </si>
  <si>
    <t>TOTAL PROPERTY TAXES</t>
  </si>
  <si>
    <t>Net Property Tax for the Year</t>
  </si>
  <si>
    <t>NET PURCHASED POWER (INCLUDES REC's &amp; SFR)</t>
  </si>
  <si>
    <t>OTHER REVENUES  (Pole Attachments, Wheeling, Jobbing)</t>
  </si>
  <si>
    <t>Total Net Purchased Power</t>
  </si>
  <si>
    <t>EAP/BTA/BENE ADMIN FEES</t>
  </si>
  <si>
    <t>AMORTIZATION EXPENSE</t>
  </si>
  <si>
    <t>SCHEDULE 6B</t>
  </si>
  <si>
    <t>Delvin Warner</t>
  </si>
  <si>
    <t>Kingdom Community Wind</t>
  </si>
  <si>
    <t>HQUS</t>
  </si>
  <si>
    <t>Ryegate</t>
  </si>
  <si>
    <t>Renewable Energy Certificates</t>
  </si>
  <si>
    <t>Detailed Schedule of Transmission For Others (FERC Acct 456)</t>
  </si>
  <si>
    <t xml:space="preserve">VEPPI </t>
  </si>
  <si>
    <t>456.00 OTHER ELECTRIC REVENUES</t>
  </si>
  <si>
    <t>OATT Sch 21--VEC No. 8</t>
  </si>
  <si>
    <t>OATT Sch 21--VEC No. 10</t>
  </si>
  <si>
    <t>OATT Sch 20A-VEC</t>
  </si>
  <si>
    <t>TOTAL PATRONAGE CAPITAL</t>
  </si>
  <si>
    <t>OTHER PATRONAGE CAPITAL CREDITS</t>
  </si>
  <si>
    <t>%</t>
  </si>
  <si>
    <t>Amount</t>
  </si>
  <si>
    <t>Revenue @ Existing Rates</t>
  </si>
  <si>
    <t>Increase Expected</t>
  </si>
  <si>
    <t>Percentage Increase</t>
  </si>
  <si>
    <t>Total Increase in Rates</t>
  </si>
  <si>
    <t>***</t>
  </si>
  <si>
    <t>INTEREST &amp; DIVIDEND INCOME</t>
  </si>
  <si>
    <t>External Help</t>
  </si>
  <si>
    <t>Net Outside Services - Major Storm</t>
  </si>
  <si>
    <t>Total</t>
  </si>
  <si>
    <t>CRC Patronage Capital - Equity</t>
  </si>
  <si>
    <t>PERIOD</t>
  </si>
  <si>
    <t xml:space="preserve">**(2)**  </t>
  </si>
  <si>
    <t>Note:  No COLA Adj. Made to Actual Historical Minor Storm Costs</t>
  </si>
  <si>
    <t>PURCHASED POWER - CLEARING</t>
  </si>
  <si>
    <t>Cust Exp – Patronage Capital</t>
  </si>
  <si>
    <t>UNCOLLECTABLE ACCT-POLE ATTACHMENTS</t>
  </si>
  <si>
    <t>TIER 3 ENERGY TRANSFORMATION</t>
  </si>
  <si>
    <t>JAY PEAK RECEIVERSHIP</t>
  </si>
  <si>
    <t>VEC COMMUNITY SOLAR PROJECT</t>
  </si>
  <si>
    <t>INTEREST - COBANK 2013 A BOND</t>
  </si>
  <si>
    <t>INTEREST - COBANK 2014 A BOND</t>
  </si>
  <si>
    <t>OTHER FUNDS-INVESTMENT IN HOMESTEAD 457B</t>
  </si>
  <si>
    <t>CASH PATRONAGE CAPITAL-PEOPLE'S</t>
  </si>
  <si>
    <t>PATRONAGE CAPITAL A/R CLEARING</t>
  </si>
  <si>
    <t>A/R - LOAN THIRD PARTY</t>
  </si>
  <si>
    <t>IRP-OUTSIDE SERVICES</t>
  </si>
  <si>
    <t>DECEMBER, 2013 ICE STORM</t>
  </si>
  <si>
    <t>DECEMBER, 2014 WINTER STORM</t>
  </si>
  <si>
    <t>KIDDER HILL COMMUNITY WIND-PREL SURVEY</t>
  </si>
  <si>
    <t>SUNDA SUNSHOT INITIATIVE-PREL SURVEY</t>
  </si>
  <si>
    <t>NEWPORT WALKER SOLAR-PREL SURVEY</t>
  </si>
  <si>
    <t>BULLROCK DEUTSCHE-ECO SOLAR-PREL SURVEY</t>
  </si>
  <si>
    <t>HIGHGATE WIND 1-PRELIMINARY SURVEY</t>
  </si>
  <si>
    <t>HIGHGATE WIND 2-PRELIMINARY SURVEY</t>
  </si>
  <si>
    <t>HIGHGATE WIND 3-PRELIMINARY SURVEY</t>
  </si>
  <si>
    <t>HIGHGATE WIND 4-PRELIMINARY SURVEY</t>
  </si>
  <si>
    <t>HIGHGATE SOLAR 1-PRELIMINARY SURVEY</t>
  </si>
  <si>
    <t>HIGHGATE SOLAR 2-PRELIMINARY SURVEY</t>
  </si>
  <si>
    <t>SEYMOUR LAKE SOLAR-PRELIMINARY SURVEY</t>
  </si>
  <si>
    <t>BURTON HILL SOLAR-PRELIMINARY SURVEY</t>
  </si>
  <si>
    <t>SHELDON SOLAR-PRELIMINARY SURVEY</t>
  </si>
  <si>
    <t>VWSD ALBURGH SOLAR-PRELIMINARY SURVEY</t>
  </si>
  <si>
    <t>VWSD N TROY SOLAR-PRELIMINARY SURVEY</t>
  </si>
  <si>
    <t>EMPLOYEE BENEFIT CLEARING</t>
  </si>
  <si>
    <t>ABANDONED-PATRONAGE CAPITAL PAID</t>
  </si>
  <si>
    <t>RETIRED CAPITAL CREDITS - GAIN</t>
  </si>
  <si>
    <t>RETIRED CAPITAL CREDITS-UNCLAIMED</t>
  </si>
  <si>
    <t>RETIRED CAPITAL CREDITS-NO CHECK</t>
  </si>
  <si>
    <t>LTD - 2013 A BOND</t>
  </si>
  <si>
    <t>LTD - 2014 A BOND</t>
  </si>
  <si>
    <t>LTD - 2016 A BOND</t>
  </si>
  <si>
    <t>DEFERRED COMPENSATION 457B</t>
  </si>
  <si>
    <t>CURRENT - 2013 A BOND</t>
  </si>
  <si>
    <t>CURRENT - 2014 A BOND</t>
  </si>
  <si>
    <t>CURRENT - 2016 A BOND</t>
  </si>
  <si>
    <t>OTHER DEPOSITS - TRANSMISSION</t>
  </si>
  <si>
    <t>INTEREST ACCR - 2013 A BOND</t>
  </si>
  <si>
    <t>INTEREST ACCR - 2014 A BOND</t>
  </si>
  <si>
    <t>INTEREST ACCR - 2016 A BOND</t>
  </si>
  <si>
    <t>PATRONAGE / ROUNDUP - CHARITY</t>
  </si>
  <si>
    <t>PATRONAGE CAPITAL HOLDING ACCOUNT</t>
  </si>
  <si>
    <t>ACCRUED NON-UNION EXCESS HOURS</t>
  </si>
  <si>
    <t>ACCRUED LIAB - EMPLOYEE UNIFORMS</t>
  </si>
  <si>
    <t>ACCRUED LIAB-EMP 457B PLAN</t>
  </si>
  <si>
    <t>COMPUTER SOFTWARE</t>
  </si>
  <si>
    <t>Work Area:</t>
  </si>
  <si>
    <t>See Avg Calculation Below in Work Area</t>
  </si>
  <si>
    <t>INTEREST - COBANK 2016 A BOND</t>
  </si>
  <si>
    <t>CFC Subordinate Certificates (SCTC)</t>
  </si>
  <si>
    <t>Gross Total Property Tax Expense/Year</t>
  </si>
  <si>
    <t>PROFORMA  LABOR + BENEFIT COST</t>
  </si>
  <si>
    <t>TOTAL TRANSMISSION BY OTHERS</t>
  </si>
  <si>
    <t>456.00 &amp; 456.40</t>
  </si>
  <si>
    <t>Five Year Average Increase</t>
  </si>
  <si>
    <t>Subtotal Savings and Revenue Improvements</t>
  </si>
  <si>
    <t>A.  Material Savings and Revenue Improvements</t>
  </si>
  <si>
    <t>Subtotal of Material Cost Increases and Revenue Decreases</t>
  </si>
  <si>
    <t>B.  Material Cost Increases and Revenue Decreases</t>
  </si>
  <si>
    <t>Net Increase Requested</t>
  </si>
  <si>
    <t>Depreciation</t>
  </si>
  <si>
    <t>Vermont Electric Cooperative, Inc.</t>
  </si>
  <si>
    <t>GMP</t>
  </si>
  <si>
    <t>Enosburg</t>
  </si>
  <si>
    <t>Phase I/II AC Support Facilities PTF</t>
  </si>
  <si>
    <t>AC Support (PTF)</t>
  </si>
  <si>
    <t>Sch 1 &amp; 9 RNS ISO OATT</t>
  </si>
  <si>
    <t>TOTAL ISO-NE OATT</t>
  </si>
  <si>
    <t>ISO SFT Schedule 1</t>
  </si>
  <si>
    <t>ISO SFT Schedule 2</t>
  </si>
  <si>
    <t>ISO SFT Schedule 3 &amp; 5</t>
  </si>
  <si>
    <t>Total ISO Self Funded Tariff</t>
  </si>
  <si>
    <t>Swanton Transmission</t>
  </si>
  <si>
    <t>Encore - Alburgh</t>
  </si>
  <si>
    <t>Encore - Magee Hill</t>
  </si>
  <si>
    <t>Bullrock - Grand Isle</t>
  </si>
  <si>
    <t>Kingdom Community Wind - FCM</t>
  </si>
  <si>
    <t>First Wind - Fixed Price - Energy</t>
  </si>
  <si>
    <t>Hydro Quebec ASE</t>
  </si>
  <si>
    <t>Newport Hydro</t>
  </si>
  <si>
    <t>Net Metering</t>
  </si>
  <si>
    <t>VPPSA FCM Settlement</t>
  </si>
  <si>
    <t>VELCO FCM Settlement</t>
  </si>
  <si>
    <t>VELCO Settlement - MWHs</t>
  </si>
  <si>
    <t>VELCO Settlement - Misc.</t>
  </si>
  <si>
    <t>VELCO Settlement - Resettlement</t>
  </si>
  <si>
    <t>ISO Settlement Sales</t>
  </si>
  <si>
    <t>Detailed Schedule of Net Purchased Power</t>
  </si>
  <si>
    <t>PURCHASED POWER - COMMUNITY SOLAR</t>
  </si>
  <si>
    <t>DEPRECIATION EXP - FIBER</t>
  </si>
  <si>
    <t>REVENUES - MISC JOBBING</t>
  </si>
  <si>
    <t>COSTS-CONT SERV-MISC</t>
  </si>
  <si>
    <t>ACC PROV DEPR - FIBER</t>
  </si>
  <si>
    <t>CUSTOMER A\R - COMMUNITY SOLAR CREDIT</t>
  </si>
  <si>
    <t>COMMUNITY SOLAR NEIGHBORWORKS</t>
  </si>
  <si>
    <t>WESTMAN GLC SOLAR-PREL SURVEY</t>
  </si>
  <si>
    <t>ABANDONED-PATRONAGE CAPITAL</t>
  </si>
  <si>
    <t>RETIRED CAP CR-DORMANCY FEE ON UNCLAIMED</t>
  </si>
  <si>
    <t>LTD - 2016 B BOND</t>
  </si>
  <si>
    <t>CURRENT - 2016 B BOND</t>
  </si>
  <si>
    <t>OTHER DEPOSITS - COMMUNITY SOLAR</t>
  </si>
  <si>
    <t>STORAGE BATTERY EQUIPMENT</t>
  </si>
  <si>
    <t>FIBER CABLE</t>
  </si>
  <si>
    <t>Velco Shares Pre-TRANSCO</t>
  </si>
  <si>
    <t>Velco Preferred, Class B, &amp; Class C Units</t>
  </si>
  <si>
    <t>WATER HEATER ENERGY STORAGE</t>
  </si>
  <si>
    <t>ABC4PV GRANT</t>
  </si>
  <si>
    <t>REVENUE-CONTRACT SERV-MISC</t>
  </si>
  <si>
    <t>COSTS-CONTRACT SERV-MISC</t>
  </si>
  <si>
    <t>ACC PROV UNCOLL-FAIRPOINT J/O AGREEMENT</t>
  </si>
  <si>
    <t>LTD - 2017 A BOND</t>
  </si>
  <si>
    <t>CURRENT - 2017 A BOND</t>
  </si>
  <si>
    <t>INTEREST - COBANK FIRST MORTGAGE BOND</t>
  </si>
  <si>
    <t>INTEREST - COBANK 2012 A BOND</t>
  </si>
  <si>
    <t>INTEREST - FARMER MAC 2010 A BOND</t>
  </si>
  <si>
    <t>INTEREST - CFC 2016 B BOND</t>
  </si>
  <si>
    <t>INTEREST - CFC 2017 A BOND</t>
  </si>
  <si>
    <t>INTEREST - COBANK 2009 A BOND</t>
  </si>
  <si>
    <t>Directly from the VELCO forecast</t>
  </si>
  <si>
    <t>RENT FROM ELECTRIC PROPERTY-CCI AGREE.</t>
  </si>
  <si>
    <t>OPER &amp; ENGR-TERRITORY ANALYSIS</t>
  </si>
  <si>
    <t>USDA GRANT HEAT PUMPS</t>
  </si>
  <si>
    <t>LOAD CONTROL INCENTIVES</t>
  </si>
  <si>
    <t>OTHER CAP CREDITS - MISC</t>
  </si>
  <si>
    <t>OTHER CAP CREDITS - FEDERATED</t>
  </si>
  <si>
    <t>PAT CAP - FEDERATED</t>
  </si>
  <si>
    <t>INTEREST - 2019 A BOND</t>
  </si>
  <si>
    <t>OTHER CAPITAL CREDITS (Adjustment for Non-Cash Patronage)</t>
  </si>
  <si>
    <t>Fixed Asset System Detailed Ledgers (Excludes Vehicles)</t>
  </si>
  <si>
    <t>Assumptions Used:</t>
  </si>
  <si>
    <t>Adjustment Calculated from (4) Components Below</t>
  </si>
  <si>
    <t>Type of CWIP</t>
  </si>
  <si>
    <t>Distribution</t>
  </si>
  <si>
    <t>General Plant</t>
  </si>
  <si>
    <t>IT</t>
  </si>
  <si>
    <t>Total CWIP</t>
  </si>
  <si>
    <t>Retirements Assume the Following % for Mass Assets:</t>
  </si>
  <si>
    <t>Distribution =</t>
  </si>
  <si>
    <t>Transmission =</t>
  </si>
  <si>
    <t>General Plant =</t>
  </si>
  <si>
    <t>IT =</t>
  </si>
  <si>
    <t xml:space="preserve">Depreciation Rates (Annual):  </t>
  </si>
  <si>
    <t>Net Plant Added</t>
  </si>
  <si>
    <t>Additions/Retirements (Expected Closing By Year-End):</t>
  </si>
  <si>
    <t>Capital Forecasted</t>
  </si>
  <si>
    <t>Additions/Retirements (Expected Closing By Year-End But Excludes Projected Y/E CWIP):</t>
  </si>
  <si>
    <t>Total Change In Plant</t>
  </si>
  <si>
    <t>VEC Transmission Costs (Transmission Right of Way Included on Schedule 4)</t>
  </si>
  <si>
    <t>VEGETATION CONTRIBUTION - CONSOLIDATED</t>
  </si>
  <si>
    <t>TRANSCO Non-Utility Operations Income</t>
  </si>
  <si>
    <t>Proceeds from TRANSCO.  No Change is Expected in Income from Non-Utility Operations</t>
  </si>
  <si>
    <t>Federated Patronage Capital - Equity</t>
  </si>
  <si>
    <t>Federated Return of Patronage - Cash</t>
  </si>
  <si>
    <t>United Utility Supply Return of Patronage - Cash</t>
  </si>
  <si>
    <t>Encore - Jericho - Landfill</t>
  </si>
  <si>
    <t>St Lawrence</t>
  </si>
  <si>
    <t>Niagara</t>
  </si>
  <si>
    <t>Viridity Battery</t>
  </si>
  <si>
    <t>GROSS FUEL ELECTRIC TAX</t>
  </si>
  <si>
    <t>TOTAL OTHER REVENUES</t>
  </si>
  <si>
    <t>Transmission Wheeling Services (See Detailed Schedule Below)</t>
  </si>
  <si>
    <t>SCHEDULE 7A</t>
  </si>
  <si>
    <t>Total Information Technology *</t>
  </si>
  <si>
    <t>TOTAL REQUIRED MARGIN;  2.0 TIER</t>
  </si>
  <si>
    <t>Consolidated Billings</t>
  </si>
  <si>
    <t>Note:  No COLA Adj. Made to Actual Historical Major Storm Costs</t>
  </si>
  <si>
    <t xml:space="preserve">456.40 Phase II Vermont DMNRC </t>
  </si>
  <si>
    <t>Total Acct # 456.XX</t>
  </si>
  <si>
    <t>This document is being submitted electronically via ePUC.</t>
  </si>
  <si>
    <t>EXHIBIT: VEC-CCM 1</t>
  </si>
  <si>
    <t>United Utility Supply Return of Patronage - Equity</t>
  </si>
  <si>
    <t>CUSTOMER ACCOUNTS EXPENSE DETAIL;  C. MASHIA</t>
  </si>
  <si>
    <t>A&amp;G EXPENSE DETAIL;  C.MASHIA</t>
  </si>
  <si>
    <t>INTEREST EXPENSE ON DEBT;  C.MASHIA</t>
  </si>
  <si>
    <t>INTEREST &amp; DIVIDEND INCOME;  C.MASHIA</t>
  </si>
  <si>
    <t>MAINT-NEWPORT WAREHOUSE MOVE</t>
  </si>
  <si>
    <t>INTEREST - 2020 A BOND</t>
  </si>
  <si>
    <t>INTEREST - CFC 2022 BOND</t>
  </si>
  <si>
    <t>MISC NON-OPERATING INCOME</t>
  </si>
  <si>
    <t>MISC A/R CLEARING</t>
  </si>
  <si>
    <t>DEF DR-BARTON ACQUISITION COSTS</t>
  </si>
  <si>
    <t>LTD - 2019 A BOND</t>
  </si>
  <si>
    <t>LTD - 2020 A BOND</t>
  </si>
  <si>
    <t>LTD - COBANK 2022 BOND</t>
  </si>
  <si>
    <t>LTD - CFC 2022 BOND</t>
  </si>
  <si>
    <t>OTHER LTD - PPP LOAN (COVID-19)</t>
  </si>
  <si>
    <t>CURRENT - 2019 A BOND</t>
  </si>
  <si>
    <t>CURRENT - COBANK 2022 BOND</t>
  </si>
  <si>
    <t>CURRENT - CFC 2022 BOND</t>
  </si>
  <si>
    <t>RETAINAGE PAYABLE, SPATES CONSTRUCTION</t>
  </si>
  <si>
    <t>RETAINAGE PAYABLE-TREE TRIMMING</t>
  </si>
  <si>
    <t>INTEREST ACCR-2020 A BOND</t>
  </si>
  <si>
    <t>INTEREST ACCR-COBANK 2022 BOND</t>
  </si>
  <si>
    <t>ACCRUED LIABILITY - FEMA</t>
  </si>
  <si>
    <t>ACCRUED LIAB-TELEPHONE POLE SETS</t>
  </si>
  <si>
    <t>OTHER REGULATORY LIABILITIES</t>
  </si>
  <si>
    <t>INST CUSTOMERS' PREMISE - (VEC OWNED)</t>
  </si>
  <si>
    <t>Dividend &amp; Interest Income</t>
  </si>
  <si>
    <t>MISC NON_OPERATING REVENUES (PPP)</t>
  </si>
  <si>
    <t>End of Amortization Liability on June 30, 2023</t>
  </si>
  <si>
    <t>7/21 - 6/22</t>
  </si>
  <si>
    <t>Adjustments to Normalize Annual % Increase</t>
  </si>
  <si>
    <t>Net Total Property Tax Expense / Year</t>
  </si>
  <si>
    <t>Component #5 (Special Projects- North Troy)</t>
  </si>
  <si>
    <t>Sum of Components #1 - #5</t>
  </si>
  <si>
    <t>571.12,20&amp;30</t>
  </si>
  <si>
    <t>PAYROLL &amp; BENEFITS SUPPORT;  C. MASHIA</t>
  </si>
  <si>
    <t>RISK INSURANCE SUPPORT;  C. MASHIA</t>
  </si>
  <si>
    <t>INFORMATION TECHNOLOGY SUPPORT;  C. MASHIA</t>
  </si>
  <si>
    <t>DEPRECIATION;  C. MASHIA</t>
  </si>
  <si>
    <t>TOTAL OTHER REVENUES &amp; EXPENSES</t>
  </si>
  <si>
    <t>Total Information Technology Costs</t>
  </si>
  <si>
    <t>Interest Expense</t>
  </si>
  <si>
    <t xml:space="preserve">Encore -Jericho - Gravel Pit </t>
  </si>
  <si>
    <t>HQ 2021-2023</t>
  </si>
  <si>
    <t>SPEED FIT</t>
  </si>
  <si>
    <t>SPEED FIT - FCM Settlement</t>
  </si>
  <si>
    <t>Settlement - Energy</t>
  </si>
  <si>
    <t>Settlement - Regulation</t>
  </si>
  <si>
    <t>Settlement - DA NCPC</t>
  </si>
  <si>
    <t>Settlement - RT NCPC</t>
  </si>
  <si>
    <t>Settlement - Locational Forward Reserves</t>
  </si>
  <si>
    <t>Settlement - Losses</t>
  </si>
  <si>
    <t>Settlement - Congestion</t>
  </si>
  <si>
    <t>Settlement - ARR</t>
  </si>
  <si>
    <t>Settlement - FTR</t>
  </si>
  <si>
    <t>Settlement - ICAP</t>
  </si>
  <si>
    <t>Settlement - Miscellaneous</t>
  </si>
  <si>
    <t>Mystic Cost of Service</t>
  </si>
  <si>
    <t>VELCO IBT Scheduling</t>
  </si>
  <si>
    <t xml:space="preserve">Viridity Battery </t>
  </si>
  <si>
    <t>Vegetative Maintenance</t>
  </si>
  <si>
    <t>VEC</t>
  </si>
  <si>
    <t>Proposed</t>
  </si>
  <si>
    <t>Description of Financial Category</t>
  </si>
  <si>
    <t>Rates</t>
  </si>
  <si>
    <t>A.)  Net Income Needed</t>
  </si>
  <si>
    <t>B.)  Interest Expense</t>
  </si>
  <si>
    <t>Schedule 1, Lines 14 &amp; 15</t>
  </si>
  <si>
    <t>C.)  Net Income Excluding Interest Expense</t>
  </si>
  <si>
    <t>(A + B)</t>
  </si>
  <si>
    <t>D.)  Tier Calculation C/B</t>
  </si>
  <si>
    <t>(C / B)</t>
  </si>
  <si>
    <t>References/Requirements:</t>
  </si>
  <si>
    <t>CFC Key Ratio Trend Analaysis (KRTA):</t>
  </si>
  <si>
    <t>VEC Mortgage Indenture:</t>
  </si>
  <si>
    <t>Must Maintain Annual TIER of not less than 1.5</t>
  </si>
  <si>
    <t>C.)  Depreciation &amp; Amortization</t>
  </si>
  <si>
    <t>Schedule 1, Lines 10 &amp; 11</t>
  </si>
  <si>
    <t>D.)  SubTotal</t>
  </si>
  <si>
    <t>(A + B + C)</t>
  </si>
  <si>
    <t>E.)  Debt Service Payments</t>
  </si>
  <si>
    <t>F.)  DSC Calculation</t>
  </si>
  <si>
    <t>(D / E)</t>
  </si>
  <si>
    <t>Must Maintain Annual DSC of not less than 1.25</t>
  </si>
  <si>
    <t xml:space="preserve">CoBank Loan Agreement:  </t>
  </si>
  <si>
    <t>Must Maintain Annual DSC of not less than 1.35</t>
  </si>
  <si>
    <t>CFC Loan Agreement:</t>
  </si>
  <si>
    <t>Three Year Average DSC of Not Less Than 1.35</t>
  </si>
  <si>
    <t>Equity to Assets Ratio</t>
  </si>
  <si>
    <t>Actual</t>
  </si>
  <si>
    <t>A.)  Total Patronage Equity</t>
  </si>
  <si>
    <t>B.)  Total Assets</t>
  </si>
  <si>
    <t>C.)  Equity/Assets Ratio</t>
  </si>
  <si>
    <t>(A / B)</t>
  </si>
  <si>
    <t>Equity to Assets Ratio of Not Less Than 25%</t>
  </si>
  <si>
    <t>CoBank Loan Agreement:</t>
  </si>
  <si>
    <t>Total Equity to Total Assets of not less than 30%</t>
  </si>
  <si>
    <t>VEC By-Laws VII, 2j:</t>
  </si>
  <si>
    <t>Equity Must Exceed 40% of Total Assets to Retire Patronage Capital</t>
  </si>
  <si>
    <t>Schedule 1, Line 30</t>
  </si>
  <si>
    <t>Amortization Schedules</t>
  </si>
  <si>
    <t>Debt Service Coverage Ratio (MDSC)</t>
  </si>
  <si>
    <t>Times Interest Earned Ratio (MTIER)</t>
  </si>
  <si>
    <t>Financial Statements/Forecast Model</t>
  </si>
  <si>
    <t>VELCO - NYPA Fees</t>
  </si>
  <si>
    <t>DISTRIBUTION OPERATION &amp; MAINTENANCE EXPENSE;  C. MASHIA</t>
  </si>
  <si>
    <t>PSEG</t>
  </si>
  <si>
    <t>NextEra 2022-2025</t>
  </si>
  <si>
    <t xml:space="preserve">NextEra - Seabrook - Energy </t>
  </si>
  <si>
    <t xml:space="preserve">NextEra - Seabrook - Capacity </t>
  </si>
  <si>
    <t>Brookfield - Capacity</t>
  </si>
  <si>
    <t>FINANCIAL RATIO ANALYSIS;  C. MASHIA</t>
  </si>
  <si>
    <t>440.01 - 445.00</t>
  </si>
  <si>
    <t>RETAIL REVENUES</t>
  </si>
  <si>
    <t>TOTAL  DISTRIBUTION MAINTENANCE</t>
  </si>
  <si>
    <t>TOTAL  DISTRIBUTION OPERATION</t>
  </si>
  <si>
    <t>TOTAL  CUSTOMER ACCOUNTS EXPENSE</t>
  </si>
  <si>
    <t>TOTAL ADMIN &amp; GENERAL EXPENSES</t>
  </si>
  <si>
    <t>Total Transmission Expense</t>
  </si>
  <si>
    <t>POWER SUPPLY;  D. POTTER</t>
  </si>
  <si>
    <t>Excludes Transportation, and New Services</t>
  </si>
  <si>
    <t>REVENUE &amp; NON-OPERATING MARGINS:</t>
  </si>
  <si>
    <t>REVENUES &amp; EXPENSES</t>
  </si>
  <si>
    <t>VEC's MTIER Levels Approved in 2019 Rate Case/Effective 1/1/20 = 2.00</t>
  </si>
  <si>
    <t>A.)  Net Income Needed (After Adjusting Non-Cash Patronage)</t>
  </si>
  <si>
    <t>Salary/Payroll + Benefits</t>
  </si>
  <si>
    <t>Transmission Costs</t>
  </si>
  <si>
    <t>Additions/Retirements (Excludes Vehicles, Special Projects, CWIP for 2024 and Depreciation of 1/2 Year for Distr)</t>
  </si>
  <si>
    <t>SCHEDULE 14</t>
  </si>
  <si>
    <t>INTEREST - CFC 2023 BONDS</t>
  </si>
  <si>
    <t>INTEREST - COBANK 2022 BOND</t>
  </si>
  <si>
    <t>INTEREST - CFC 2023 BOND</t>
  </si>
  <si>
    <t>REVENUES-JOBBING-HYDE PARK</t>
  </si>
  <si>
    <t>REVENUES-VT MILITARY DEPT (FIRING RANGE)</t>
  </si>
  <si>
    <t>COSTS-VT MILITARY DEPT (FIRING RANGE)</t>
  </si>
  <si>
    <t>PAT CAP - UNITED UTILITY SUPPLY</t>
  </si>
  <si>
    <t>CASH HRA FUND - CITIBANK</t>
  </si>
  <si>
    <t>LTD - CFC 2023 BOND</t>
  </si>
  <si>
    <t>ACCRUED LIAB - INTERCONNECT AGREEMENTS</t>
  </si>
  <si>
    <t>This includes deduction for projected year end CWIP balance</t>
  </si>
  <si>
    <t>Patriot Hydro</t>
  </si>
  <si>
    <t>HQ</t>
  </si>
  <si>
    <t>Belvidere - PUC - VEC Sch. SC 803</t>
  </si>
  <si>
    <t>GROSS AMOUNT OF VEGETATION MANAGEMENT (TRANSM)</t>
  </si>
  <si>
    <t>GROSS AMOUNT OF VEGETATION MANAGEMENT (DISTRIB)</t>
  </si>
  <si>
    <t>Remainder of PPP Funding Used in 2023</t>
  </si>
  <si>
    <t>7/22 - 6/23</t>
  </si>
  <si>
    <t>NY Wind</t>
  </si>
  <si>
    <t>SHEI Mitigation Fees</t>
  </si>
  <si>
    <t>VELCO Radio Site Battery Fees</t>
  </si>
  <si>
    <t xml:space="preserve">ISO NE IEP </t>
  </si>
  <si>
    <t>PROFORMA  INFORMATION TECHNOLOGY COST</t>
  </si>
  <si>
    <t>Insurance Distribution</t>
  </si>
  <si>
    <t>Distribution Maintenance</t>
  </si>
  <si>
    <t>Distribution Operation</t>
  </si>
  <si>
    <t>Customer Accounts</t>
  </si>
  <si>
    <t>Adminstraction &amp; General</t>
  </si>
  <si>
    <t>Total Insurance Expensed</t>
  </si>
  <si>
    <t>Total Capitalzed &amp; Clearing Insurance</t>
  </si>
  <si>
    <t>PROFORMA  INSURANCE COST</t>
  </si>
  <si>
    <t>Property Tax</t>
  </si>
  <si>
    <t>Computer Clearing</t>
  </si>
  <si>
    <t>Communications Clearing</t>
  </si>
  <si>
    <t>B5.)  Interest Expense for Credit Facilities + Debt</t>
  </si>
  <si>
    <t xml:space="preserve">Sch 2 Reactive Supply and Voltage Control (VAR) </t>
  </si>
  <si>
    <t>Sch 16 Blackstart Service</t>
  </si>
  <si>
    <t xml:space="preserve">No Change Expected </t>
  </si>
  <si>
    <t xml:space="preserve">Test Year Summary </t>
  </si>
  <si>
    <t>Schedule 6 Property Taxes Work Area</t>
  </si>
  <si>
    <t>Average with 3% Inflation</t>
  </si>
  <si>
    <t>Schedule 6 Property Taxes Work Area (Below)</t>
  </si>
  <si>
    <t>CURRENT -  CFC 2023 BOND</t>
  </si>
  <si>
    <t>VELCO Dividend Income</t>
  </si>
  <si>
    <t>* (2) Communication Clearing - Includes Phone Software &amp; Services, Field device upgrades, and other Communications Equipment and Support</t>
  </si>
  <si>
    <t>* (1) Computer Clearing - Includes Software Licenses &amp; Support, Hosting Fees,  Hardware and Software Maintenance Contracts, and System Monitoring</t>
  </si>
  <si>
    <t>TRANSCO Shares</t>
  </si>
  <si>
    <t>FEMA Grant Reimbursement Not Anticipated</t>
  </si>
  <si>
    <t>Increases for Velco Transmission Costs + ISO-NE RNS Rates</t>
  </si>
  <si>
    <t>New Utility Plant Placed in Service</t>
  </si>
  <si>
    <t>7/1/23-6/30/24</t>
  </si>
  <si>
    <t>MAINTENANCE - OUTAGE RESTORATION</t>
  </si>
  <si>
    <t>INTEREST - COBANK 2024 A BOND</t>
  </si>
  <si>
    <t>REVENUES-CONTRACT WORK/MUTUAL AID</t>
  </si>
  <si>
    <t>COSTS - MDSE - HYDE PARK</t>
  </si>
  <si>
    <t>COSTS-CONTRACT WORK/MUTUAL AID</t>
  </si>
  <si>
    <t>LTD - COBANK 2024 A BOND</t>
  </si>
  <si>
    <t>INTEREST ACCR - 2016 B BOND</t>
  </si>
  <si>
    <t>INTEREST ACCR - 2017 A BOND</t>
  </si>
  <si>
    <t>INTEREST ACCR-2019 A BOND</t>
  </si>
  <si>
    <t>INTEREST ACCR-CFC 2022 BOND</t>
  </si>
  <si>
    <t>INTEREST ACCR-CFC 2023 BOND</t>
  </si>
  <si>
    <t>INTEREST ACCR-COBANK 2024 A BOND</t>
  </si>
  <si>
    <t>ACCRUED LIABILITY - ACRE PROGRAM</t>
  </si>
  <si>
    <t>Confirmed 10/3/24 Matches Totals from Financial Reports - MRM</t>
  </si>
  <si>
    <t>2025 Projected</t>
  </si>
  <si>
    <t>7/23 - 6/24</t>
  </si>
  <si>
    <t>3-Yr Avg is less than Costs Incurred in the Test Year</t>
  </si>
  <si>
    <t>593.00 &amp; 593.30</t>
  </si>
  <si>
    <t>Test Year vs 2025</t>
  </si>
  <si>
    <t>Directly from GMP Sch 21 forecast 10/15/24</t>
  </si>
  <si>
    <t>TRANSMISSION EXPENSE;  K.AUDETTE</t>
  </si>
  <si>
    <t>REVENUES &amp; NON-OPERATING MARGINS;  K.AUDETTE &amp; C.MASHIA</t>
  </si>
  <si>
    <t>SC 803 rate effective July 1, 2024 increased</t>
  </si>
  <si>
    <t>Sch 21 rates effective July 1, 2024 decreased</t>
  </si>
  <si>
    <t>Sch 20A rate increased effective July 1, 2024</t>
  </si>
  <si>
    <t>RNS Rate increase effective Jan. 1, 2025</t>
  </si>
  <si>
    <t>Contractor for Interim IT Manager</t>
  </si>
  <si>
    <t>PROFORMA TRANSPORTATION COST</t>
  </si>
  <si>
    <t>CCM</t>
  </si>
  <si>
    <t>Transportation</t>
  </si>
  <si>
    <t>PROFORMA  TRANSPORTATION COST</t>
  </si>
  <si>
    <t>xchk</t>
  </si>
  <si>
    <t>B2.) Non-Recurring Grant Revenues</t>
  </si>
  <si>
    <t>PPP Grant fully exhauted in 2023 + Estimated FEMA Storm Reimbursement</t>
  </si>
  <si>
    <t>Additional Dividends from 2023  + 2024 TRANSCO Investments</t>
  </si>
  <si>
    <t>593.20+593.00</t>
  </si>
  <si>
    <r>
      <t xml:space="preserve">THREE YEAR AVERAGE  </t>
    </r>
    <r>
      <rPr>
        <b/>
        <sz val="10"/>
        <rFont val="Arial"/>
        <family val="2"/>
      </rPr>
      <t>**(1)**</t>
    </r>
  </si>
  <si>
    <t xml:space="preserve">General Liability </t>
  </si>
  <si>
    <t xml:space="preserve">Auto </t>
  </si>
  <si>
    <t>Directors &amp; Officers</t>
  </si>
  <si>
    <t>General Liability see schedule S6B</t>
  </si>
  <si>
    <r>
      <t xml:space="preserve">THREE YEAR AVERAGE  </t>
    </r>
    <r>
      <rPr>
        <b/>
        <sz val="10"/>
        <rFont val="Arial"/>
        <family val="2"/>
      </rPr>
      <t>**(2)**</t>
    </r>
  </si>
  <si>
    <t>Q4 2024 $6M Draw</t>
  </si>
  <si>
    <t>INTEREST - 2024 B BOND</t>
  </si>
  <si>
    <t>Decrease in Billable Tariff Services Expected (Disconnect Fees)</t>
  </si>
  <si>
    <t>STORM - GRANT REIMBURSEMENT</t>
  </si>
  <si>
    <t>Gross Revenue Taxes</t>
  </si>
  <si>
    <t>Transportation Costs</t>
  </si>
  <si>
    <t>Net Tariff Increases</t>
  </si>
  <si>
    <r>
      <t xml:space="preserve">Decreases in Minor &amp; Major Storm Costs Using </t>
    </r>
    <r>
      <rPr>
        <b/>
        <sz val="10"/>
        <color theme="1"/>
        <rFont val="Arial"/>
        <family val="2"/>
      </rPr>
      <t>3</t>
    </r>
    <r>
      <rPr>
        <sz val="10"/>
        <rFont val="Arial"/>
        <family val="2"/>
      </rPr>
      <t xml:space="preserve"> Year Average</t>
    </r>
  </si>
  <si>
    <t>SCHEDULE 7B</t>
  </si>
  <si>
    <t>TRANSPORTATION SUPPORT;  C. MASHIA</t>
  </si>
  <si>
    <t>TOTAL CAPITALIZED &amp; CLEARING</t>
  </si>
  <si>
    <t>Total Transportation Costs</t>
  </si>
  <si>
    <t>SCHEDULE 6A (Summary of 6B)</t>
  </si>
  <si>
    <t>589.00</t>
  </si>
  <si>
    <t>Revenue Requirement</t>
  </si>
  <si>
    <t>Base Revenue Adjustment</t>
  </si>
  <si>
    <t>Cost of Service Adjustment</t>
  </si>
  <si>
    <t>Test Year Revenue Shortfall</t>
  </si>
  <si>
    <t>2.0 TIER Adjustment</t>
  </si>
  <si>
    <t xml:space="preserve">Adjusted Rate Year </t>
  </si>
  <si>
    <t xml:space="preserve">OUTSIDE SERVICES </t>
  </si>
  <si>
    <t>POLE TREATMENT &amp; TESTING AND ASSET INSPECTION PROGRAM</t>
  </si>
  <si>
    <t>MINOR STORM DAMAGE (EXTERNAL COSTS)</t>
  </si>
  <si>
    <t>2025 Contractor Costs for Minor Storms less than Test Year</t>
  </si>
  <si>
    <t>Outside Services for Transmission</t>
  </si>
  <si>
    <t>Outside Servcies for Distribution</t>
  </si>
  <si>
    <t>Right of Way License &amp; Entrance Fees</t>
  </si>
  <si>
    <t>MAJOR STORM DAMAGE EXPENSE ACCT# 593.20 -- External Contractor Costs (Offset by Consolidated Reimbursement on External Costs)</t>
  </si>
  <si>
    <t>Net Outside Services - Minor Storm</t>
  </si>
  <si>
    <t>MINOR STORM DAMAGE EXPENSE ACCT# 593.00/593.30 -- External Contractor Costs</t>
  </si>
  <si>
    <t>2025 Minor Storm External Contractor Costs</t>
  </si>
  <si>
    <t>2025 Major Storm External Contractor Costs</t>
  </si>
  <si>
    <t>Schedule S7-B</t>
  </si>
  <si>
    <t>Increased # of poles to test to meet 10-yr cycle</t>
  </si>
  <si>
    <t>2024 Asset Inspection Occurred Outside Test Year</t>
  </si>
  <si>
    <t xml:space="preserve">2023 was the last year for Consolidated Contractual Credit </t>
  </si>
  <si>
    <t>On Schedule to Meet 2024 Costs</t>
  </si>
  <si>
    <t xml:space="preserve">Schedule S7-B </t>
  </si>
  <si>
    <t xml:space="preserve">Schedule S7-A </t>
  </si>
  <si>
    <t>Schedule S7-A</t>
  </si>
  <si>
    <t xml:space="preserve">Schedule S7 </t>
  </si>
  <si>
    <t xml:space="preserve">2024 Actual Tax Bills + 5-Yr Average Increase </t>
  </si>
  <si>
    <t>PAYROLL EXPENSE SUMMARY; C. MASHIA</t>
  </si>
  <si>
    <t xml:space="preserve"> Labor &amp; Benefit Increases over Test Year</t>
  </si>
  <si>
    <t>See Cost Breakdown on Schedule 6B</t>
  </si>
  <si>
    <t xml:space="preserve">     2.57% Vacancy Factor on Salary, Benefits &amp; Other Payroll Related Costs</t>
  </si>
  <si>
    <t xml:space="preserve"> Effective 2024</t>
  </si>
  <si>
    <t>See Note(1) below</t>
  </si>
  <si>
    <t>See Note (1) below</t>
  </si>
  <si>
    <t>See Note (2) below</t>
  </si>
  <si>
    <t>Interim IT manager ended 2024</t>
  </si>
  <si>
    <t xml:space="preserve">TOTAL CAPITALIZED &amp; CLEARING </t>
  </si>
  <si>
    <t xml:space="preserve">*** 2025 Adj Test Year Costs Include: Labor Rate % Increase over 2024 based on neegotiated 2025 Union Contract. </t>
  </si>
  <si>
    <t xml:space="preserve">     Higher Wages and related Pension &amp; 401k Benefits over test year.    Healthcare Benefits based on 2025 cost increases. </t>
  </si>
  <si>
    <t>Ceased following Payroll Costs</t>
  </si>
  <si>
    <t>Total Insurance Distribution</t>
  </si>
  <si>
    <t xml:space="preserve"> Information Technology Distribution</t>
  </si>
  <si>
    <t>Transportation Distribution</t>
  </si>
  <si>
    <t>Transportation Clearing Costs</t>
  </si>
  <si>
    <t>Depreciation Expense Applicable to Special Projects in 2025</t>
  </si>
  <si>
    <t>431 + 431.2</t>
  </si>
  <si>
    <t>INTEREST  - LINE OF CREDIT &amp; DEPOSITS</t>
  </si>
  <si>
    <t>Security Deposit Int Expense $29,879</t>
  </si>
  <si>
    <t>LOC Interest $886,177</t>
  </si>
  <si>
    <t>VEC Purchases of TRANSCO Stock</t>
  </si>
  <si>
    <t>Dependent on CFC Earnings Used TY</t>
  </si>
  <si>
    <t>Daily Sweep Investments + CRC</t>
  </si>
  <si>
    <t>General Fund Investment Sweep  - No Change Expected</t>
  </si>
  <si>
    <t>Dependent on CoBank Earnings Used TY</t>
  </si>
  <si>
    <t xml:space="preserve">Non-Cash Equity is excluded from TIER by covenants </t>
  </si>
  <si>
    <t>Dependent on United Utility Supply Earnings;  Used TY</t>
  </si>
  <si>
    <t>Dependent on NISC Earnings; Used TY</t>
  </si>
  <si>
    <t>Dependent on CRC Earnings - Used 9/2024 pmt</t>
  </si>
  <si>
    <t>Dependent on Federated Earnings; Used TY</t>
  </si>
  <si>
    <t>2023 Billed Test Year Adjusted for 2024 8.33% Rate Increase less Leap Day</t>
  </si>
  <si>
    <t>A1.) Net Tariff Increases</t>
  </si>
  <si>
    <t>A3.)  Power Supply (Net of Sales for Resale &amp; Renewable Energy Credits)</t>
  </si>
  <si>
    <t>A4.)  Dividend Income from VELCO</t>
  </si>
  <si>
    <t>SUPPPORTING SCHEDULE</t>
  </si>
  <si>
    <t>S2</t>
  </si>
  <si>
    <t>S3</t>
  </si>
  <si>
    <t>S4</t>
  </si>
  <si>
    <t>S5</t>
  </si>
  <si>
    <t>S6</t>
  </si>
  <si>
    <t>S7</t>
  </si>
  <si>
    <t>S8</t>
  </si>
  <si>
    <t>S9</t>
  </si>
  <si>
    <t>S7A</t>
  </si>
  <si>
    <t>S7B</t>
  </si>
  <si>
    <t>S10</t>
  </si>
  <si>
    <t>S11</t>
  </si>
  <si>
    <t>S1</t>
  </si>
  <si>
    <t xml:space="preserve">Master </t>
  </si>
  <si>
    <t>Summary</t>
  </si>
  <si>
    <t>Power</t>
  </si>
  <si>
    <t>Supply</t>
  </si>
  <si>
    <t>Operations</t>
  </si>
  <si>
    <t>Customer</t>
  </si>
  <si>
    <t>Accounts</t>
  </si>
  <si>
    <t>General &amp;</t>
  </si>
  <si>
    <t>Admin</t>
  </si>
  <si>
    <t>Insurance</t>
  </si>
  <si>
    <t>Information</t>
  </si>
  <si>
    <t>Technology</t>
  </si>
  <si>
    <t>Interest</t>
  </si>
  <si>
    <t>Expense</t>
  </si>
  <si>
    <t>Interest &amp; Div</t>
  </si>
  <si>
    <t>Income</t>
  </si>
  <si>
    <t xml:space="preserve">Revenue &amp; </t>
  </si>
  <si>
    <t>Non-Operting</t>
  </si>
  <si>
    <t>COMPARISON OF TEST YEAR TO 2025 - KEY DRIVERS</t>
  </si>
  <si>
    <t>B4.)  Salary &amp; Benefits</t>
  </si>
  <si>
    <t>B1.)  Transmission By Others</t>
  </si>
  <si>
    <t>B3.)  Property Taxes</t>
  </si>
  <si>
    <t>B6.)  Continuation of Asset Inspection Program + Pole Testing</t>
  </si>
  <si>
    <t>B7.)  Vegetative Maintenance Cost Increase</t>
  </si>
  <si>
    <t>B8.) Depreciation</t>
  </si>
  <si>
    <t>B9.)  IT Costs &amp; Communication Costs</t>
  </si>
  <si>
    <t>B12.) Risk Insurance</t>
  </si>
  <si>
    <t>B11.) Gross Revenue Taxes</t>
  </si>
  <si>
    <t xml:space="preserve">8/2024 Insurance Renewal </t>
  </si>
  <si>
    <t>B10), Transportation Clearing Account</t>
  </si>
  <si>
    <t>Depreciation on new bucket trucks - S7B Transportation</t>
  </si>
  <si>
    <t>Salary + Benefit Increases Reduced by Vacancy Factor</t>
  </si>
  <si>
    <t>Increases in 2024 Property Tax Assessment &amp; Rates</t>
  </si>
  <si>
    <t>2024 Resumed Asset Inpection Program + Increased Pole Testing/Treatment to meet 10-yr distribution cycle</t>
  </si>
  <si>
    <t>Reduced CCI Contributions $184k, Higher 2024 Spending + 2025 projects</t>
  </si>
  <si>
    <t>Higher Gross Revenue Taxes from higher revenue</t>
  </si>
  <si>
    <t>Excluded 2024 Large % Increase as an anomaly</t>
  </si>
  <si>
    <t xml:space="preserve"> Used 2019-2023</t>
  </si>
  <si>
    <t>*** 8/2024 actual renewal costs through 8/1/2025.</t>
  </si>
  <si>
    <t xml:space="preserve">2024 $6M Draw </t>
  </si>
  <si>
    <t>Right of Way Fees</t>
  </si>
  <si>
    <t>A2.) Maint / Ops Storm Costs</t>
  </si>
  <si>
    <t>Maint/ Ops Storm Costs</t>
  </si>
  <si>
    <t>Power Supply Costs</t>
  </si>
  <si>
    <t>2.0 TIER Margin Requirements offset by Net Tariff Adjustments</t>
  </si>
  <si>
    <t>Winter Reliability &amp;  Market Price Reductions</t>
  </si>
  <si>
    <t>doesn’t tie to schedule S6A</t>
  </si>
  <si>
    <t>Component #1 (VEC Fixed Asset System - Existing Assets as of 8/31/24)</t>
  </si>
  <si>
    <t>Component #2 (Construction Work In Progress 8/31/24:  Excludes Fleet and North Troy Battery Project)</t>
  </si>
  <si>
    <t>Depreciation Expense Applicable to Net New Additions from CWIP on 8/31/24</t>
  </si>
  <si>
    <t>Component #4 (2025 Capital Budget Spend - From VEC IRP)</t>
  </si>
  <si>
    <t>Component #3 (2024 Forecasted Capital Expenses from 9/1/24 to 12/31/24)</t>
  </si>
  <si>
    <t>Depreciation Expense for 2025 - Existing Assets in Fixed Asset System</t>
  </si>
  <si>
    <t>Depreciation Expense Applicable to Net New Additions from 2024</t>
  </si>
  <si>
    <t>Depreciation Expense Applicable to Net New Additions from 2025 Capital Budget (1/2 Year Only)</t>
  </si>
  <si>
    <t>Higher Interest Rates for new debt and higher use of Debt Facilities</t>
  </si>
  <si>
    <t>HQUS - WEC</t>
  </si>
  <si>
    <t>HQ ICC</t>
  </si>
  <si>
    <t>VT Tier 1 REC</t>
  </si>
  <si>
    <t>CES-E Purchases</t>
  </si>
  <si>
    <t>LEGAL FEES</t>
  </si>
  <si>
    <t>RENTS / RIGHT OF WAY</t>
  </si>
  <si>
    <t>SCADA &amp; CAMUS COMPUTER EXPENSES</t>
  </si>
  <si>
    <t>SCADA Software Contract increases &amp; CAMUS SOFTWARE</t>
  </si>
  <si>
    <t>581.00 &amp; 581.01</t>
  </si>
  <si>
    <t xml:space="preserve">561.00 &amp; 561.01 </t>
  </si>
  <si>
    <t>A5.) SCADA and DERMS Software</t>
  </si>
  <si>
    <t>B14.) Right Of Way Entrance Fees</t>
  </si>
  <si>
    <t>B13.) Legal Fees</t>
  </si>
  <si>
    <t>New 2024 Saas Sales Tax,  AMI &amp; Outage Managmeent Software, Maintence Contract Increases  - S7A Information Technology</t>
  </si>
  <si>
    <t>Right of Way Licenses &amp; Entrance Fees - VT Parks, Fish &amp; Wildlife &amp; Railroad Crossings</t>
  </si>
  <si>
    <t xml:space="preserve">(1) Transportation Costs include all fleet costs including maintenance, repairs, fuel, registrations, and depreciation.   </t>
  </si>
  <si>
    <t>$4,716,163 Approved for 2024 Rate Year</t>
  </si>
  <si>
    <t>Billings</t>
  </si>
  <si>
    <t>2025 Bond Legal Fees (amortized over 4 years) + 5-yr avg for legal support</t>
  </si>
  <si>
    <t>5-year average for legal support + 1/4 of Legal Costs for 2025 Bond</t>
  </si>
  <si>
    <t>SCADA software renewal increases offset by ESAP Grant for DERMS Software</t>
  </si>
  <si>
    <t>SCHEDULE 1A</t>
  </si>
  <si>
    <t>SCHEDULE 1B</t>
  </si>
  <si>
    <t>SCADA &amp; DERMS Software</t>
  </si>
  <si>
    <t>Legal Fees</t>
  </si>
  <si>
    <t>Risk Insurance</t>
  </si>
  <si>
    <t xml:space="preserve">IT &amp; Communication Costs </t>
  </si>
  <si>
    <t>Asset Inspection &amp; Pole Testing</t>
  </si>
  <si>
    <t>Non-Recurring Grant Revenue</t>
  </si>
  <si>
    <t>DISTRIBUTION OPERATIONS</t>
  </si>
  <si>
    <t>2023 CFC Key Ratio Trend Analaysis (KRTA):</t>
  </si>
  <si>
    <t>U.S. Median = 2.73; Consumer Size = 2.10</t>
  </si>
  <si>
    <t>U.S. Median = 1.89; Consumer Size = 1.73</t>
  </si>
  <si>
    <t>U.S. Median = 44.54%; Consumer Size = 40.58%</t>
  </si>
  <si>
    <t>2025 Y/E</t>
  </si>
  <si>
    <t>New 6% VT Sales Tax on Cloud software and AMI and Outage Management Software along with Maintenance renewal increases.</t>
  </si>
  <si>
    <t>Depreciation is driving an increase of $257,947 over test year primarily due to depreciation of $173,125 for 4 new bucket trucks.</t>
  </si>
  <si>
    <t>2.0 TIER Revenue Adjustment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</si>
</sst>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">
    <numFmt numFmtId="5" formatCode="&quot;$&quot;#,##0_);\(&quot;$&quot;#,##0\)"/>
    <numFmt numFmtId="6" formatCode="&quot;$&quot;#,##0_);[Red]\(&quot;$&quot;#,##0\)"/>
    <numFmt numFmtId="7" formatCode="&quot;$&quot;#,##0.00_);\(&quot;$&quot;#,##0.00\)"/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0.0%"/>
    <numFmt numFmtId="165" formatCode="0.0000"/>
    <numFmt numFmtId="166" formatCode="&quot;$&quot;#,##0"/>
    <numFmt numFmtId="167" formatCode="[$-409]mmm\-yy;@"/>
    <numFmt numFmtId="168" formatCode="0.00_);[Red]\(0.00\)"/>
    <numFmt numFmtId="169" formatCode="_(* #,##0_);_(* \(#,##0\);_(* &quot;-&quot;??_);_(@_)"/>
    <numFmt numFmtId="170" formatCode="_(&quot;$&quot;* #,##0_);_(&quot;$&quot;* \(#,##0\);_(&quot;$&quot;* &quot;-&quot;??_);_(@_)"/>
    <numFmt numFmtId="171" formatCode="#,##0.000_);\(#,##0.000\)"/>
  </numFmts>
  <fonts count="85" x14ac:knownFonts="1">
    <font>
      <sz val="12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0"/>
      <name val="Arial"/>
      <family val="2"/>
    </font>
    <font>
      <i/>
      <sz val="10"/>
      <name val="Arial"/>
      <family val="2"/>
    </font>
    <font>
      <sz val="10"/>
      <color indexed="39"/>
      <name val="Arial"/>
      <family val="2"/>
    </font>
    <font>
      <b/>
      <sz val="10"/>
      <name val="Arial"/>
      <family val="2"/>
    </font>
    <font>
      <sz val="11"/>
      <name val="Arial"/>
      <family val="2"/>
    </font>
    <font>
      <sz val="12"/>
      <name val="Arial"/>
      <family val="2"/>
    </font>
    <font>
      <b/>
      <u/>
      <sz val="8"/>
      <name val="Arial"/>
      <family val="2"/>
    </font>
    <font>
      <u/>
      <sz val="8"/>
      <name val="Arial"/>
      <family val="2"/>
    </font>
    <font>
      <b/>
      <u/>
      <sz val="10"/>
      <name val="Arial"/>
      <family val="2"/>
    </font>
    <font>
      <u/>
      <sz val="10"/>
      <name val="Arial"/>
      <family val="2"/>
    </font>
    <font>
      <sz val="8"/>
      <color indexed="81"/>
      <name val="Tahoma"/>
      <family val="2"/>
    </font>
    <font>
      <u/>
      <sz val="10"/>
      <name val="Arial"/>
      <family val="2"/>
    </font>
    <font>
      <b/>
      <sz val="1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0"/>
      <color indexed="12"/>
      <name val="Arial"/>
      <family val="2"/>
    </font>
    <font>
      <b/>
      <u val="singleAccounting"/>
      <sz val="10"/>
      <name val="Arial"/>
      <family val="2"/>
    </font>
    <font>
      <b/>
      <u val="doubleAccounting"/>
      <sz val="10"/>
      <name val="Arial"/>
      <family val="2"/>
    </font>
    <font>
      <b/>
      <u/>
      <sz val="10"/>
      <name val="Arial"/>
      <family val="2"/>
    </font>
    <font>
      <i/>
      <sz val="10"/>
      <name val="Arial"/>
      <family val="2"/>
    </font>
    <font>
      <u val="singleAccounting"/>
      <sz val="10"/>
      <color indexed="12"/>
      <name val="Arial"/>
      <family val="2"/>
    </font>
    <font>
      <u val="singleAccounting"/>
      <sz val="10"/>
      <name val="Arial"/>
      <family val="2"/>
    </font>
    <font>
      <u val="doubleAccounting"/>
      <sz val="10"/>
      <name val="Arial"/>
      <family val="2"/>
    </font>
    <font>
      <b/>
      <i/>
      <sz val="10"/>
      <name val="Arial"/>
      <family val="2"/>
    </font>
    <font>
      <u val="double"/>
      <sz val="10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2"/>
      <name val="Helv"/>
    </font>
    <font>
      <sz val="10"/>
      <color indexed="0"/>
      <name val="Arial"/>
      <family val="2"/>
    </font>
    <font>
      <b/>
      <sz val="11"/>
      <color indexed="63"/>
      <name val="Calibri"/>
      <family val="2"/>
    </font>
    <font>
      <b/>
      <sz val="18"/>
      <color indexed="62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9"/>
      <name val="Times New Roman"/>
      <family val="1"/>
    </font>
    <font>
      <b/>
      <u/>
      <sz val="11"/>
      <color theme="1"/>
      <name val="Calibri"/>
      <family val="2"/>
      <scheme val="minor"/>
    </font>
    <font>
      <sz val="10"/>
      <color indexed="10"/>
      <name val="Arial"/>
      <family val="2"/>
    </font>
    <font>
      <u val="singleAccounting"/>
      <sz val="10"/>
      <color indexed="10"/>
      <name val="Arial"/>
      <family val="2"/>
    </font>
    <font>
      <b/>
      <u val="doubleAccounting"/>
      <sz val="10"/>
      <color indexed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color rgb="FFFF0000"/>
      <name val="Arial"/>
      <family val="2"/>
    </font>
    <font>
      <u/>
      <sz val="10"/>
      <color indexed="10"/>
      <name val="Arial"/>
      <family val="2"/>
    </font>
    <font>
      <u val="doubleAccounting"/>
      <sz val="10"/>
      <color indexed="10"/>
      <name val="Arial"/>
      <family val="2"/>
    </font>
    <font>
      <sz val="10"/>
      <color rgb="FFFF0000"/>
      <name val="Arial"/>
      <family val="2"/>
    </font>
    <font>
      <b/>
      <sz val="10"/>
      <color rgb="FFFF0000"/>
      <name val="Arial"/>
      <family val="2"/>
    </font>
    <font>
      <b/>
      <sz val="10"/>
      <color theme="1"/>
      <name val="Arial"/>
      <family val="2"/>
    </font>
  </fonts>
  <fills count="58">
    <fill>
      <patternFill patternType="none"/>
    </fill>
    <fill>
      <patternFill patternType="gray125"/>
    </fill>
    <fill>
      <patternFill patternType="solid">
        <fgColor indexed="9"/>
        <bgColor indexed="8"/>
      </patternFill>
    </fill>
    <fill>
      <patternFill patternType="solid">
        <fgColor indexed="47"/>
        <bgColor indexed="8"/>
      </patternFill>
    </fill>
    <fill>
      <patternFill patternType="solid">
        <fgColor indexed="47"/>
        <bgColor indexed="9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11"/>
      </patternFill>
    </fill>
    <fill>
      <patternFill patternType="solid">
        <fgColor indexed="13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22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45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indexed="42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8"/>
      </patternFill>
    </fill>
    <fill>
      <patternFill patternType="solid">
        <fgColor rgb="FFFFFFFF"/>
        <bgColor rgb="FF000000"/>
      </patternFill>
    </fill>
    <fill>
      <patternFill patternType="solid">
        <fgColor rgb="FFE3E3E3"/>
        <bgColor rgb="FF000000"/>
      </patternFill>
    </fill>
    <fill>
      <patternFill patternType="solid">
        <fgColor theme="0" tint="-0.14999847407452621"/>
        <bgColor indexed="64"/>
      </patternFill>
    </fill>
  </fills>
  <borders count="73">
    <border>
      <left/>
      <right/>
      <top/>
      <bottom/>
      <diagonal/>
    </border>
    <border>
      <left/>
      <right/>
      <top style="thin">
        <color indexed="0"/>
      </top>
      <bottom style="double">
        <color indexed="0"/>
      </bottom>
      <diagonal/>
    </border>
    <border>
      <left/>
      <right/>
      <top/>
      <bottom style="thin">
        <color indexed="0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/>
      <top/>
      <bottom style="thin">
        <color indexed="22"/>
      </bottom>
      <diagonal/>
    </border>
    <border>
      <left style="thin">
        <color indexed="22"/>
      </left>
      <right/>
      <top style="thin">
        <color indexed="22"/>
      </top>
      <bottom style="thin">
        <color indexed="2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97">
    <xf numFmtId="0" fontId="0" fillId="0" borderId="0">
      <alignment vertical="top"/>
    </xf>
    <xf numFmtId="4" fontId="23" fillId="2" borderId="0" applyProtection="0"/>
    <xf numFmtId="3" fontId="6" fillId="2" borderId="0"/>
    <xf numFmtId="7" fontId="23" fillId="2" borderId="0" applyProtection="0"/>
    <xf numFmtId="5" fontId="6" fillId="2" borderId="0"/>
    <xf numFmtId="0" fontId="23" fillId="2" borderId="0" applyProtection="0"/>
    <xf numFmtId="2" fontId="23" fillId="2" borderId="0" applyProtection="0"/>
    <xf numFmtId="0" fontId="23" fillId="2" borderId="0" applyNumberFormat="0" applyFont="0" applyFill="0" applyBorder="0" applyAlignment="0" applyProtection="0"/>
    <xf numFmtId="0" fontId="5" fillId="2" borderId="0" applyProtection="0"/>
    <xf numFmtId="0" fontId="23" fillId="0" borderId="0"/>
    <xf numFmtId="10" fontId="23" fillId="2" borderId="0" applyProtection="0"/>
    <xf numFmtId="0" fontId="23" fillId="2" borderId="1" applyProtection="0"/>
    <xf numFmtId="0" fontId="15" fillId="0" borderId="0"/>
    <xf numFmtId="43" fontId="7" fillId="0" borderId="0" applyFont="0" applyFill="0" applyBorder="0" applyAlignment="0" applyProtection="0"/>
    <xf numFmtId="0" fontId="37" fillId="0" borderId="0" applyNumberFormat="0" applyFill="0" applyBorder="0" applyAlignment="0" applyProtection="0"/>
    <xf numFmtId="0" fontId="38" fillId="0" borderId="35" applyNumberFormat="0" applyFill="0" applyAlignment="0" applyProtection="0"/>
    <xf numFmtId="0" fontId="39" fillId="0" borderId="36" applyNumberFormat="0" applyFill="0" applyAlignment="0" applyProtection="0"/>
    <xf numFmtId="0" fontId="40" fillId="0" borderId="37" applyNumberFormat="0" applyFill="0" applyAlignment="0" applyProtection="0"/>
    <xf numFmtId="0" fontId="40" fillId="0" borderId="0" applyNumberFormat="0" applyFill="0" applyBorder="0" applyAlignment="0" applyProtection="0"/>
    <xf numFmtId="0" fontId="41" fillId="8" borderId="0" applyNumberFormat="0" applyBorder="0" applyAlignment="0" applyProtection="0"/>
    <xf numFmtId="0" fontId="42" fillId="9" borderId="0" applyNumberFormat="0" applyBorder="0" applyAlignment="0" applyProtection="0"/>
    <xf numFmtId="0" fontId="43" fillId="10" borderId="0" applyNumberFormat="0" applyBorder="0" applyAlignment="0" applyProtection="0"/>
    <xf numFmtId="0" fontId="44" fillId="11" borderId="38" applyNumberFormat="0" applyAlignment="0" applyProtection="0"/>
    <xf numFmtId="0" fontId="45" fillId="12" borderId="39" applyNumberFormat="0" applyAlignment="0" applyProtection="0"/>
    <xf numFmtId="0" fontId="46" fillId="12" borderId="38" applyNumberFormat="0" applyAlignment="0" applyProtection="0"/>
    <xf numFmtId="0" fontId="47" fillId="0" borderId="40" applyNumberFormat="0" applyFill="0" applyAlignment="0" applyProtection="0"/>
    <xf numFmtId="0" fontId="48" fillId="13" borderId="41" applyNumberFormat="0" applyAlignment="0" applyProtection="0"/>
    <xf numFmtId="0" fontId="49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1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51" fillId="18" borderId="0" applyNumberFormat="0" applyBorder="0" applyAlignment="0" applyProtection="0"/>
    <xf numFmtId="0" fontId="51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51" fillId="22" borderId="0" applyNumberFormat="0" applyBorder="0" applyAlignment="0" applyProtection="0"/>
    <xf numFmtId="0" fontId="51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51" fillId="26" borderId="0" applyNumberFormat="0" applyBorder="0" applyAlignment="0" applyProtection="0"/>
    <xf numFmtId="0" fontId="51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51" fillId="30" borderId="0" applyNumberFormat="0" applyBorder="0" applyAlignment="0" applyProtection="0"/>
    <xf numFmtId="0" fontId="51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51" fillId="34" borderId="0" applyNumberFormat="0" applyBorder="0" applyAlignment="0" applyProtection="0"/>
    <xf numFmtId="0" fontId="51" fillId="35" borderId="0" applyNumberFormat="0" applyBorder="0" applyAlignment="0" applyProtection="0"/>
    <xf numFmtId="0" fontId="4" fillId="36" borderId="0" applyNumberFormat="0" applyBorder="0" applyAlignment="0" applyProtection="0"/>
    <xf numFmtId="0" fontId="4" fillId="37" borderId="0" applyNumberFormat="0" applyBorder="0" applyAlignment="0" applyProtection="0"/>
    <xf numFmtId="0" fontId="51" fillId="38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14" borderId="42" applyNumberFormat="0" applyFont="0" applyAlignment="0" applyProtection="0"/>
    <xf numFmtId="0" fontId="52" fillId="0" borderId="43" applyNumberFormat="0" applyFill="0" applyAlignment="0" applyProtection="0"/>
    <xf numFmtId="0" fontId="35" fillId="0" borderId="0"/>
    <xf numFmtId="43" fontId="35" fillId="0" borderId="0" applyFont="0" applyFill="0" applyBorder="0" applyAlignment="0" applyProtection="0"/>
    <xf numFmtId="0" fontId="15" fillId="2" borderId="0" applyProtection="0"/>
    <xf numFmtId="2" fontId="15" fillId="2" borderId="0" applyProtection="0"/>
    <xf numFmtId="0" fontId="15" fillId="2" borderId="0" applyNumberFormat="0" applyFont="0" applyFill="0" applyBorder="0" applyAlignment="0" applyProtection="0"/>
    <xf numFmtId="9" fontId="35" fillId="0" borderId="0" applyFont="0" applyFill="0" applyBorder="0" applyAlignment="0" applyProtection="0"/>
    <xf numFmtId="0" fontId="35" fillId="0" borderId="0" applyNumberFormat="0" applyBorder="0" applyAlignment="0"/>
    <xf numFmtId="0" fontId="53" fillId="39" borderId="0" applyNumberFormat="0" applyBorder="0" applyAlignment="0" applyProtection="0"/>
    <xf numFmtId="0" fontId="53" fillId="39" borderId="0" applyNumberFormat="0" applyBorder="0" applyAlignment="0" applyProtection="0"/>
    <xf numFmtId="0" fontId="53" fillId="40" borderId="0" applyNumberFormat="0" applyBorder="0" applyAlignment="0" applyProtection="0"/>
    <xf numFmtId="0" fontId="53" fillId="40" borderId="0" applyNumberFormat="0" applyBorder="0" applyAlignment="0" applyProtection="0"/>
    <xf numFmtId="0" fontId="53" fillId="40" borderId="0" applyNumberFormat="0" applyBorder="0" applyAlignment="0" applyProtection="0"/>
    <xf numFmtId="0" fontId="53" fillId="40" borderId="0" applyNumberFormat="0" applyBorder="0" applyAlignment="0" applyProtection="0"/>
    <xf numFmtId="0" fontId="53" fillId="39" borderId="0" applyNumberFormat="0" applyBorder="0" applyAlignment="0" applyProtection="0"/>
    <xf numFmtId="0" fontId="53" fillId="39" borderId="0" applyNumberFormat="0" applyBorder="0" applyAlignment="0" applyProtection="0"/>
    <xf numFmtId="0" fontId="53" fillId="41" borderId="0" applyNumberFormat="0" applyBorder="0" applyAlignment="0" applyProtection="0"/>
    <xf numFmtId="0" fontId="53" fillId="41" borderId="0" applyNumberFormat="0" applyBorder="0" applyAlignment="0" applyProtection="0"/>
    <xf numFmtId="0" fontId="53" fillId="42" borderId="0" applyNumberFormat="0" applyBorder="0" applyAlignment="0" applyProtection="0"/>
    <xf numFmtId="0" fontId="53" fillId="42" borderId="0" applyNumberFormat="0" applyBorder="0" applyAlignment="0" applyProtection="0"/>
    <xf numFmtId="0" fontId="53" fillId="39" borderId="0" applyNumberFormat="0" applyBorder="0" applyAlignment="0" applyProtection="0"/>
    <xf numFmtId="0" fontId="53" fillId="39" borderId="0" applyNumberFormat="0" applyBorder="0" applyAlignment="0" applyProtection="0"/>
    <xf numFmtId="0" fontId="4" fillId="21" borderId="0" applyNumberFormat="0" applyBorder="0" applyAlignment="0" applyProtection="0"/>
    <xf numFmtId="0" fontId="53" fillId="40" borderId="0" applyNumberFormat="0" applyBorder="0" applyAlignment="0" applyProtection="0"/>
    <xf numFmtId="0" fontId="53" fillId="40" borderId="0" applyNumberFormat="0" applyBorder="0" applyAlignment="0" applyProtection="0"/>
    <xf numFmtId="0" fontId="53" fillId="40" borderId="0" applyNumberFormat="0" applyBorder="0" applyAlignment="0" applyProtection="0"/>
    <xf numFmtId="0" fontId="53" fillId="40" borderId="0" applyNumberFormat="0" applyBorder="0" applyAlignment="0" applyProtection="0"/>
    <xf numFmtId="0" fontId="53" fillId="39" borderId="0" applyNumberFormat="0" applyBorder="0" applyAlignment="0" applyProtection="0"/>
    <xf numFmtId="0" fontId="53" fillId="39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2" borderId="0" applyNumberFormat="0" applyBorder="0" applyAlignment="0" applyProtection="0"/>
    <xf numFmtId="0" fontId="53" fillId="42" borderId="0" applyNumberFormat="0" applyBorder="0" applyAlignment="0" applyProtection="0"/>
    <xf numFmtId="0" fontId="54" fillId="44" borderId="0" applyNumberFormat="0" applyBorder="0" applyAlignment="0" applyProtection="0"/>
    <xf numFmtId="0" fontId="54" fillId="40" borderId="0" applyNumberFormat="0" applyBorder="0" applyAlignment="0" applyProtection="0"/>
    <xf numFmtId="0" fontId="54" fillId="40" borderId="0" applyNumberFormat="0" applyBorder="0" applyAlignment="0" applyProtection="0"/>
    <xf numFmtId="0" fontId="54" fillId="45" borderId="0" applyNumberFormat="0" applyBorder="0" applyAlignment="0" applyProtection="0"/>
    <xf numFmtId="0" fontId="54" fillId="44" borderId="0" applyNumberFormat="0" applyBorder="0" applyAlignment="0" applyProtection="0"/>
    <xf numFmtId="0" fontId="54" fillId="42" borderId="0" applyNumberFormat="0" applyBorder="0" applyAlignment="0" applyProtection="0"/>
    <xf numFmtId="0" fontId="54" fillId="44" borderId="0" applyNumberFormat="0" applyBorder="0" applyAlignment="0" applyProtection="0"/>
    <xf numFmtId="0" fontId="54" fillId="40" borderId="0" applyNumberFormat="0" applyBorder="0" applyAlignment="0" applyProtection="0"/>
    <xf numFmtId="0" fontId="54" fillId="40" borderId="0" applyNumberFormat="0" applyBorder="0" applyAlignment="0" applyProtection="0"/>
    <xf numFmtId="0" fontId="54" fillId="46" borderId="0" applyNumberFormat="0" applyBorder="0" applyAlignment="0" applyProtection="0"/>
    <xf numFmtId="0" fontId="54" fillId="44" borderId="0" applyNumberFormat="0" applyBorder="0" applyAlignment="0" applyProtection="0"/>
    <xf numFmtId="0" fontId="51" fillId="35" borderId="0" applyNumberFormat="0" applyBorder="0" applyAlignment="0" applyProtection="0"/>
    <xf numFmtId="0" fontId="54" fillId="47" borderId="0" applyNumberFormat="0" applyBorder="0" applyAlignment="0" applyProtection="0"/>
    <xf numFmtId="0" fontId="42" fillId="9" borderId="0" applyNumberFormat="0" applyBorder="0" applyAlignment="0" applyProtection="0"/>
    <xf numFmtId="0" fontId="55" fillId="48" borderId="0" applyNumberFormat="0" applyBorder="0" applyAlignment="0" applyProtection="0"/>
    <xf numFmtId="0" fontId="56" fillId="49" borderId="45" applyNumberFormat="0" applyAlignment="0" applyProtection="0"/>
    <xf numFmtId="0" fontId="57" fillId="50" borderId="46" applyNumberFormat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35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35" fillId="0" borderId="0" applyFont="0" applyFill="0" applyBorder="0" applyAlignment="0" applyProtection="0"/>
    <xf numFmtId="44" fontId="35" fillId="0" borderId="0" applyFont="0" applyFill="0" applyBorder="0" applyAlignment="0" applyProtection="0"/>
    <xf numFmtId="44" fontId="35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35" fillId="0" borderId="0" applyFont="0" applyFill="0" applyBorder="0" applyAlignment="0" applyProtection="0"/>
    <xf numFmtId="44" fontId="35" fillId="0" borderId="0" applyFont="0" applyFill="0" applyBorder="0" applyAlignment="0" applyProtection="0"/>
    <xf numFmtId="44" fontId="53" fillId="0" borderId="0" applyFont="0" applyFill="0" applyBorder="0" applyAlignment="0" applyProtection="0"/>
    <xf numFmtId="44" fontId="53" fillId="0" borderId="0" applyFont="0" applyFill="0" applyBorder="0" applyAlignment="0" applyProtection="0"/>
    <xf numFmtId="0" fontId="15" fillId="2" borderId="0" applyProtection="0"/>
    <xf numFmtId="0" fontId="15" fillId="2" borderId="0" applyProtection="0"/>
    <xf numFmtId="0" fontId="15" fillId="2" borderId="0" applyProtection="0"/>
    <xf numFmtId="0" fontId="15" fillId="2" borderId="0" applyProtection="0"/>
    <xf numFmtId="0" fontId="58" fillId="0" borderId="0" applyNumberFormat="0" applyFill="0" applyBorder="0" applyAlignment="0" applyProtection="0"/>
    <xf numFmtId="2" fontId="15" fillId="2" borderId="0" applyProtection="0"/>
    <xf numFmtId="2" fontId="15" fillId="2" borderId="0" applyProtection="0"/>
    <xf numFmtId="2" fontId="15" fillId="2" borderId="0" applyProtection="0"/>
    <xf numFmtId="2" fontId="15" fillId="2" borderId="0" applyProtection="0"/>
    <xf numFmtId="0" fontId="41" fillId="8" borderId="0" applyNumberFormat="0" applyBorder="0" applyAlignment="0" applyProtection="0"/>
    <xf numFmtId="0" fontId="59" fillId="51" borderId="0" applyNumberFormat="0" applyBorder="0" applyAlignment="0" applyProtection="0"/>
    <xf numFmtId="0" fontId="60" fillId="0" borderId="47" applyNumberFormat="0" applyFill="0" applyAlignment="0" applyProtection="0"/>
    <xf numFmtId="0" fontId="61" fillId="0" borderId="48" applyNumberFormat="0" applyFill="0" applyAlignment="0" applyProtection="0"/>
    <xf numFmtId="0" fontId="62" fillId="0" borderId="49" applyNumberFormat="0" applyFill="0" applyAlignment="0" applyProtection="0"/>
    <xf numFmtId="0" fontId="62" fillId="0" borderId="0" applyNumberFormat="0" applyFill="0" applyBorder="0" applyAlignment="0" applyProtection="0"/>
    <xf numFmtId="0" fontId="15" fillId="2" borderId="0" applyNumberFormat="0" applyFont="0" applyFill="0" applyBorder="0" applyAlignment="0" applyProtection="0"/>
    <xf numFmtId="0" fontId="15" fillId="2" borderId="0" applyNumberFormat="0" applyFont="0" applyFill="0" applyBorder="0" applyAlignment="0" applyProtection="0"/>
    <xf numFmtId="0" fontId="15" fillId="2" borderId="0" applyNumberFormat="0" applyFont="0" applyFill="0" applyBorder="0" applyAlignment="0" applyProtection="0"/>
    <xf numFmtId="0" fontId="15" fillId="2" borderId="0" applyNumberFormat="0" applyFont="0" applyFill="0" applyBorder="0" applyAlignment="0" applyProtection="0"/>
    <xf numFmtId="0" fontId="63" fillId="42" borderId="45" applyNumberFormat="0" applyAlignment="0" applyProtection="0"/>
    <xf numFmtId="0" fontId="64" fillId="0" borderId="50" applyNumberFormat="0" applyFill="0" applyAlignment="0" applyProtection="0"/>
    <xf numFmtId="0" fontId="43" fillId="10" borderId="0" applyNumberFormat="0" applyBorder="0" applyAlignment="0" applyProtection="0"/>
    <xf numFmtId="0" fontId="65" fillId="52" borderId="0" applyNumberFormat="0" applyBorder="0" applyAlignment="0" applyProtection="0"/>
    <xf numFmtId="0" fontId="7" fillId="0" borderId="0"/>
    <xf numFmtId="0" fontId="7" fillId="0" borderId="0"/>
    <xf numFmtId="0" fontId="35" fillId="0" borderId="0"/>
    <xf numFmtId="0" fontId="35" fillId="0" borderId="0"/>
    <xf numFmtId="0" fontId="4" fillId="0" borderId="0"/>
    <xf numFmtId="0" fontId="66" fillId="0" borderId="0"/>
    <xf numFmtId="0" fontId="35" fillId="0" borderId="0"/>
    <xf numFmtId="0" fontId="15" fillId="0" borderId="0"/>
    <xf numFmtId="0" fontId="35" fillId="0" borderId="0"/>
    <xf numFmtId="0" fontId="35" fillId="0" borderId="0"/>
    <xf numFmtId="0" fontId="4" fillId="0" borderId="0"/>
    <xf numFmtId="0" fontId="7" fillId="0" borderId="0"/>
    <xf numFmtId="0" fontId="67" fillId="0" borderId="0"/>
    <xf numFmtId="0" fontId="15" fillId="0" borderId="0"/>
    <xf numFmtId="0" fontId="15" fillId="0" borderId="0"/>
    <xf numFmtId="0" fontId="7" fillId="0" borderId="0"/>
    <xf numFmtId="0" fontId="67" fillId="0" borderId="0"/>
    <xf numFmtId="0" fontId="7" fillId="0" borderId="0"/>
    <xf numFmtId="0" fontId="7" fillId="0" borderId="0"/>
    <xf numFmtId="0" fontId="7" fillId="0" borderId="0"/>
    <xf numFmtId="0" fontId="15" fillId="0" borderId="0"/>
    <xf numFmtId="0" fontId="15" fillId="0" borderId="0"/>
    <xf numFmtId="0" fontId="15" fillId="0" borderId="0"/>
    <xf numFmtId="0" fontId="7" fillId="0" borderId="0"/>
    <xf numFmtId="0" fontId="7" fillId="0" borderId="0"/>
    <xf numFmtId="0" fontId="7" fillId="53" borderId="44" applyNumberFormat="0" applyFont="0" applyAlignment="0" applyProtection="0"/>
    <xf numFmtId="0" fontId="68" fillId="49" borderId="51" applyNumberFormat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35" fillId="0" borderId="0" applyFont="0" applyFill="0" applyBorder="0" applyAlignment="0" applyProtection="0"/>
    <xf numFmtId="0" fontId="35" fillId="0" borderId="0" applyNumberFormat="0" applyBorder="0" applyAlignment="0"/>
    <xf numFmtId="0" fontId="35" fillId="0" borderId="0" applyNumberFormat="0" applyBorder="0" applyAlignment="0"/>
    <xf numFmtId="0" fontId="35" fillId="0" borderId="0" applyNumberFormat="0" applyBorder="0" applyAlignment="0"/>
    <xf numFmtId="0" fontId="69" fillId="0" borderId="0" applyNumberFormat="0" applyFill="0" applyBorder="0" applyAlignment="0" applyProtection="0"/>
    <xf numFmtId="0" fontId="70" fillId="0" borderId="52" applyNumberFormat="0" applyFill="0" applyAlignment="0" applyProtection="0"/>
    <xf numFmtId="0" fontId="15" fillId="2" borderId="1" applyProtection="0"/>
    <xf numFmtId="0" fontId="71" fillId="0" borderId="0" applyNumberFormat="0" applyFill="0" applyBorder="0" applyAlignment="0" applyProtection="0"/>
    <xf numFmtId="4" fontId="15" fillId="2" borderId="0" applyProtection="0"/>
    <xf numFmtId="0" fontId="15" fillId="0" borderId="0">
      <alignment vertical="top"/>
    </xf>
    <xf numFmtId="0" fontId="15" fillId="0" borderId="0">
      <alignment vertical="top"/>
    </xf>
    <xf numFmtId="0" fontId="3" fillId="0" borderId="0"/>
    <xf numFmtId="44" fontId="3" fillId="0" borderId="0" applyFont="0" applyFill="0" applyBorder="0" applyAlignment="0" applyProtection="0"/>
    <xf numFmtId="0" fontId="3" fillId="14" borderId="42" applyNumberFormat="0" applyFont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3" fillId="36" borderId="0" applyNumberFormat="0" applyBorder="0" applyAlignment="0" applyProtection="0"/>
    <xf numFmtId="0" fontId="3" fillId="37" borderId="0" applyNumberFormat="0" applyBorder="0" applyAlignment="0" applyProtection="0"/>
    <xf numFmtId="4" fontId="15" fillId="2" borderId="0" applyProtection="0"/>
    <xf numFmtId="43" fontId="15" fillId="0" borderId="0" applyFont="0" applyFill="0" applyBorder="0" applyAlignment="0" applyProtection="0"/>
    <xf numFmtId="7" fontId="15" fillId="2" borderId="0" applyProtection="0"/>
    <xf numFmtId="10" fontId="15" fillId="2" borderId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6" borderId="0" applyNumberFormat="0" applyBorder="0" applyAlignment="0" applyProtection="0"/>
    <xf numFmtId="0" fontId="2" fillId="37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14" borderId="42" applyNumberFormat="0" applyFont="0" applyAlignment="0" applyProtection="0"/>
    <xf numFmtId="0" fontId="2" fillId="21" borderId="0" applyNumberFormat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14" borderId="42" applyNumberFormat="0" applyFont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6" borderId="0" applyNumberFormat="0" applyBorder="0" applyAlignment="0" applyProtection="0"/>
    <xf numFmtId="0" fontId="2" fillId="37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36" borderId="0" applyNumberFormat="0" applyBorder="0" applyAlignment="0" applyProtection="0"/>
    <xf numFmtId="0" fontId="1" fillId="37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14" borderId="42" applyNumberFormat="0" applyFont="0" applyAlignment="0" applyProtection="0"/>
    <xf numFmtId="0" fontId="1" fillId="21" borderId="0" applyNumberFormat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</cellStyleXfs>
  <cellXfs count="579">
    <xf numFmtId="0" fontId="0" fillId="2" borderId="0" xfId="0" applyFill="1" applyAlignment="1"/>
    <xf numFmtId="0" fontId="10" fillId="3" borderId="0" xfId="0" applyFont="1" applyFill="1" applyBorder="1" applyAlignment="1"/>
    <xf numFmtId="0" fontId="6" fillId="3" borderId="0" xfId="0" applyFont="1" applyFill="1" applyBorder="1" applyAlignment="1"/>
    <xf numFmtId="5" fontId="6" fillId="3" borderId="0" xfId="0" applyNumberFormat="1" applyFont="1" applyFill="1" applyBorder="1" applyAlignment="1"/>
    <xf numFmtId="0" fontId="10" fillId="4" borderId="0" xfId="0" applyFont="1" applyFill="1" applyBorder="1" applyAlignment="1"/>
    <xf numFmtId="0" fontId="10" fillId="3" borderId="0" xfId="0" applyFont="1" applyFill="1" applyAlignment="1"/>
    <xf numFmtId="0" fontId="6" fillId="4" borderId="0" xfId="0" applyFont="1" applyFill="1" applyBorder="1" applyAlignment="1"/>
    <xf numFmtId="3" fontId="6" fillId="3" borderId="0" xfId="0" applyNumberFormat="1" applyFont="1" applyFill="1" applyBorder="1" applyAlignment="1"/>
    <xf numFmtId="0" fontId="0" fillId="3" borderId="0" xfId="0" applyFill="1" applyAlignment="1"/>
    <xf numFmtId="0" fontId="6" fillId="3" borderId="0" xfId="0" applyFont="1" applyFill="1" applyBorder="1" applyAlignment="1">
      <alignment horizontal="center"/>
    </xf>
    <xf numFmtId="3" fontId="0" fillId="3" borderId="0" xfId="0" applyNumberFormat="1" applyFill="1" applyAlignment="1"/>
    <xf numFmtId="0" fontId="9" fillId="3" borderId="0" xfId="0" applyFont="1" applyFill="1" applyAlignment="1"/>
    <xf numFmtId="0" fontId="6" fillId="3" borderId="0" xfId="0" applyFont="1" applyFill="1" applyBorder="1" applyAlignment="1">
      <alignment horizontal="left"/>
    </xf>
    <xf numFmtId="0" fontId="6" fillId="4" borderId="0" xfId="0" applyFont="1" applyFill="1" applyBorder="1" applyAlignment="1">
      <alignment horizontal="center"/>
    </xf>
    <xf numFmtId="3" fontId="6" fillId="3" borderId="0" xfId="2" applyFill="1"/>
    <xf numFmtId="3" fontId="10" fillId="3" borderId="0" xfId="1" applyNumberFormat="1" applyFont="1" applyFill="1"/>
    <xf numFmtId="5" fontId="6" fillId="3" borderId="0" xfId="4" applyFill="1"/>
    <xf numFmtId="3" fontId="9" fillId="3" borderId="0" xfId="0" applyNumberFormat="1" applyFont="1" applyFill="1" applyAlignment="1"/>
    <xf numFmtId="3" fontId="10" fillId="3" borderId="0" xfId="0" applyNumberFormat="1" applyFont="1" applyFill="1" applyBorder="1" applyAlignment="1"/>
    <xf numFmtId="0" fontId="10" fillId="3" borderId="0" xfId="0" applyFont="1" applyFill="1" applyAlignment="1">
      <alignment horizontal="right"/>
    </xf>
    <xf numFmtId="0" fontId="0" fillId="3" borderId="0" xfId="0" applyNumberFormat="1" applyFont="1" applyFill="1" applyBorder="1" applyAlignment="1" applyProtection="1"/>
    <xf numFmtId="3" fontId="6" fillId="4" borderId="0" xfId="0" applyNumberFormat="1" applyFont="1" applyFill="1" applyBorder="1" applyAlignment="1"/>
    <xf numFmtId="3" fontId="10" fillId="3" borderId="0" xfId="0" applyNumberFormat="1" applyFont="1" applyFill="1" applyAlignment="1"/>
    <xf numFmtId="3" fontId="6" fillId="3" borderId="0" xfId="0" quotePrefix="1" applyNumberFormat="1" applyFont="1" applyFill="1" applyBorder="1" applyAlignment="1"/>
    <xf numFmtId="5" fontId="0" fillId="3" borderId="0" xfId="0" applyNumberFormat="1" applyFill="1" applyAlignment="1"/>
    <xf numFmtId="3" fontId="17" fillId="3" borderId="0" xfId="0" applyNumberFormat="1" applyFont="1" applyFill="1" applyAlignment="1"/>
    <xf numFmtId="0" fontId="8" fillId="4" borderId="0" xfId="0" applyFont="1" applyFill="1" applyBorder="1" applyAlignment="1"/>
    <xf numFmtId="3" fontId="13" fillId="3" borderId="0" xfId="1" applyNumberFormat="1" applyFont="1" applyFill="1"/>
    <xf numFmtId="3" fontId="18" fillId="3" borderId="0" xfId="1" applyNumberFormat="1" applyFont="1" applyFill="1"/>
    <xf numFmtId="0" fontId="0" fillId="3" borderId="0" xfId="0" applyFill="1" applyBorder="1" applyAlignment="1"/>
    <xf numFmtId="3" fontId="6" fillId="4" borderId="0" xfId="0" applyNumberFormat="1" applyFont="1" applyFill="1" applyBorder="1" applyAlignment="1">
      <alignment horizontal="center"/>
    </xf>
    <xf numFmtId="0" fontId="6" fillId="3" borderId="0" xfId="0" applyNumberFormat="1" applyFont="1" applyFill="1" applyBorder="1" applyAlignment="1"/>
    <xf numFmtId="0" fontId="9" fillId="0" borderId="2" xfId="0" applyFont="1" applyFill="1" applyBorder="1" applyAlignment="1" applyProtection="1">
      <alignment horizontal="center"/>
      <protection locked="0"/>
    </xf>
    <xf numFmtId="0" fontId="0" fillId="0" borderId="0" xfId="0" applyFill="1" applyAlignment="1"/>
    <xf numFmtId="0" fontId="6" fillId="0" borderId="0" xfId="0" applyFont="1" applyFill="1" applyBorder="1" applyAlignment="1"/>
    <xf numFmtId="0" fontId="6" fillId="0" borderId="0" xfId="0" applyFont="1" applyFill="1" applyBorder="1" applyAlignment="1">
      <alignment horizontal="center"/>
    </xf>
    <xf numFmtId="0" fontId="15" fillId="0" borderId="0" xfId="0" applyFont="1" applyFill="1" applyAlignment="1"/>
    <xf numFmtId="5" fontId="10" fillId="0" borderId="3" xfId="0" applyNumberFormat="1" applyFont="1" applyFill="1" applyBorder="1" applyAlignment="1"/>
    <xf numFmtId="5" fontId="10" fillId="0" borderId="0" xfId="0" applyNumberFormat="1" applyFont="1" applyFill="1" applyBorder="1" applyAlignment="1"/>
    <xf numFmtId="0" fontId="15" fillId="0" borderId="3" xfId="0" applyFont="1" applyFill="1" applyBorder="1" applyAlignment="1"/>
    <xf numFmtId="0" fontId="15" fillId="0" borderId="0" xfId="0" applyFont="1" applyFill="1" applyBorder="1" applyAlignment="1"/>
    <xf numFmtId="5" fontId="15" fillId="0" borderId="3" xfId="0" applyNumberFormat="1" applyFont="1" applyFill="1" applyBorder="1" applyAlignment="1"/>
    <xf numFmtId="5" fontId="15" fillId="0" borderId="0" xfId="0" applyNumberFormat="1" applyFont="1" applyFill="1" applyBorder="1" applyAlignment="1"/>
    <xf numFmtId="0" fontId="15" fillId="0" borderId="4" xfId="0" applyFont="1" applyFill="1" applyBorder="1" applyAlignment="1"/>
    <xf numFmtId="5" fontId="15" fillId="0" borderId="4" xfId="0" applyNumberFormat="1" applyFont="1" applyFill="1" applyBorder="1" applyAlignment="1"/>
    <xf numFmtId="0" fontId="15" fillId="0" borderId="0" xfId="0" applyFont="1" applyFill="1" applyBorder="1" applyAlignment="1">
      <alignment horizontal="center"/>
    </xf>
    <xf numFmtId="0" fontId="15" fillId="0" borderId="2" xfId="0" applyFont="1" applyFill="1" applyBorder="1" applyAlignment="1">
      <alignment horizontal="center"/>
    </xf>
    <xf numFmtId="3" fontId="15" fillId="0" borderId="3" xfId="0" applyNumberFormat="1" applyFont="1" applyFill="1" applyBorder="1" applyAlignment="1"/>
    <xf numFmtId="3" fontId="15" fillId="0" borderId="0" xfId="0" applyNumberFormat="1" applyFont="1" applyFill="1" applyBorder="1" applyAlignment="1"/>
    <xf numFmtId="5" fontId="15" fillId="0" borderId="5" xfId="0" applyNumberFormat="1" applyFont="1" applyFill="1" applyBorder="1" applyAlignment="1"/>
    <xf numFmtId="165" fontId="15" fillId="0" borderId="0" xfId="0" applyNumberFormat="1" applyFont="1" applyFill="1" applyBorder="1" applyAlignment="1"/>
    <xf numFmtId="0" fontId="10" fillId="0" borderId="0" xfId="0" applyFont="1" applyFill="1" applyBorder="1" applyAlignment="1">
      <alignment horizontal="left"/>
    </xf>
    <xf numFmtId="0" fontId="10" fillId="0" borderId="0" xfId="0" applyFont="1" applyFill="1" applyBorder="1" applyAlignment="1"/>
    <xf numFmtId="0" fontId="10" fillId="0" borderId="0" xfId="0" applyFont="1" applyFill="1" applyAlignment="1"/>
    <xf numFmtId="3" fontId="10" fillId="0" borderId="0" xfId="0" applyNumberFormat="1" applyFont="1" applyFill="1" applyBorder="1" applyAlignment="1"/>
    <xf numFmtId="2" fontId="10" fillId="0" borderId="0" xfId="0" applyNumberFormat="1" applyFont="1" applyFill="1" applyBorder="1" applyAlignment="1">
      <alignment horizontal="center"/>
    </xf>
    <xf numFmtId="0" fontId="10" fillId="0" borderId="0" xfId="0" applyFont="1" applyFill="1" applyBorder="1" applyAlignment="1">
      <alignment horizontal="right"/>
    </xf>
    <xf numFmtId="0" fontId="10" fillId="0" borderId="0" xfId="0" applyFont="1" applyFill="1" applyBorder="1" applyAlignment="1">
      <alignment horizontal="center"/>
    </xf>
    <xf numFmtId="5" fontId="10" fillId="0" borderId="0" xfId="4" applyFont="1" applyFill="1"/>
    <xf numFmtId="0" fontId="7" fillId="0" borderId="0" xfId="0" applyFont="1" applyFill="1" applyBorder="1" applyAlignment="1"/>
    <xf numFmtId="5" fontId="6" fillId="0" borderId="0" xfId="0" applyNumberFormat="1" applyFont="1" applyFill="1" applyBorder="1" applyAlignment="1"/>
    <xf numFmtId="5" fontId="10" fillId="0" borderId="0" xfId="3" applyNumberFormat="1" applyFont="1" applyFill="1" applyBorder="1"/>
    <xf numFmtId="9" fontId="10" fillId="0" borderId="0" xfId="0" applyNumberFormat="1" applyFont="1" applyFill="1" applyBorder="1" applyAlignment="1">
      <alignment horizontal="center"/>
    </xf>
    <xf numFmtId="3" fontId="12" fillId="0" borderId="0" xfId="2" applyFont="1" applyFill="1"/>
    <xf numFmtId="0" fontId="10" fillId="0" borderId="0" xfId="2" applyNumberFormat="1" applyFont="1" applyFill="1"/>
    <xf numFmtId="3" fontId="10" fillId="0" borderId="0" xfId="2" applyFont="1" applyFill="1"/>
    <xf numFmtId="0" fontId="13" fillId="0" borderId="0" xfId="0" applyFont="1" applyFill="1" applyBorder="1" applyAlignment="1"/>
    <xf numFmtId="0" fontId="7" fillId="0" borderId="0" xfId="0" applyFont="1" applyFill="1" applyAlignment="1"/>
    <xf numFmtId="0" fontId="15" fillId="0" borderId="0" xfId="0" applyFont="1" applyFill="1" applyBorder="1" applyAlignment="1">
      <alignment horizontal="left"/>
    </xf>
    <xf numFmtId="0" fontId="7" fillId="3" borderId="0" xfId="0" applyFont="1" applyFill="1" applyAlignment="1"/>
    <xf numFmtId="0" fontId="15" fillId="0" borderId="7" xfId="0" applyFont="1" applyFill="1" applyBorder="1" applyAlignment="1"/>
    <xf numFmtId="5" fontId="15" fillId="0" borderId="0" xfId="0" applyNumberFormat="1" applyFont="1" applyFill="1" applyBorder="1" applyAlignment="1">
      <alignment horizontal="center"/>
    </xf>
    <xf numFmtId="0" fontId="15" fillId="0" borderId="0" xfId="0" quotePrefix="1" applyFont="1" applyFill="1" applyBorder="1" applyAlignment="1">
      <alignment horizontal="left"/>
    </xf>
    <xf numFmtId="3" fontId="7" fillId="0" borderId="0" xfId="0" applyNumberFormat="1" applyFont="1" applyFill="1" applyAlignment="1"/>
    <xf numFmtId="164" fontId="10" fillId="0" borderId="0" xfId="0" applyNumberFormat="1" applyFont="1" applyFill="1" applyBorder="1" applyAlignment="1">
      <alignment horizontal="center"/>
    </xf>
    <xf numFmtId="3" fontId="10" fillId="0" borderId="0" xfId="0" applyNumberFormat="1" applyFont="1" applyFill="1" applyAlignment="1"/>
    <xf numFmtId="0" fontId="16" fillId="0" borderId="0" xfId="0" applyFont="1" applyFill="1" applyBorder="1" applyAlignment="1">
      <alignment horizontal="right"/>
    </xf>
    <xf numFmtId="3" fontId="18" fillId="0" borderId="0" xfId="0" applyNumberFormat="1" applyFont="1" applyFill="1" applyBorder="1" applyAlignment="1">
      <alignment horizontal="right"/>
    </xf>
    <xf numFmtId="3" fontId="13" fillId="0" borderId="0" xfId="1" applyNumberFormat="1" applyFont="1" applyFill="1"/>
    <xf numFmtId="5" fontId="7" fillId="0" borderId="0" xfId="0" applyNumberFormat="1" applyFont="1" applyFill="1" applyBorder="1" applyAlignment="1"/>
    <xf numFmtId="5" fontId="15" fillId="5" borderId="0" xfId="4" applyFont="1" applyFill="1"/>
    <xf numFmtId="165" fontId="15" fillId="5" borderId="0" xfId="0" applyNumberFormat="1" applyFont="1" applyFill="1" applyBorder="1" applyAlignment="1"/>
    <xf numFmtId="0" fontId="0" fillId="0" borderId="0" xfId="0">
      <alignment vertical="top"/>
    </xf>
    <xf numFmtId="5" fontId="15" fillId="0" borderId="0" xfId="0" quotePrefix="1" applyNumberFormat="1" applyFont="1" applyFill="1" applyBorder="1" applyAlignment="1"/>
    <xf numFmtId="5" fontId="15" fillId="0" borderId="8" xfId="0" applyNumberFormat="1" applyFont="1" applyFill="1" applyBorder="1" applyAlignment="1"/>
    <xf numFmtId="5" fontId="10" fillId="0" borderId="0" xfId="0" applyNumberFormat="1" applyFont="1" applyFill="1" applyAlignment="1"/>
    <xf numFmtId="0" fontId="0" fillId="0" borderId="0" xfId="0" applyFill="1">
      <alignment vertical="top"/>
    </xf>
    <xf numFmtId="0" fontId="0" fillId="0" borderId="0" xfId="0" applyFill="1" applyBorder="1">
      <alignment vertical="top"/>
    </xf>
    <xf numFmtId="0" fontId="14" fillId="0" borderId="2" xfId="0" applyFont="1" applyFill="1" applyBorder="1" applyAlignment="1">
      <alignment horizontal="center"/>
    </xf>
    <xf numFmtId="37" fontId="15" fillId="0" borderId="0" xfId="0" applyNumberFormat="1" applyFont="1" applyFill="1" applyBorder="1" applyAlignment="1"/>
    <xf numFmtId="0" fontId="24" fillId="0" borderId="0" xfId="0" applyFont="1" applyFill="1" applyBorder="1" applyAlignment="1"/>
    <xf numFmtId="0" fontId="13" fillId="0" borderId="0" xfId="0" applyFont="1">
      <alignment vertical="top"/>
    </xf>
    <xf numFmtId="0" fontId="13" fillId="0" borderId="0" xfId="0" applyFont="1" applyBorder="1">
      <alignment vertical="top"/>
    </xf>
    <xf numFmtId="3" fontId="13" fillId="0" borderId="0" xfId="0" applyNumberFormat="1" applyFont="1" applyBorder="1">
      <alignment vertical="top"/>
    </xf>
    <xf numFmtId="0" fontId="19" fillId="0" borderId="0" xfId="0" applyFont="1" applyFill="1" applyBorder="1" applyAlignment="1">
      <alignment horizontal="center"/>
    </xf>
    <xf numFmtId="0" fontId="10" fillId="0" borderId="0" xfId="0" quotePrefix="1" applyFont="1" applyFill="1" applyBorder="1" applyAlignment="1"/>
    <xf numFmtId="5" fontId="7" fillId="0" borderId="0" xfId="4" applyFont="1" applyFill="1" applyBorder="1"/>
    <xf numFmtId="5" fontId="19" fillId="0" borderId="0" xfId="0" applyNumberFormat="1" applyFont="1" applyFill="1" applyBorder="1" applyAlignment="1"/>
    <xf numFmtId="0" fontId="7" fillId="0" borderId="0" xfId="0" applyFont="1" applyFill="1" applyBorder="1" applyAlignment="1">
      <alignment horizontal="center"/>
    </xf>
    <xf numFmtId="5" fontId="7" fillId="0" borderId="3" xfId="0" applyNumberFormat="1" applyFont="1" applyFill="1" applyBorder="1" applyAlignment="1"/>
    <xf numFmtId="5" fontId="7" fillId="0" borderId="0" xfId="3" applyNumberFormat="1" applyFont="1" applyFill="1"/>
    <xf numFmtId="10" fontId="7" fillId="0" borderId="0" xfId="10" applyFont="1" applyFill="1" applyBorder="1"/>
    <xf numFmtId="0" fontId="7" fillId="3" borderId="0" xfId="0" applyFont="1" applyFill="1" applyBorder="1" applyAlignment="1"/>
    <xf numFmtId="5" fontId="7" fillId="3" borderId="0" xfId="4" applyFont="1" applyFill="1" applyBorder="1"/>
    <xf numFmtId="3" fontId="7" fillId="3" borderId="0" xfId="0" applyNumberFormat="1" applyFont="1" applyFill="1" applyBorder="1" applyAlignment="1"/>
    <xf numFmtId="0" fontId="7" fillId="0" borderId="0" xfId="0" quotePrefix="1" applyFont="1" applyFill="1" applyBorder="1" applyAlignment="1">
      <alignment horizontal="left"/>
    </xf>
    <xf numFmtId="0" fontId="19" fillId="0" borderId="0" xfId="0" applyFont="1" applyFill="1" applyBorder="1" applyAlignment="1"/>
    <xf numFmtId="0" fontId="18" fillId="0" borderId="0" xfId="0" applyFont="1" applyFill="1" applyBorder="1" applyAlignment="1"/>
    <xf numFmtId="0" fontId="13" fillId="0" borderId="0" xfId="0" applyFont="1" applyFill="1" applyBorder="1" applyAlignment="1">
      <alignment horizontal="center"/>
    </xf>
    <xf numFmtId="0" fontId="18" fillId="0" borderId="0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left"/>
    </xf>
    <xf numFmtId="5" fontId="7" fillId="0" borderId="0" xfId="0" applyNumberFormat="1" applyFont="1" applyFill="1">
      <alignment vertical="top"/>
    </xf>
    <xf numFmtId="0" fontId="7" fillId="0" borderId="0" xfId="0" applyFont="1">
      <alignment vertical="top"/>
    </xf>
    <xf numFmtId="5" fontId="7" fillId="0" borderId="0" xfId="0" applyNumberFormat="1" applyFont="1">
      <alignment vertical="top"/>
    </xf>
    <xf numFmtId="0" fontId="7" fillId="0" borderId="0" xfId="0" applyFont="1" applyFill="1" applyAlignment="1">
      <alignment horizontal="center"/>
    </xf>
    <xf numFmtId="4" fontId="7" fillId="0" borderId="0" xfId="0" applyNumberFormat="1" applyFont="1" applyFill="1" applyBorder="1" applyAlignment="1"/>
    <xf numFmtId="6" fontId="7" fillId="0" borderId="0" xfId="0" applyNumberFormat="1" applyFont="1" applyFill="1">
      <alignment vertical="top"/>
    </xf>
    <xf numFmtId="0" fontId="10" fillId="2" borderId="0" xfId="0" applyFont="1" applyFill="1" applyAlignment="1"/>
    <xf numFmtId="10" fontId="10" fillId="3" borderId="0" xfId="10" applyFont="1" applyFill="1" applyBorder="1"/>
    <xf numFmtId="0" fontId="10" fillId="0" borderId="0" xfId="2" applyNumberFormat="1" applyFont="1" applyFill="1" applyAlignment="1"/>
    <xf numFmtId="5" fontId="13" fillId="0" borderId="0" xfId="0" applyNumberFormat="1" applyFont="1" applyFill="1" applyBorder="1" applyAlignment="1"/>
    <xf numFmtId="0" fontId="13" fillId="0" borderId="0" xfId="0" applyFont="1" applyFill="1" applyBorder="1">
      <alignment vertical="top"/>
    </xf>
    <xf numFmtId="2" fontId="7" fillId="0" borderId="0" xfId="0" applyNumberFormat="1" applyFont="1" applyFill="1" applyBorder="1" applyAlignment="1">
      <alignment horizontal="center"/>
    </xf>
    <xf numFmtId="2" fontId="7" fillId="0" borderId="0" xfId="0" quotePrefix="1" applyNumberFormat="1" applyFont="1" applyFill="1" applyBorder="1" applyAlignment="1">
      <alignment horizontal="left"/>
    </xf>
    <xf numFmtId="2" fontId="10" fillId="0" borderId="0" xfId="0" applyNumberFormat="1" applyFont="1" applyFill="1" applyBorder="1" applyAlignment="1">
      <alignment horizontal="left"/>
    </xf>
    <xf numFmtId="0" fontId="10" fillId="0" borderId="0" xfId="0" applyFont="1" applyFill="1" applyAlignment="1">
      <alignment horizontal="left"/>
    </xf>
    <xf numFmtId="3" fontId="13" fillId="0" borderId="0" xfId="0" applyNumberFormat="1" applyFont="1">
      <alignment vertical="top"/>
    </xf>
    <xf numFmtId="3" fontId="13" fillId="0" borderId="0" xfId="0" applyNumberFormat="1" applyFont="1" applyFill="1">
      <alignment vertical="top"/>
    </xf>
    <xf numFmtId="0" fontId="13" fillId="0" borderId="0" xfId="0" applyFont="1" applyFill="1">
      <alignment vertical="top"/>
    </xf>
    <xf numFmtId="3" fontId="13" fillId="0" borderId="0" xfId="0" applyNumberFormat="1" applyFont="1" applyFill="1" applyBorder="1">
      <alignment vertical="top"/>
    </xf>
    <xf numFmtId="38" fontId="13" fillId="0" borderId="0" xfId="0" applyNumberFormat="1" applyFont="1">
      <alignment vertical="top"/>
    </xf>
    <xf numFmtId="164" fontId="13" fillId="0" borderId="0" xfId="9" applyNumberFormat="1" applyFont="1" applyBorder="1"/>
    <xf numFmtId="0" fontId="28" fillId="0" borderId="0" xfId="0" applyFont="1" applyFill="1" applyBorder="1" applyAlignment="1"/>
    <xf numFmtId="0" fontId="29" fillId="0" borderId="0" xfId="0" applyFont="1" applyFill="1" applyBorder="1" applyAlignment="1"/>
    <xf numFmtId="0" fontId="21" fillId="0" borderId="0" xfId="0" applyFont="1" applyFill="1" applyBorder="1" applyAlignment="1"/>
    <xf numFmtId="0" fontId="28" fillId="0" borderId="0" xfId="0" applyFont="1" applyFill="1" applyBorder="1" applyAlignment="1">
      <alignment horizontal="center"/>
    </xf>
    <xf numFmtId="0" fontId="7" fillId="0" borderId="0" xfId="0" quotePrefix="1" applyFont="1" applyFill="1" applyBorder="1" applyAlignment="1"/>
    <xf numFmtId="42" fontId="7" fillId="0" borderId="0" xfId="3" applyNumberFormat="1" applyFont="1" applyFill="1" applyBorder="1"/>
    <xf numFmtId="170" fontId="7" fillId="0" borderId="0" xfId="3" applyNumberFormat="1" applyFont="1" applyFill="1" applyBorder="1"/>
    <xf numFmtId="0" fontId="22" fillId="0" borderId="0" xfId="0" applyFont="1" applyFill="1" applyBorder="1">
      <alignment vertical="top"/>
    </xf>
    <xf numFmtId="0" fontId="7" fillId="0" borderId="0" xfId="0" applyFont="1" applyFill="1" applyBorder="1">
      <alignment vertical="top"/>
    </xf>
    <xf numFmtId="0" fontId="18" fillId="0" borderId="0" xfId="0" applyFont="1" applyFill="1" applyBorder="1" applyAlignment="1">
      <alignment horizontal="left"/>
    </xf>
    <xf numFmtId="0" fontId="13" fillId="0" borderId="0" xfId="0" applyFont="1" applyFill="1" applyAlignment="1"/>
    <xf numFmtId="37" fontId="10" fillId="0" borderId="0" xfId="0" applyNumberFormat="1" applyFont="1" applyFill="1" applyAlignment="1"/>
    <xf numFmtId="37" fontId="19" fillId="0" borderId="0" xfId="0" applyNumberFormat="1" applyFont="1" applyFill="1" applyAlignment="1"/>
    <xf numFmtId="3" fontId="33" fillId="0" borderId="0" xfId="0" applyNumberFormat="1" applyFont="1" applyFill="1" applyBorder="1" applyAlignment="1"/>
    <xf numFmtId="38" fontId="10" fillId="0" borderId="0" xfId="0" applyNumberFormat="1" applyFont="1" applyFill="1" applyBorder="1" applyAlignment="1"/>
    <xf numFmtId="10" fontId="10" fillId="0" borderId="0" xfId="0" applyNumberFormat="1" applyFont="1" applyFill="1" applyAlignment="1"/>
    <xf numFmtId="10" fontId="33" fillId="3" borderId="0" xfId="0" applyNumberFormat="1" applyFont="1" applyFill="1" applyBorder="1" applyAlignment="1"/>
    <xf numFmtId="0" fontId="33" fillId="3" borderId="0" xfId="0" applyFont="1" applyFill="1" applyBorder="1" applyAlignment="1"/>
    <xf numFmtId="3" fontId="10" fillId="3" borderId="0" xfId="1" applyNumberFormat="1" applyFont="1" applyFill="1" applyBorder="1"/>
    <xf numFmtId="0" fontId="7" fillId="0" borderId="0" xfId="0" applyFont="1" applyAlignment="1">
      <alignment horizontal="center" vertical="top"/>
    </xf>
    <xf numFmtId="0" fontId="19" fillId="0" borderId="0" xfId="0" applyFont="1" applyFill="1" applyBorder="1" applyAlignment="1">
      <alignment horizontal="left"/>
    </xf>
    <xf numFmtId="6" fontId="7" fillId="0" borderId="0" xfId="0" applyNumberFormat="1" applyFont="1" applyFill="1" applyBorder="1" applyAlignment="1"/>
    <xf numFmtId="0" fontId="10" fillId="0" borderId="0" xfId="0" applyFont="1" applyFill="1" applyAlignment="1">
      <alignment horizontal="center"/>
    </xf>
    <xf numFmtId="166" fontId="10" fillId="0" borderId="0" xfId="0" applyNumberFormat="1" applyFont="1" applyFill="1" applyBorder="1" applyAlignment="1"/>
    <xf numFmtId="2" fontId="7" fillId="0" borderId="0" xfId="0" applyNumberFormat="1" applyFont="1" applyFill="1" applyBorder="1" applyAlignment="1"/>
    <xf numFmtId="37" fontId="7" fillId="0" borderId="0" xfId="0" applyNumberFormat="1" applyFont="1" applyFill="1" applyBorder="1">
      <alignment vertical="top"/>
    </xf>
    <xf numFmtId="3" fontId="7" fillId="0" borderId="0" xfId="0" applyNumberFormat="1" applyFont="1" applyFill="1" applyBorder="1">
      <alignment vertical="top"/>
    </xf>
    <xf numFmtId="5" fontId="22" fillId="0" borderId="0" xfId="0" applyNumberFormat="1" applyFont="1" applyFill="1" applyBorder="1">
      <alignment vertical="top"/>
    </xf>
    <xf numFmtId="0" fontId="7" fillId="0" borderId="0" xfId="0" applyFont="1" applyFill="1">
      <alignment vertical="top"/>
    </xf>
    <xf numFmtId="2" fontId="7" fillId="0" borderId="0" xfId="0" applyNumberFormat="1" applyFont="1" applyFill="1" applyBorder="1" applyAlignment="1">
      <alignment horizontal="left"/>
    </xf>
    <xf numFmtId="0" fontId="19" fillId="0" borderId="0" xfId="0" quotePrefix="1" applyFont="1" applyFill="1" applyBorder="1" applyAlignment="1">
      <alignment horizontal="center"/>
    </xf>
    <xf numFmtId="5" fontId="10" fillId="0" borderId="0" xfId="0" applyNumberFormat="1" applyFont="1" applyFill="1" applyBorder="1" applyAlignment="1">
      <alignment horizontal="center"/>
    </xf>
    <xf numFmtId="5" fontId="19" fillId="0" borderId="0" xfId="3" applyNumberFormat="1" applyFont="1" applyFill="1" applyBorder="1" applyAlignment="1">
      <alignment horizontal="center"/>
    </xf>
    <xf numFmtId="0" fontId="19" fillId="0" borderId="0" xfId="0" applyFont="1" applyFill="1" applyAlignment="1">
      <alignment horizontal="center"/>
    </xf>
    <xf numFmtId="38" fontId="10" fillId="0" borderId="0" xfId="0" applyNumberFormat="1" applyFont="1" applyFill="1" applyAlignment="1">
      <alignment horizontal="center"/>
    </xf>
    <xf numFmtId="5" fontId="7" fillId="0" borderId="0" xfId="3" applyNumberFormat="1" applyFont="1" applyFill="1" applyBorder="1" applyAlignment="1">
      <alignment horizontal="center"/>
    </xf>
    <xf numFmtId="2" fontId="7" fillId="0" borderId="0" xfId="0" quotePrefix="1" applyNumberFormat="1" applyFont="1" applyFill="1" applyBorder="1" applyAlignment="1">
      <alignment horizontal="left" vertical="top"/>
    </xf>
    <xf numFmtId="0" fontId="7" fillId="0" borderId="0" xfId="0" applyFont="1" applyFill="1" applyAlignment="1">
      <alignment horizontal="left"/>
    </xf>
    <xf numFmtId="0" fontId="7" fillId="0" borderId="0" xfId="164" applyFont="1" applyFill="1" applyBorder="1"/>
    <xf numFmtId="3" fontId="7" fillId="0" borderId="0" xfId="164" applyNumberFormat="1" applyFont="1" applyFill="1" applyBorder="1"/>
    <xf numFmtId="5" fontId="13" fillId="0" borderId="0" xfId="164" applyNumberFormat="1" applyFont="1" applyFill="1" applyBorder="1"/>
    <xf numFmtId="0" fontId="7" fillId="0" borderId="0" xfId="164" applyFont="1" applyFill="1"/>
    <xf numFmtId="39" fontId="7" fillId="0" borderId="0" xfId="164" applyNumberFormat="1" applyFont="1" applyFill="1" applyBorder="1"/>
    <xf numFmtId="0" fontId="13" fillId="0" borderId="0" xfId="164" applyFont="1" applyFill="1" applyBorder="1" applyAlignment="1">
      <alignment horizontal="center"/>
    </xf>
    <xf numFmtId="41" fontId="74" fillId="0" borderId="0" xfId="13" applyNumberFormat="1" applyFont="1" applyFill="1" applyBorder="1"/>
    <xf numFmtId="39" fontId="30" fillId="0" borderId="0" xfId="164" applyNumberFormat="1" applyFont="1" applyFill="1" applyAlignment="1">
      <alignment horizontal="right"/>
    </xf>
    <xf numFmtId="0" fontId="18" fillId="0" borderId="0" xfId="164" applyFont="1" applyFill="1" applyBorder="1" applyAlignment="1">
      <alignment horizontal="center"/>
    </xf>
    <xf numFmtId="41" fontId="75" fillId="0" borderId="0" xfId="13" applyNumberFormat="1" applyFont="1" applyFill="1" applyBorder="1"/>
    <xf numFmtId="41" fontId="7" fillId="0" borderId="0" xfId="215" applyNumberFormat="1" applyFont="1" applyFill="1" applyAlignment="1"/>
    <xf numFmtId="41" fontId="31" fillId="0" borderId="0" xfId="215" applyNumberFormat="1" applyFont="1" applyFill="1" applyAlignment="1"/>
    <xf numFmtId="41" fontId="32" fillId="0" borderId="0" xfId="215" applyNumberFormat="1" applyFont="1" applyFill="1" applyAlignment="1"/>
    <xf numFmtId="41" fontId="19" fillId="0" borderId="0" xfId="215" applyNumberFormat="1" applyFont="1" applyFill="1" applyAlignment="1"/>
    <xf numFmtId="41" fontId="76" fillId="0" borderId="0" xfId="13" applyNumberFormat="1" applyFont="1" applyFill="1" applyBorder="1"/>
    <xf numFmtId="39" fontId="13" fillId="0" borderId="0" xfId="215" applyNumberFormat="1" applyFont="1" applyFill="1" applyBorder="1" applyAlignment="1"/>
    <xf numFmtId="41" fontId="27" fillId="0" borderId="0" xfId="215" applyNumberFormat="1" applyFont="1" applyFill="1" applyBorder="1" applyAlignment="1"/>
    <xf numFmtId="41" fontId="27" fillId="0" borderId="0" xfId="13" applyNumberFormat="1" applyFont="1" applyFill="1" applyBorder="1"/>
    <xf numFmtId="169" fontId="27" fillId="0" borderId="0" xfId="13" applyNumberFormat="1" applyFont="1" applyFill="1" applyBorder="1"/>
    <xf numFmtId="41" fontId="7" fillId="0" borderId="0" xfId="215" applyNumberFormat="1" applyFont="1" applyFill="1" applyBorder="1" applyAlignment="1"/>
    <xf numFmtId="0" fontId="10" fillId="0" borderId="9" xfId="0" applyFont="1" applyFill="1" applyBorder="1" applyAlignment="1"/>
    <xf numFmtId="0" fontId="13" fillId="0" borderId="9" xfId="0" applyFont="1" applyFill="1" applyBorder="1" applyAlignment="1"/>
    <xf numFmtId="5" fontId="10" fillId="0" borderId="9" xfId="4" applyFont="1" applyFill="1" applyBorder="1"/>
    <xf numFmtId="5" fontId="10" fillId="0" borderId="9" xfId="0" applyNumberFormat="1" applyFont="1" applyFill="1" applyBorder="1" applyAlignment="1"/>
    <xf numFmtId="0" fontId="10" fillId="2" borderId="9" xfId="0" applyFont="1" applyFill="1" applyBorder="1" applyAlignment="1"/>
    <xf numFmtId="5" fontId="10" fillId="0" borderId="0" xfId="4" applyFont="1" applyFill="1" applyBorder="1"/>
    <xf numFmtId="0" fontId="10" fillId="2" borderId="0" xfId="0" applyFont="1" applyFill="1" applyBorder="1" applyAlignment="1"/>
    <xf numFmtId="0" fontId="10" fillId="0" borderId="9" xfId="0" applyFont="1" applyFill="1" applyBorder="1" applyAlignment="1">
      <alignment horizontal="left"/>
    </xf>
    <xf numFmtId="0" fontId="10" fillId="0" borderId="9" xfId="0" applyFont="1" applyFill="1" applyBorder="1" applyAlignment="1">
      <alignment horizontal="center"/>
    </xf>
    <xf numFmtId="169" fontId="13" fillId="0" borderId="0" xfId="233" applyNumberFormat="1" applyFont="1" applyBorder="1"/>
    <xf numFmtId="0" fontId="79" fillId="0" borderId="0" xfId="0" applyFont="1" applyFill="1" applyBorder="1" applyAlignment="1"/>
    <xf numFmtId="0" fontId="7" fillId="54" borderId="0" xfId="0" applyFont="1" applyFill="1" applyAlignment="1"/>
    <xf numFmtId="170" fontId="36" fillId="0" borderId="30" xfId="234" applyNumberFormat="1" applyFont="1" applyFill="1" applyBorder="1" applyAlignment="1">
      <alignment horizontal="center"/>
    </xf>
    <xf numFmtId="3" fontId="7" fillId="0" borderId="0" xfId="0" applyNumberFormat="1" applyFont="1" applyFill="1" applyBorder="1" applyAlignment="1"/>
    <xf numFmtId="3" fontId="18" fillId="0" borderId="0" xfId="0" applyNumberFormat="1" applyFont="1" applyFill="1" applyBorder="1" applyAlignment="1"/>
    <xf numFmtId="37" fontId="19" fillId="0" borderId="0" xfId="0" applyNumberFormat="1" applyFont="1" applyFill="1" applyBorder="1" applyAlignment="1">
      <alignment horizontal="center"/>
    </xf>
    <xf numFmtId="38" fontId="10" fillId="0" borderId="0" xfId="0" applyNumberFormat="1" applyFont="1" applyFill="1" applyBorder="1" applyAlignment="1">
      <alignment horizontal="center"/>
    </xf>
    <xf numFmtId="37" fontId="7" fillId="0" borderId="0" xfId="0" applyNumberFormat="1" applyFont="1" applyFill="1" applyBorder="1" applyAlignment="1">
      <alignment horizontal="center"/>
    </xf>
    <xf numFmtId="37" fontId="10" fillId="0" borderId="0" xfId="0" applyNumberFormat="1" applyFont="1" applyFill="1" applyBorder="1" applyAlignment="1">
      <alignment horizontal="center"/>
    </xf>
    <xf numFmtId="0" fontId="19" fillId="0" borderId="0" xfId="0" applyFont="1" applyFill="1" applyAlignment="1"/>
    <xf numFmtId="38" fontId="19" fillId="0" borderId="0" xfId="0" applyNumberFormat="1" applyFont="1" applyFill="1" applyBorder="1" applyAlignment="1">
      <alignment horizontal="center"/>
    </xf>
    <xf numFmtId="38" fontId="7" fillId="0" borderId="0" xfId="0" applyNumberFormat="1" applyFont="1" applyFill="1" applyBorder="1" applyAlignment="1">
      <alignment horizontal="center"/>
    </xf>
    <xf numFmtId="37" fontId="7" fillId="0" borderId="0" xfId="0" applyNumberFormat="1" applyFont="1" applyFill="1" applyAlignment="1"/>
    <xf numFmtId="3" fontId="7" fillId="0" borderId="0" xfId="0" applyNumberFormat="1" applyFont="1">
      <alignment vertical="top"/>
    </xf>
    <xf numFmtId="38" fontId="7" fillId="0" borderId="0" xfId="0" applyNumberFormat="1" applyFont="1">
      <alignment vertical="top"/>
    </xf>
    <xf numFmtId="0" fontId="5" fillId="0" borderId="0" xfId="0" applyFont="1" applyFill="1" applyBorder="1">
      <alignment vertical="top"/>
    </xf>
    <xf numFmtId="43" fontId="13" fillId="0" borderId="0" xfId="233" applyFont="1" applyBorder="1"/>
    <xf numFmtId="169" fontId="15" fillId="0" borderId="0" xfId="233" applyNumberFormat="1" applyBorder="1"/>
    <xf numFmtId="0" fontId="13" fillId="0" borderId="0" xfId="0" applyFont="1" applyFill="1" applyAlignment="1">
      <alignment horizontal="left" indent="4"/>
    </xf>
    <xf numFmtId="41" fontId="80" fillId="0" borderId="0" xfId="13" applyNumberFormat="1" applyFont="1" applyFill="1" applyBorder="1"/>
    <xf numFmtId="41" fontId="81" fillId="0" borderId="0" xfId="13" applyNumberFormat="1" applyFont="1" applyFill="1"/>
    <xf numFmtId="0" fontId="74" fillId="0" borderId="0" xfId="164" applyFont="1" applyFill="1" applyAlignment="1">
      <alignment horizontal="center"/>
    </xf>
    <xf numFmtId="41" fontId="74" fillId="0" borderId="0" xfId="13" applyNumberFormat="1" applyFont="1" applyFill="1" applyBorder="1" applyAlignment="1">
      <alignment horizontal="center"/>
    </xf>
    <xf numFmtId="41" fontId="75" fillId="0" borderId="0" xfId="13" applyNumberFormat="1" applyFont="1" applyFill="1" applyBorder="1" applyAlignment="1">
      <alignment horizontal="center"/>
    </xf>
    <xf numFmtId="5" fontId="13" fillId="0" borderId="6" xfId="0" applyNumberFormat="1" applyFont="1" applyFill="1" applyBorder="1" applyAlignment="1"/>
    <xf numFmtId="170" fontId="7" fillId="0" borderId="0" xfId="234" applyNumberFormat="1" applyFont="1" applyFill="1"/>
    <xf numFmtId="170" fontId="35" fillId="0" borderId="0" xfId="234" applyNumberFormat="1" applyFont="1" applyFill="1" applyAlignment="1">
      <alignment horizontal="left"/>
    </xf>
    <xf numFmtId="170" fontId="36" fillId="0" borderId="0" xfId="234" applyNumberFormat="1" applyFont="1" applyFill="1" applyAlignment="1">
      <alignment horizontal="left"/>
    </xf>
    <xf numFmtId="0" fontId="10" fillId="0" borderId="0" xfId="0" applyFont="1" applyFill="1">
      <alignment vertical="top"/>
    </xf>
    <xf numFmtId="10" fontId="23" fillId="0" borderId="0" xfId="10" applyFill="1"/>
    <xf numFmtId="38" fontId="7" fillId="0" borderId="0" xfId="0" applyNumberFormat="1" applyFont="1" applyFill="1" applyAlignment="1">
      <alignment horizontal="center" vertical="top"/>
    </xf>
    <xf numFmtId="171" fontId="7" fillId="0" borderId="0" xfId="0" applyNumberFormat="1" applyFont="1" applyFill="1" applyBorder="1" applyAlignment="1">
      <alignment horizontal="center"/>
    </xf>
    <xf numFmtId="5" fontId="34" fillId="0" borderId="0" xfId="4" applyFont="1" applyFill="1" applyBorder="1" applyAlignment="1">
      <alignment horizontal="center"/>
    </xf>
    <xf numFmtId="5" fontId="19" fillId="0" borderId="0" xfId="4" applyFont="1" applyFill="1" applyBorder="1" applyAlignment="1">
      <alignment horizontal="center"/>
    </xf>
    <xf numFmtId="3" fontId="7" fillId="0" borderId="0" xfId="1" applyNumberFormat="1" applyFont="1" applyFill="1" applyAlignment="1">
      <alignment horizontal="center"/>
    </xf>
    <xf numFmtId="0" fontId="7" fillId="0" borderId="0" xfId="0" applyFont="1" applyFill="1" applyAlignment="1">
      <alignment horizontal="center"/>
    </xf>
    <xf numFmtId="0" fontId="18" fillId="0" borderId="0" xfId="0" applyFont="1" applyFill="1" applyBorder="1" applyAlignment="1">
      <alignment horizontal="center" wrapText="1"/>
    </xf>
    <xf numFmtId="0" fontId="0" fillId="0" borderId="0" xfId="0" applyFill="1" applyAlignment="1">
      <alignment horizontal="center" vertical="top"/>
    </xf>
    <xf numFmtId="0" fontId="10" fillId="0" borderId="0" xfId="0" applyFont="1" applyFill="1" applyAlignment="1">
      <alignment horizontal="center"/>
    </xf>
    <xf numFmtId="0" fontId="7" fillId="0" borderId="0" xfId="0" applyFont="1" applyFill="1" applyAlignment="1">
      <alignment horizontal="center"/>
    </xf>
    <xf numFmtId="0" fontId="7" fillId="0" borderId="0" xfId="0" applyNumberFormat="1" applyFont="1" applyFill="1" applyBorder="1" applyAlignment="1" applyProtection="1"/>
    <xf numFmtId="0" fontId="7" fillId="55" borderId="0" xfId="0" applyNumberFormat="1" applyFont="1" applyFill="1" applyBorder="1" applyAlignment="1" applyProtection="1"/>
    <xf numFmtId="0" fontId="7" fillId="56" borderId="0" xfId="0" applyNumberFormat="1" applyFont="1" applyFill="1" applyBorder="1" applyAlignment="1" applyProtection="1"/>
    <xf numFmtId="0" fontId="18" fillId="0" borderId="0" xfId="0" applyNumberFormat="1" applyFont="1" applyFill="1" applyBorder="1" applyAlignment="1" applyProtection="1"/>
    <xf numFmtId="0" fontId="7" fillId="55" borderId="0" xfId="0" applyNumberFormat="1" applyFont="1" applyFill="1" applyBorder="1" applyAlignment="1" applyProtection="1">
      <alignment horizontal="center"/>
    </xf>
    <xf numFmtId="5" fontId="7" fillId="55" borderId="0" xfId="0" applyNumberFormat="1" applyFont="1" applyFill="1" applyBorder="1" applyAlignment="1" applyProtection="1"/>
    <xf numFmtId="0" fontId="7" fillId="0" borderId="0" xfId="0" applyNumberFormat="1" applyFont="1" applyFill="1" applyBorder="1" applyAlignment="1" applyProtection="1">
      <alignment horizontal="center" vertical="top"/>
    </xf>
    <xf numFmtId="39" fontId="7" fillId="55" borderId="53" xfId="0" applyNumberFormat="1" applyFont="1" applyFill="1" applyBorder="1" applyAlignment="1" applyProtection="1">
      <alignment horizontal="center"/>
    </xf>
    <xf numFmtId="39" fontId="7" fillId="55" borderId="0" xfId="0" applyNumberFormat="1" applyFont="1" applyFill="1" applyBorder="1" applyAlignment="1" applyProtection="1">
      <alignment horizontal="center"/>
    </xf>
    <xf numFmtId="0" fontId="19" fillId="55" borderId="0" xfId="0" applyNumberFormat="1" applyFont="1" applyFill="1" applyBorder="1" applyAlignment="1" applyProtection="1"/>
    <xf numFmtId="5" fontId="7" fillId="55" borderId="0" xfId="0" applyNumberFormat="1" applyFont="1" applyFill="1" applyBorder="1" applyAlignment="1" applyProtection="1">
      <alignment horizontal="center"/>
    </xf>
    <xf numFmtId="0" fontId="10" fillId="0" borderId="0" xfId="0" applyFont="1" applyFill="1" applyAlignment="1">
      <alignment horizontal="center"/>
    </xf>
    <xf numFmtId="2" fontId="36" fillId="0" borderId="0" xfId="12" applyNumberFormat="1" applyFont="1" applyFill="1"/>
    <xf numFmtId="0" fontId="36" fillId="0" borderId="33" xfId="12" applyFont="1" applyFill="1" applyBorder="1"/>
    <xf numFmtId="3" fontId="19" fillId="0" borderId="0" xfId="1" applyNumberFormat="1" applyFont="1" applyFill="1" applyAlignment="1">
      <alignment horizontal="center"/>
    </xf>
    <xf numFmtId="0" fontId="11" fillId="0" borderId="0" xfId="0" applyFont="1" applyFill="1" applyAlignment="1"/>
    <xf numFmtId="0" fontId="10" fillId="0" borderId="0" xfId="0" applyFont="1" applyFill="1" applyAlignment="1">
      <alignment horizontal="center"/>
    </xf>
    <xf numFmtId="0" fontId="7" fillId="0" borderId="0" xfId="0" applyFont="1" applyFill="1" applyAlignment="1">
      <alignment horizontal="center"/>
    </xf>
    <xf numFmtId="0" fontId="19" fillId="0" borderId="0" xfId="0" applyFont="1" applyFill="1" applyAlignment="1">
      <alignment horizontal="center" vertical="top"/>
    </xf>
    <xf numFmtId="0" fontId="15" fillId="0" borderId="0" xfId="0" applyFont="1" applyFill="1" applyAlignment="1">
      <alignment horizontal="center" vertical="top"/>
    </xf>
    <xf numFmtId="7" fontId="7" fillId="0" borderId="0" xfId="0" applyNumberFormat="1" applyFont="1" applyAlignment="1">
      <alignment horizontal="center" vertical="top"/>
    </xf>
    <xf numFmtId="0" fontId="10" fillId="0" borderId="0" xfId="0" applyFont="1" applyFill="1" applyAlignment="1">
      <alignment horizontal="center"/>
    </xf>
    <xf numFmtId="0" fontId="7" fillId="0" borderId="0" xfId="0" applyFont="1" applyFill="1" applyAlignment="1">
      <alignment horizontal="center"/>
    </xf>
    <xf numFmtId="3" fontId="18" fillId="0" borderId="0" xfId="0" applyNumberFormat="1" applyFont="1" applyFill="1" applyAlignment="1">
      <alignment horizontal="center"/>
    </xf>
    <xf numFmtId="0" fontId="18" fillId="0" borderId="0" xfId="0" applyFont="1" applyFill="1" applyAlignment="1">
      <alignment horizontal="center"/>
    </xf>
    <xf numFmtId="0" fontId="7" fillId="0" borderId="0" xfId="0" applyFont="1" applyFill="1" applyAlignment="1">
      <alignment horizontal="center"/>
    </xf>
    <xf numFmtId="168" fontId="7" fillId="0" borderId="0" xfId="0" applyNumberFormat="1" applyFont="1" applyFill="1" applyAlignment="1">
      <alignment vertical="top" shrinkToFit="1"/>
    </xf>
    <xf numFmtId="0" fontId="7" fillId="0" borderId="0" xfId="0" applyFont="1" applyFill="1" applyAlignment="1"/>
    <xf numFmtId="0" fontId="7" fillId="0" borderId="0" xfId="0" applyFont="1" applyFill="1" applyAlignment="1">
      <alignment vertical="top"/>
    </xf>
    <xf numFmtId="0" fontId="7" fillId="0" borderId="0" xfId="0" applyFont="1" applyFill="1" applyAlignment="1">
      <alignment horizontal="center" vertical="top" shrinkToFit="1"/>
    </xf>
    <xf numFmtId="0" fontId="7" fillId="0" borderId="0" xfId="0" applyFont="1" applyFill="1" applyAlignment="1">
      <alignment vertical="top" shrinkToFit="1"/>
    </xf>
    <xf numFmtId="0" fontId="10" fillId="0" borderId="0" xfId="0" applyFont="1" applyFill="1" applyAlignment="1">
      <alignment horizontal="center" vertical="top"/>
    </xf>
    <xf numFmtId="0" fontId="19" fillId="0" borderId="0" xfId="0" applyFont="1" applyFill="1">
      <alignment vertical="top"/>
    </xf>
    <xf numFmtId="37" fontId="10" fillId="0" borderId="0" xfId="0" applyNumberFormat="1" applyFont="1" applyFill="1" applyAlignment="1">
      <alignment horizontal="center"/>
    </xf>
    <xf numFmtId="37" fontId="7" fillId="0" borderId="0" xfId="0" applyNumberFormat="1" applyFont="1" applyFill="1" applyAlignment="1">
      <alignment horizontal="center" vertical="top"/>
    </xf>
    <xf numFmtId="38" fontId="19" fillId="0" borderId="0" xfId="0" applyNumberFormat="1" applyFont="1" applyFill="1" applyAlignment="1">
      <alignment horizontal="center" vertical="top"/>
    </xf>
    <xf numFmtId="2" fontId="10" fillId="0" borderId="0" xfId="0" applyNumberFormat="1" applyFont="1" applyFill="1" applyAlignment="1">
      <alignment horizontal="left" vertical="top"/>
    </xf>
    <xf numFmtId="169" fontId="13" fillId="0" borderId="0" xfId="233" applyNumberFormat="1" applyFont="1" applyFill="1" applyBorder="1"/>
    <xf numFmtId="5" fontId="13" fillId="0" borderId="0" xfId="0" applyNumberFormat="1" applyFont="1" applyFill="1" applyAlignment="1"/>
    <xf numFmtId="0" fontId="24" fillId="0" borderId="0" xfId="0" applyFont="1" applyFill="1" applyAlignment="1">
      <alignment horizontal="left"/>
    </xf>
    <xf numFmtId="0" fontId="73" fillId="0" borderId="0" xfId="0" applyFont="1" applyFill="1" applyBorder="1" applyAlignment="1">
      <alignment horizontal="center"/>
    </xf>
    <xf numFmtId="4" fontId="7" fillId="0" borderId="0" xfId="214" applyFont="1" applyFill="1" applyBorder="1"/>
    <xf numFmtId="43" fontId="26" fillId="0" borderId="0" xfId="13" applyFont="1" applyFill="1" applyAlignment="1">
      <alignment horizontal="left"/>
    </xf>
    <xf numFmtId="4" fontId="7" fillId="0" borderId="0" xfId="214" applyFont="1" applyFill="1" applyAlignment="1">
      <alignment horizontal="left"/>
    </xf>
    <xf numFmtId="4" fontId="7" fillId="0" borderId="0" xfId="214" applyFont="1" applyFill="1"/>
    <xf numFmtId="39" fontId="7" fillId="0" borderId="0" xfId="214" applyNumberFormat="1" applyFont="1" applyFill="1"/>
    <xf numFmtId="4" fontId="7" fillId="0" borderId="0" xfId="214" applyFont="1" applyFill="1" applyAlignment="1">
      <alignment horizontal="left" indent="1"/>
    </xf>
    <xf numFmtId="4" fontId="35" fillId="0" borderId="0" xfId="214" applyFont="1" applyFill="1" applyAlignment="1">
      <alignment horizontal="left"/>
    </xf>
    <xf numFmtId="4" fontId="35" fillId="0" borderId="0" xfId="214" applyFont="1" applyFill="1"/>
    <xf numFmtId="39" fontId="25" fillId="0" borderId="0" xfId="214" applyNumberFormat="1" applyFont="1" applyFill="1"/>
    <xf numFmtId="4" fontId="13" fillId="0" borderId="0" xfId="214" applyFont="1" applyFill="1" applyBorder="1" applyAlignment="1">
      <alignment horizontal="left"/>
    </xf>
    <xf numFmtId="4" fontId="13" fillId="0" borderId="0" xfId="214" applyFont="1" applyFill="1" applyBorder="1"/>
    <xf numFmtId="39" fontId="25" fillId="0" borderId="0" xfId="214" applyNumberFormat="1" applyFont="1" applyFill="1" applyBorder="1"/>
    <xf numFmtId="0" fontId="10" fillId="0" borderId="0" xfId="0" applyFont="1" applyFill="1" applyAlignment="1">
      <alignment horizontal="center"/>
    </xf>
    <xf numFmtId="0" fontId="7" fillId="0" borderId="0" xfId="0" applyFont="1" applyFill="1" applyAlignment="1">
      <alignment horizontal="center"/>
    </xf>
    <xf numFmtId="0" fontId="10" fillId="0" borderId="0" xfId="0" applyFont="1" applyFill="1" applyAlignment="1">
      <alignment horizontal="center"/>
    </xf>
    <xf numFmtId="0" fontId="7" fillId="0" borderId="0" xfId="0" applyFont="1" applyFill="1" applyAlignment="1">
      <alignment horizontal="center"/>
    </xf>
    <xf numFmtId="5" fontId="7" fillId="0" borderId="0" xfId="0" applyNumberFormat="1" applyFont="1" applyFill="1" applyAlignment="1">
      <alignment vertical="top"/>
    </xf>
    <xf numFmtId="5" fontId="19" fillId="0" borderId="0" xfId="0" applyNumberFormat="1" applyFont="1" applyFill="1">
      <alignment vertical="top"/>
    </xf>
    <xf numFmtId="41" fontId="7" fillId="0" borderId="0" xfId="0" applyNumberFormat="1" applyFont="1" applyFill="1" applyAlignment="1"/>
    <xf numFmtId="17" fontId="7" fillId="0" borderId="0" xfId="0" applyNumberFormat="1" applyFont="1" applyFill="1" applyAlignment="1"/>
    <xf numFmtId="3" fontId="7" fillId="0" borderId="0" xfId="1" applyNumberFormat="1" applyFont="1" applyFill="1"/>
    <xf numFmtId="41" fontId="10" fillId="0" borderId="0" xfId="0" applyNumberFormat="1" applyFont="1" applyFill="1" applyBorder="1" applyAlignment="1"/>
    <xf numFmtId="41" fontId="19" fillId="0" borderId="0" xfId="0" applyNumberFormat="1" applyFont="1" applyFill="1" applyBorder="1" applyAlignment="1"/>
    <xf numFmtId="5" fontId="13" fillId="0" borderId="0" xfId="0" applyNumberFormat="1" applyFont="1" applyFill="1" applyBorder="1" applyAlignment="1">
      <alignment horizontal="center"/>
    </xf>
    <xf numFmtId="37" fontId="7" fillId="0" borderId="0" xfId="0" applyNumberFormat="1" applyFont="1">
      <alignment vertical="top"/>
    </xf>
    <xf numFmtId="0" fontId="13" fillId="0" borderId="0" xfId="0" applyFont="1" applyAlignment="1">
      <alignment horizontal="center" vertical="top"/>
    </xf>
    <xf numFmtId="0" fontId="18" fillId="0" borderId="0" xfId="0" applyFont="1" applyAlignment="1">
      <alignment horizontal="center" vertical="top"/>
    </xf>
    <xf numFmtId="0" fontId="13" fillId="0" borderId="0" xfId="0" applyFont="1" applyFill="1" applyAlignment="1">
      <alignment horizontal="center" vertical="top"/>
    </xf>
    <xf numFmtId="5" fontId="83" fillId="0" borderId="0" xfId="0" applyNumberFormat="1" applyFont="1" applyFill="1">
      <alignment vertical="top"/>
    </xf>
    <xf numFmtId="0" fontId="7" fillId="0" borderId="0" xfId="0" applyFont="1" applyFill="1" applyAlignment="1">
      <alignment horizontal="center" vertical="center"/>
    </xf>
    <xf numFmtId="5" fontId="7" fillId="0" borderId="0" xfId="0" applyNumberFormat="1" applyFont="1" applyFill="1" applyAlignment="1">
      <alignment horizontal="center" vertical="center"/>
    </xf>
    <xf numFmtId="37" fontId="7" fillId="0" borderId="0" xfId="0" applyNumberFormat="1" applyFont="1" applyFill="1" applyAlignment="1">
      <alignment horizontal="center" vertical="center"/>
    </xf>
    <xf numFmtId="5" fontId="7" fillId="0" borderId="0" xfId="0" applyNumberFormat="1" applyFont="1" applyFill="1" applyBorder="1" applyAlignment="1">
      <alignment horizontal="center" vertical="center"/>
    </xf>
    <xf numFmtId="5" fontId="13" fillId="0" borderId="32" xfId="0" applyNumberFormat="1" applyFont="1" applyFill="1" applyBorder="1" applyAlignment="1">
      <alignment horizontal="center" vertical="center"/>
    </xf>
    <xf numFmtId="0" fontId="13" fillId="0" borderId="0" xfId="0" applyFont="1" applyFill="1" applyAlignment="1">
      <alignment horizontal="center"/>
    </xf>
    <xf numFmtId="0" fontId="7" fillId="0" borderId="0" xfId="0" applyNumberFormat="1" applyFont="1" applyFill="1" applyBorder="1" applyAlignment="1" applyProtection="1">
      <alignment shrinkToFit="1"/>
    </xf>
    <xf numFmtId="2" fontId="7" fillId="0" borderId="0" xfId="0" applyNumberFormat="1" applyFont="1" applyFill="1" applyBorder="1" applyAlignment="1" applyProtection="1"/>
    <xf numFmtId="0" fontId="7" fillId="0" borderId="0" xfId="0" applyNumberFormat="1" applyFont="1" applyFill="1" applyBorder="1" applyAlignment="1" applyProtection="1">
      <alignment horizontal="center"/>
    </xf>
    <xf numFmtId="17" fontId="7" fillId="0" borderId="0" xfId="0" applyNumberFormat="1" applyFont="1" applyFill="1" applyBorder="1" applyAlignment="1" applyProtection="1"/>
    <xf numFmtId="3" fontId="7" fillId="0" borderId="0" xfId="0" applyNumberFormat="1" applyFont="1" applyFill="1" applyBorder="1" applyAlignment="1" applyProtection="1"/>
    <xf numFmtId="0" fontId="33" fillId="0" borderId="0" xfId="0" applyFont="1" applyFill="1" applyBorder="1" applyAlignment="1"/>
    <xf numFmtId="0" fontId="18" fillId="0" borderId="0" xfId="164" applyFont="1" applyFill="1" applyBorder="1"/>
    <xf numFmtId="0" fontId="19" fillId="55" borderId="0" xfId="0" applyNumberFormat="1" applyFont="1" applyFill="1" applyBorder="1" applyAlignment="1" applyProtection="1">
      <alignment horizontal="center"/>
    </xf>
    <xf numFmtId="0" fontId="13" fillId="0" borderId="0" xfId="0" applyFont="1" applyFill="1" applyBorder="1" applyAlignment="1">
      <alignment horizontal="left"/>
    </xf>
    <xf numFmtId="0" fontId="7" fillId="0" borderId="0" xfId="59" applyFont="1" applyFill="1" applyAlignment="1">
      <alignment horizontal="center"/>
    </xf>
    <xf numFmtId="0" fontId="7" fillId="0" borderId="0" xfId="0" quotePrefix="1" applyFont="1" applyFill="1" applyAlignment="1">
      <alignment horizontal="left"/>
    </xf>
    <xf numFmtId="10" fontId="10" fillId="0" borderId="0" xfId="0" applyNumberFormat="1" applyFont="1" applyFill="1" applyBorder="1" applyAlignment="1"/>
    <xf numFmtId="10" fontId="33" fillId="0" borderId="0" xfId="0" applyNumberFormat="1" applyFont="1" applyFill="1" applyBorder="1" applyAlignment="1"/>
    <xf numFmtId="3" fontId="10" fillId="0" borderId="0" xfId="1" applyNumberFormat="1" applyFont="1" applyFill="1" applyBorder="1"/>
    <xf numFmtId="0" fontId="15" fillId="0" borderId="0" xfId="0" applyFont="1" applyFill="1">
      <alignment vertical="top"/>
    </xf>
    <xf numFmtId="1" fontId="13" fillId="0" borderId="0" xfId="0" applyNumberFormat="1" applyFont="1" applyFill="1" applyAlignment="1">
      <alignment horizontal="center"/>
    </xf>
    <xf numFmtId="38" fontId="13" fillId="0" borderId="0" xfId="0" applyNumberFormat="1" applyFont="1" applyFill="1">
      <alignment vertical="top"/>
    </xf>
    <xf numFmtId="169" fontId="13" fillId="0" borderId="0" xfId="233" applyNumberFormat="1" applyFont="1" applyFill="1" applyBorder="1" applyAlignment="1">
      <alignment horizontal="right"/>
    </xf>
    <xf numFmtId="3" fontId="7" fillId="0" borderId="0" xfId="0" applyNumberFormat="1" applyFont="1" applyFill="1">
      <alignment vertical="top"/>
    </xf>
    <xf numFmtId="0" fontId="18" fillId="0" borderId="0" xfId="0" applyFont="1">
      <alignment vertical="top"/>
    </xf>
    <xf numFmtId="3" fontId="19" fillId="0" borderId="0" xfId="0" applyNumberFormat="1" applyFont="1" applyFill="1">
      <alignment vertical="top"/>
    </xf>
    <xf numFmtId="37" fontId="19" fillId="0" borderId="0" xfId="0" applyNumberFormat="1" applyFont="1">
      <alignment vertical="top"/>
    </xf>
    <xf numFmtId="3" fontId="19" fillId="0" borderId="0" xfId="0" applyNumberFormat="1" applyFont="1">
      <alignment vertical="top"/>
    </xf>
    <xf numFmtId="38" fontId="19" fillId="0" borderId="0" xfId="0" applyNumberFormat="1" applyFont="1">
      <alignment vertical="top"/>
    </xf>
    <xf numFmtId="0" fontId="13" fillId="0" borderId="0" xfId="0" applyFont="1" applyFill="1" applyAlignment="1">
      <alignment horizontal="left" vertical="top" indent="4"/>
    </xf>
    <xf numFmtId="0" fontId="13" fillId="0" borderId="0" xfId="0" applyFont="1" applyFill="1" applyAlignment="1">
      <alignment horizontal="left" vertical="top"/>
    </xf>
    <xf numFmtId="0" fontId="7" fillId="0" borderId="0" xfId="0" quotePrefix="1" applyFont="1" applyFill="1">
      <alignment vertical="top"/>
    </xf>
    <xf numFmtId="0" fontId="7" fillId="0" borderId="0" xfId="0" quotePrefix="1" applyFont="1" applyFill="1" applyAlignment="1">
      <alignment horizontal="left" vertical="top" indent="1"/>
    </xf>
    <xf numFmtId="0" fontId="7" fillId="0" borderId="0" xfId="0" applyFont="1" applyFill="1" applyAlignment="1">
      <alignment vertical="center"/>
    </xf>
    <xf numFmtId="9" fontId="13" fillId="0" borderId="0" xfId="9" applyNumberFormat="1" applyFont="1" applyFill="1" applyBorder="1"/>
    <xf numFmtId="169" fontId="7" fillId="0" borderId="0" xfId="233" applyNumberFormat="1" applyFont="1" applyBorder="1"/>
    <xf numFmtId="169" fontId="31" fillId="0" borderId="0" xfId="233" applyNumberFormat="1" applyFont="1" applyFill="1" applyBorder="1"/>
    <xf numFmtId="169" fontId="31" fillId="0" borderId="0" xfId="233" applyNumberFormat="1" applyFont="1" applyBorder="1"/>
    <xf numFmtId="0" fontId="7" fillId="0" borderId="0" xfId="0" applyFont="1" applyBorder="1">
      <alignment vertical="top"/>
    </xf>
    <xf numFmtId="3" fontId="7" fillId="0" borderId="0" xfId="0" applyNumberFormat="1" applyFont="1" applyBorder="1">
      <alignment vertical="top"/>
    </xf>
    <xf numFmtId="164" fontId="7" fillId="0" borderId="0" xfId="9" applyNumberFormat="1" applyFont="1" applyBorder="1"/>
    <xf numFmtId="0" fontId="7" fillId="0" borderId="0" xfId="0" applyFont="1" applyFill="1" applyAlignment="1">
      <alignment horizontal="center" vertical="top"/>
    </xf>
    <xf numFmtId="0" fontId="7" fillId="0" borderId="0" xfId="0" applyFont="1" applyAlignment="1"/>
    <xf numFmtId="0" fontId="7" fillId="0" borderId="0" xfId="0" applyFont="1" applyAlignment="1">
      <alignment horizontal="center"/>
    </xf>
    <xf numFmtId="3" fontId="7" fillId="0" borderId="0" xfId="1" applyNumberFormat="1" applyFont="1" applyFill="1" applyBorder="1"/>
    <xf numFmtId="0" fontId="7" fillId="57" borderId="0" xfId="0" applyFont="1" applyFill="1" applyAlignment="1"/>
    <xf numFmtId="5" fontId="7" fillId="0" borderId="0" xfId="0" applyNumberFormat="1" applyFont="1" applyFill="1" applyAlignment="1"/>
    <xf numFmtId="3" fontId="7" fillId="0" borderId="3" xfId="0" applyNumberFormat="1" applyFont="1" applyFill="1" applyBorder="1" applyAlignment="1"/>
    <xf numFmtId="5" fontId="7" fillId="0" borderId="0" xfId="0" applyNumberFormat="1" applyFont="1" applyFill="1" applyBorder="1" applyAlignment="1">
      <alignment horizontal="center"/>
    </xf>
    <xf numFmtId="0" fontId="7" fillId="0" borderId="3" xfId="0" applyFont="1" applyFill="1" applyBorder="1" applyAlignment="1"/>
    <xf numFmtId="5" fontId="7" fillId="0" borderId="0" xfId="0" quotePrefix="1" applyNumberFormat="1" applyFont="1" applyFill="1" applyBorder="1" applyAlignment="1"/>
    <xf numFmtId="37" fontId="7" fillId="0" borderId="0" xfId="0" applyNumberFormat="1" applyFont="1" applyFill="1" applyBorder="1" applyAlignment="1"/>
    <xf numFmtId="5" fontId="7" fillId="57" borderId="0" xfId="0" applyNumberFormat="1" applyFont="1" applyFill="1" applyAlignment="1"/>
    <xf numFmtId="0" fontId="7" fillId="0" borderId="4" xfId="0" applyFont="1" applyFill="1" applyBorder="1" applyAlignment="1"/>
    <xf numFmtId="5" fontId="7" fillId="0" borderId="4" xfId="0" applyNumberFormat="1" applyFont="1" applyFill="1" applyBorder="1" applyAlignment="1"/>
    <xf numFmtId="10" fontId="7" fillId="0" borderId="0" xfId="0" applyNumberFormat="1" applyFont="1" applyFill="1" applyBorder="1" applyAlignment="1"/>
    <xf numFmtId="10" fontId="7" fillId="0" borderId="0" xfId="4" applyNumberFormat="1" applyFont="1" applyFill="1"/>
    <xf numFmtId="0" fontId="7" fillId="57" borderId="0" xfId="0" applyFont="1" applyFill="1" applyBorder="1" applyAlignment="1"/>
    <xf numFmtId="3" fontId="7" fillId="57" borderId="0" xfId="0" applyNumberFormat="1" applyFont="1" applyFill="1" applyBorder="1" applyAlignment="1"/>
    <xf numFmtId="0" fontId="7" fillId="57" borderId="0" xfId="0" applyFont="1" applyFill="1" applyBorder="1" applyAlignment="1">
      <alignment horizontal="center"/>
    </xf>
    <xf numFmtId="3" fontId="7" fillId="0" borderId="0" xfId="2" applyFont="1" applyFill="1"/>
    <xf numFmtId="0" fontId="7" fillId="0" borderId="0" xfId="0" applyNumberFormat="1" applyFont="1" applyFill="1" applyBorder="1" applyAlignment="1"/>
    <xf numFmtId="5" fontId="7" fillId="0" borderId="0" xfId="4" applyFont="1" applyFill="1"/>
    <xf numFmtId="0" fontId="18" fillId="0" borderId="68" xfId="0" applyFont="1" applyFill="1" applyBorder="1" applyAlignment="1">
      <alignment horizontal="center"/>
    </xf>
    <xf numFmtId="0" fontId="18" fillId="0" borderId="62" xfId="0" applyFont="1" applyFill="1" applyBorder="1" applyAlignment="1">
      <alignment horizontal="center"/>
    </xf>
    <xf numFmtId="5" fontId="7" fillId="0" borderId="13" xfId="0" applyNumberFormat="1" applyFont="1" applyFill="1" applyBorder="1" applyAlignment="1">
      <alignment horizontal="center"/>
    </xf>
    <xf numFmtId="5" fontId="7" fillId="0" borderId="69" xfId="0" applyNumberFormat="1" applyFont="1" applyFill="1" applyBorder="1" applyAlignment="1">
      <alignment horizontal="center"/>
    </xf>
    <xf numFmtId="0" fontId="7" fillId="0" borderId="13" xfId="0" applyFont="1" applyFill="1" applyBorder="1" applyAlignment="1">
      <alignment horizontal="center"/>
    </xf>
    <xf numFmtId="5" fontId="19" fillId="0" borderId="69" xfId="0" applyNumberFormat="1" applyFont="1" applyFill="1" applyBorder="1" applyAlignment="1">
      <alignment horizontal="center"/>
    </xf>
    <xf numFmtId="0" fontId="13" fillId="0" borderId="70" xfId="0" applyFont="1" applyFill="1" applyBorder="1" applyAlignment="1">
      <alignment horizontal="center"/>
    </xf>
    <xf numFmtId="5" fontId="13" fillId="0" borderId="71" xfId="0" applyNumberFormat="1" applyFont="1" applyFill="1" applyBorder="1" applyAlignment="1">
      <alignment horizontal="center"/>
    </xf>
    <xf numFmtId="40" fontId="7" fillId="0" borderId="0" xfId="0" applyNumberFormat="1" applyFont="1" applyFill="1" applyBorder="1" applyAlignment="1"/>
    <xf numFmtId="0" fontId="11" fillId="0" borderId="0" xfId="0" applyFont="1" applyFill="1" applyBorder="1" applyAlignment="1"/>
    <xf numFmtId="5" fontId="19" fillId="0" borderId="0" xfId="0" applyNumberFormat="1" applyFont="1" applyFill="1" applyBorder="1" applyAlignment="1">
      <alignment horizontal="right"/>
    </xf>
    <xf numFmtId="5" fontId="18" fillId="0" borderId="0" xfId="0" applyNumberFormat="1" applyFont="1" applyFill="1" applyBorder="1" applyAlignment="1">
      <alignment horizontal="right"/>
    </xf>
    <xf numFmtId="0" fontId="7" fillId="2" borderId="0" xfId="0" applyFont="1" applyFill="1" applyAlignment="1"/>
    <xf numFmtId="0" fontId="13" fillId="0" borderId="19" xfId="0" applyFont="1" applyFill="1" applyBorder="1" applyAlignment="1">
      <alignment horizontal="center" wrapText="1"/>
    </xf>
    <xf numFmtId="0" fontId="13" fillId="0" borderId="20" xfId="0" applyFont="1" applyFill="1" applyBorder="1" applyAlignment="1">
      <alignment horizontal="center" wrapText="1"/>
    </xf>
    <xf numFmtId="0" fontId="13" fillId="0" borderId="7" xfId="0" applyFont="1" applyFill="1" applyBorder="1" applyAlignment="1">
      <alignment horizontal="center" wrapText="1"/>
    </xf>
    <xf numFmtId="0" fontId="13" fillId="0" borderId="21" xfId="0" applyFont="1" applyFill="1" applyBorder="1" applyAlignment="1">
      <alignment horizontal="center" wrapText="1"/>
    </xf>
    <xf numFmtId="0" fontId="7" fillId="0" borderId="12" xfId="0" applyFont="1" applyFill="1" applyBorder="1" applyAlignment="1">
      <alignment vertical="top"/>
    </xf>
    <xf numFmtId="0" fontId="7" fillId="55" borderId="13" xfId="0" applyFont="1" applyFill="1" applyBorder="1" applyAlignment="1">
      <alignment vertical="top"/>
    </xf>
    <xf numFmtId="0" fontId="7" fillId="55" borderId="0" xfId="0" applyFont="1" applyFill="1" applyBorder="1" applyAlignment="1">
      <alignment vertical="top"/>
    </xf>
    <xf numFmtId="169" fontId="7" fillId="0" borderId="54" xfId="232" applyNumberFormat="1" applyFont="1" applyFill="1" applyBorder="1"/>
    <xf numFmtId="5" fontId="7" fillId="0" borderId="55" xfId="0" applyNumberFormat="1" applyFont="1" applyFill="1" applyBorder="1" applyAlignment="1">
      <alignment vertical="top"/>
    </xf>
    <xf numFmtId="5" fontId="7" fillId="0" borderId="55" xfId="232" applyNumberFormat="1" applyFont="1" applyFill="1" applyBorder="1"/>
    <xf numFmtId="169" fontId="7" fillId="0" borderId="56" xfId="232" applyNumberFormat="1" applyFont="1" applyFill="1" applyBorder="1"/>
    <xf numFmtId="0" fontId="7" fillId="0" borderId="16" xfId="0" applyFont="1" applyFill="1" applyBorder="1" applyAlignment="1">
      <alignment vertical="top"/>
    </xf>
    <xf numFmtId="169" fontId="7" fillId="0" borderId="11" xfId="232" applyNumberFormat="1" applyFont="1" applyFill="1" applyBorder="1"/>
    <xf numFmtId="5" fontId="7" fillId="0" borderId="57" xfId="0" applyNumberFormat="1" applyFont="1" applyFill="1" applyBorder="1" applyAlignment="1">
      <alignment vertical="top"/>
    </xf>
    <xf numFmtId="5" fontId="7" fillId="0" borderId="57" xfId="232" applyNumberFormat="1" applyFont="1" applyFill="1" applyBorder="1"/>
    <xf numFmtId="169" fontId="7" fillId="0" borderId="58" xfId="232" applyNumberFormat="1" applyFont="1" applyFill="1" applyBorder="1"/>
    <xf numFmtId="40" fontId="7" fillId="2" borderId="0" xfId="0" applyNumberFormat="1" applyFont="1" applyFill="1" applyAlignment="1"/>
    <xf numFmtId="37" fontId="7" fillId="0" borderId="11" xfId="0" applyNumberFormat="1" applyFont="1" applyFill="1" applyBorder="1" applyAlignment="1">
      <alignment vertical="top"/>
    </xf>
    <xf numFmtId="169" fontId="7" fillId="0" borderId="59" xfId="232" applyNumberFormat="1" applyFont="1" applyFill="1" applyBorder="1"/>
    <xf numFmtId="5" fontId="7" fillId="0" borderId="60" xfId="0" applyNumberFormat="1" applyFont="1" applyFill="1" applyBorder="1" applyAlignment="1">
      <alignment vertical="top"/>
    </xf>
    <xf numFmtId="0" fontId="7" fillId="0" borderId="0" xfId="0" applyFont="1" applyFill="1" applyBorder="1" applyAlignment="1">
      <alignment vertical="top"/>
    </xf>
    <xf numFmtId="5" fontId="7" fillId="7" borderId="57" xfId="0" applyNumberFormat="1" applyFont="1" applyFill="1" applyBorder="1" applyAlignment="1">
      <alignment vertical="top"/>
    </xf>
    <xf numFmtId="167" fontId="7" fillId="55" borderId="0" xfId="0" applyNumberFormat="1" applyFont="1" applyFill="1" applyBorder="1" applyAlignment="1">
      <alignment vertical="top"/>
    </xf>
    <xf numFmtId="37" fontId="7" fillId="0" borderId="14" xfId="0" applyNumberFormat="1" applyFont="1" applyFill="1" applyBorder="1" applyAlignment="1">
      <alignment vertical="top"/>
    </xf>
    <xf numFmtId="0" fontId="7" fillId="0" borderId="13" xfId="0" applyFont="1" applyFill="1" applyBorder="1" applyAlignment="1">
      <alignment vertical="top"/>
    </xf>
    <xf numFmtId="37" fontId="7" fillId="0" borderId="61" xfId="0" applyNumberFormat="1" applyFont="1" applyFill="1" applyBorder="1" applyAlignment="1">
      <alignment vertical="top"/>
    </xf>
    <xf numFmtId="169" fontId="7" fillId="0" borderId="62" xfId="232" applyNumberFormat="1" applyFont="1" applyFill="1" applyBorder="1"/>
    <xf numFmtId="6" fontId="7" fillId="0" borderId="60" xfId="0" applyNumberFormat="1" applyFont="1" applyFill="1" applyBorder="1" applyAlignment="1">
      <alignment vertical="top"/>
    </xf>
    <xf numFmtId="0" fontId="13" fillId="0" borderId="17" xfId="0" applyFont="1" applyFill="1" applyBorder="1" applyAlignment="1">
      <alignment vertical="top"/>
    </xf>
    <xf numFmtId="0" fontId="7" fillId="0" borderId="18" xfId="0" applyFont="1" applyFill="1" applyBorder="1" applyAlignment="1">
      <alignment vertical="top"/>
    </xf>
    <xf numFmtId="169" fontId="13" fillId="0" borderId="19" xfId="232" applyNumberFormat="1" applyFont="1" applyFill="1" applyBorder="1" applyAlignment="1">
      <alignment vertical="top"/>
    </xf>
    <xf numFmtId="5" fontId="13" fillId="0" borderId="20" xfId="0" applyNumberFormat="1" applyFont="1" applyFill="1" applyBorder="1" applyAlignment="1">
      <alignment vertical="top"/>
    </xf>
    <xf numFmtId="38" fontId="13" fillId="0" borderId="19" xfId="0" applyNumberFormat="1" applyFont="1" applyFill="1" applyBorder="1" applyAlignment="1">
      <alignment vertical="top"/>
    </xf>
    <xf numFmtId="166" fontId="13" fillId="0" borderId="20" xfId="0" applyNumberFormat="1" applyFont="1" applyFill="1" applyBorder="1" applyAlignment="1">
      <alignment vertical="top"/>
    </xf>
    <xf numFmtId="0" fontId="7" fillId="0" borderId="0" xfId="0" applyFont="1" applyFill="1" applyBorder="1" applyAlignment="1">
      <alignment horizontal="right"/>
    </xf>
    <xf numFmtId="169" fontId="7" fillId="0" borderId="54" xfId="232" applyNumberFormat="1" applyFont="1" applyFill="1" applyBorder="1" applyAlignment="1">
      <alignment horizontal="right"/>
    </xf>
    <xf numFmtId="5" fontId="7" fillId="0" borderId="55" xfId="232" applyNumberFormat="1" applyFont="1" applyFill="1" applyBorder="1" applyAlignment="1">
      <alignment horizontal="right"/>
    </xf>
    <xf numFmtId="37" fontId="7" fillId="2" borderId="0" xfId="232" applyNumberFormat="1" applyFont="1"/>
    <xf numFmtId="37" fontId="7" fillId="0" borderId="63" xfId="0" applyNumberFormat="1" applyFont="1" applyFill="1" applyBorder="1" applyAlignment="1">
      <alignment vertical="top"/>
    </xf>
    <xf numFmtId="169" fontId="7" fillId="0" borderId="64" xfId="232" applyNumberFormat="1" applyFont="1" applyFill="1" applyBorder="1"/>
    <xf numFmtId="5" fontId="7" fillId="0" borderId="65" xfId="232" applyNumberFormat="1" applyFont="1" applyFill="1" applyBorder="1"/>
    <xf numFmtId="0" fontId="13" fillId="0" borderId="10" xfId="0" applyFont="1" applyFill="1" applyBorder="1" applyAlignment="1">
      <alignment vertical="top"/>
    </xf>
    <xf numFmtId="0" fontId="7" fillId="0" borderId="10" xfId="0" applyFont="1" applyFill="1" applyBorder="1" applyAlignment="1">
      <alignment vertical="top"/>
    </xf>
    <xf numFmtId="169" fontId="13" fillId="0" borderId="66" xfId="232" applyNumberFormat="1" applyFont="1" applyFill="1" applyBorder="1" applyAlignment="1">
      <alignment vertical="top"/>
    </xf>
    <xf numFmtId="5" fontId="13" fillId="0" borderId="67" xfId="0" applyNumberFormat="1" applyFont="1" applyFill="1" applyBorder="1" applyAlignment="1">
      <alignment vertical="top"/>
    </xf>
    <xf numFmtId="5" fontId="7" fillId="0" borderId="60" xfId="232" applyNumberFormat="1" applyFont="1" applyFill="1" applyBorder="1"/>
    <xf numFmtId="3" fontId="13" fillId="0" borderId="11" xfId="0" applyNumberFormat="1" applyFont="1" applyFill="1" applyBorder="1" applyAlignment="1">
      <alignment vertical="top"/>
    </xf>
    <xf numFmtId="37" fontId="7" fillId="7" borderId="15" xfId="0" applyNumberFormat="1" applyFont="1" applyFill="1" applyBorder="1" applyAlignment="1">
      <alignment vertical="top"/>
    </xf>
    <xf numFmtId="169" fontId="13" fillId="0" borderId="64" xfId="232" applyNumberFormat="1" applyFont="1" applyFill="1" applyBorder="1" applyAlignment="1">
      <alignment vertical="top"/>
    </xf>
    <xf numFmtId="5" fontId="13" fillId="0" borderId="65" xfId="0" applyNumberFormat="1" applyFont="1" applyFill="1" applyBorder="1" applyAlignment="1">
      <alignment vertical="top"/>
    </xf>
    <xf numFmtId="3" fontId="13" fillId="0" borderId="64" xfId="0" applyNumberFormat="1" applyFont="1" applyFill="1" applyBorder="1" applyAlignment="1">
      <alignment vertical="top"/>
    </xf>
    <xf numFmtId="5" fontId="13" fillId="0" borderId="32" xfId="0" applyNumberFormat="1" applyFont="1" applyFill="1" applyBorder="1" applyAlignment="1">
      <alignment horizontal="center"/>
    </xf>
    <xf numFmtId="5" fontId="13" fillId="0" borderId="32" xfId="0" applyNumberFormat="1" applyFont="1" applyFill="1" applyBorder="1" applyAlignment="1"/>
    <xf numFmtId="0" fontId="19" fillId="0" borderId="0" xfId="0" applyFont="1">
      <alignment vertical="top"/>
    </xf>
    <xf numFmtId="0" fontId="7" fillId="0" borderId="0" xfId="0" applyFont="1" applyFill="1" applyAlignment="1">
      <alignment horizontal="left" vertical="top" indent="1"/>
    </xf>
    <xf numFmtId="0" fontId="19" fillId="0" borderId="0" xfId="0" applyFont="1" applyFill="1" applyAlignment="1">
      <alignment horizontal="left" vertical="top" indent="1"/>
    </xf>
    <xf numFmtId="0" fontId="31" fillId="0" borderId="0" xfId="0" applyFont="1" applyBorder="1">
      <alignment vertical="top"/>
    </xf>
    <xf numFmtId="3" fontId="31" fillId="0" borderId="0" xfId="0" applyNumberFormat="1" applyFont="1" applyBorder="1">
      <alignment vertical="top"/>
    </xf>
    <xf numFmtId="38" fontId="7" fillId="0" borderId="0" xfId="0" applyNumberFormat="1" applyFont="1" applyFill="1">
      <alignment vertical="top"/>
    </xf>
    <xf numFmtId="0" fontId="7" fillId="0" borderId="0" xfId="0" quotePrefix="1" applyFont="1" applyFill="1" applyAlignment="1">
      <alignment horizontal="center" vertical="top"/>
    </xf>
    <xf numFmtId="0" fontId="18" fillId="0" borderId="0" xfId="0" applyFont="1" applyFill="1" applyBorder="1">
      <alignment vertical="top"/>
    </xf>
    <xf numFmtId="0" fontId="19" fillId="0" borderId="0" xfId="0" applyFont="1" applyFill="1" applyBorder="1">
      <alignment vertical="top"/>
    </xf>
    <xf numFmtId="5" fontId="13" fillId="0" borderId="32" xfId="4" applyFont="1" applyFill="1" applyBorder="1"/>
    <xf numFmtId="3" fontId="7" fillId="0" borderId="0" xfId="0" applyNumberFormat="1" applyFont="1" applyFill="1" applyBorder="1" applyAlignment="1">
      <alignment horizontal="right"/>
    </xf>
    <xf numFmtId="5" fontId="18" fillId="0" borderId="0" xfId="0" applyNumberFormat="1" applyFont="1" applyFill="1" applyBorder="1" applyAlignment="1"/>
    <xf numFmtId="0" fontId="7" fillId="0" borderId="0" xfId="0" applyFont="1" applyFill="1" applyAlignment="1">
      <alignment shrinkToFit="1"/>
    </xf>
    <xf numFmtId="2" fontId="7" fillId="0" borderId="0" xfId="0" applyNumberFormat="1" applyFont="1" applyFill="1" applyAlignment="1"/>
    <xf numFmtId="0" fontId="13" fillId="2" borderId="0" xfId="0" applyFont="1" applyFill="1" applyAlignment="1"/>
    <xf numFmtId="0" fontId="13" fillId="6" borderId="0" xfId="0" applyFont="1" applyFill="1" applyBorder="1" applyAlignment="1">
      <alignment horizontal="center"/>
    </xf>
    <xf numFmtId="0" fontId="26" fillId="6" borderId="0" xfId="0" applyFont="1" applyFill="1" applyBorder="1" applyAlignment="1">
      <alignment horizontal="center"/>
    </xf>
    <xf numFmtId="0" fontId="18" fillId="2" borderId="0" xfId="0" applyFont="1" applyFill="1" applyAlignment="1">
      <alignment horizontal="center"/>
    </xf>
    <xf numFmtId="0" fontId="19" fillId="2" borderId="0" xfId="0" applyFont="1" applyFill="1" applyAlignment="1"/>
    <xf numFmtId="4" fontId="7" fillId="2" borderId="0" xfId="0" applyNumberFormat="1" applyFont="1" applyFill="1" applyAlignment="1"/>
    <xf numFmtId="37" fontId="7" fillId="2" borderId="0" xfId="0" applyNumberFormat="1" applyFont="1" applyFill="1" applyAlignment="1"/>
    <xf numFmtId="37" fontId="7" fillId="7" borderId="0" xfId="0" applyNumberFormat="1" applyFont="1" applyFill="1" applyAlignment="1"/>
    <xf numFmtId="0" fontId="7" fillId="2" borderId="0" xfId="0" applyFont="1" applyFill="1" applyAlignment="1">
      <alignment horizontal="center"/>
    </xf>
    <xf numFmtId="0" fontId="7" fillId="2" borderId="0" xfId="0" applyFont="1" applyFill="1" applyAlignment="1">
      <alignment horizontal="left"/>
    </xf>
    <xf numFmtId="2" fontId="7" fillId="2" borderId="0" xfId="0" applyNumberFormat="1" applyFont="1" applyFill="1" applyAlignment="1">
      <alignment horizontal="left"/>
    </xf>
    <xf numFmtId="0" fontId="7" fillId="2" borderId="0" xfId="0" applyFont="1" applyFill="1" applyBorder="1" applyAlignment="1"/>
    <xf numFmtId="5" fontId="7" fillId="2" borderId="6" xfId="234" applyNumberFormat="1" applyFont="1" applyBorder="1"/>
    <xf numFmtId="5" fontId="13" fillId="2" borderId="0" xfId="3" applyNumberFormat="1" applyFont="1"/>
    <xf numFmtId="0" fontId="13" fillId="0" borderId="0" xfId="0" applyFont="1" applyFill="1" applyAlignment="1">
      <alignment horizontal="left"/>
    </xf>
    <xf numFmtId="5" fontId="7" fillId="2" borderId="0" xfId="234" applyNumberFormat="1" applyFont="1"/>
    <xf numFmtId="5" fontId="7" fillId="2" borderId="0" xfId="234" applyNumberFormat="1" applyFont="1" applyBorder="1"/>
    <xf numFmtId="5" fontId="7" fillId="0" borderId="0" xfId="234" applyNumberFormat="1" applyFont="1" applyFill="1"/>
    <xf numFmtId="37" fontId="34" fillId="2" borderId="0" xfId="0" applyNumberFormat="1" applyFont="1" applyFill="1" applyAlignment="1"/>
    <xf numFmtId="5" fontId="7" fillId="0" borderId="6" xfId="234" applyNumberFormat="1" applyFont="1" applyFill="1" applyBorder="1"/>
    <xf numFmtId="0" fontId="18" fillId="2" borderId="0" xfId="0" applyFont="1" applyFill="1" applyBorder="1" applyAlignment="1">
      <alignment horizontal="center"/>
    </xf>
    <xf numFmtId="0" fontId="18" fillId="6" borderId="0" xfId="0" applyFont="1" applyFill="1" applyBorder="1" applyAlignment="1">
      <alignment horizontal="center"/>
    </xf>
    <xf numFmtId="37" fontId="19" fillId="2" borderId="0" xfId="0" applyNumberFormat="1" applyFont="1" applyFill="1" applyBorder="1" applyAlignment="1"/>
    <xf numFmtId="37" fontId="19" fillId="7" borderId="0" xfId="0" applyNumberFormat="1" applyFont="1" applyFill="1" applyBorder="1" applyAlignment="1"/>
    <xf numFmtId="0" fontId="19" fillId="2" borderId="0" xfId="0" applyFont="1" applyFill="1" applyBorder="1" applyAlignment="1">
      <alignment horizontal="left"/>
    </xf>
    <xf numFmtId="0" fontId="13" fillId="0" borderId="10" xfId="0" applyFont="1" applyFill="1" applyBorder="1" applyAlignment="1">
      <alignment horizontal="centerContinuous" vertical="top"/>
    </xf>
    <xf numFmtId="0" fontId="13" fillId="0" borderId="10" xfId="0" applyFont="1" applyBorder="1" applyAlignment="1">
      <alignment horizontal="centerContinuous" vertical="top"/>
    </xf>
    <xf numFmtId="0" fontId="13" fillId="0" borderId="58" xfId="0" applyFont="1" applyBorder="1" applyAlignment="1">
      <alignment horizontal="centerContinuous" vertical="top"/>
    </xf>
    <xf numFmtId="0" fontId="13" fillId="0" borderId="72" xfId="0" applyFont="1" applyBorder="1" applyAlignment="1">
      <alignment horizontal="centerContinuous" vertical="top"/>
    </xf>
    <xf numFmtId="0" fontId="13" fillId="0" borderId="72" xfId="0" applyFont="1" applyFill="1" applyBorder="1" applyAlignment="1">
      <alignment vertical="center"/>
    </xf>
    <xf numFmtId="0" fontId="7" fillId="0" borderId="10" xfId="0" applyFont="1" applyFill="1" applyBorder="1" applyAlignment="1">
      <alignment vertical="center"/>
    </xf>
    <xf numFmtId="5" fontId="13" fillId="0" borderId="58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vertical="center"/>
    </xf>
    <xf numFmtId="5" fontId="13" fillId="0" borderId="0" xfId="0" applyNumberFormat="1" applyFont="1" applyFill="1" applyAlignment="1">
      <alignment vertical="center"/>
    </xf>
    <xf numFmtId="5" fontId="13" fillId="0" borderId="0" xfId="0" applyNumberFormat="1" applyFont="1" applyAlignment="1">
      <alignment vertical="center"/>
    </xf>
    <xf numFmtId="0" fontId="7" fillId="3" borderId="0" xfId="0" applyFont="1" applyFill="1" applyAlignment="1">
      <alignment vertical="center"/>
    </xf>
    <xf numFmtId="0" fontId="13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Fill="1" applyAlignment="1">
      <alignment horizontal="center" vertical="center"/>
    </xf>
    <xf numFmtId="0" fontId="7" fillId="0" borderId="0" xfId="0" applyFont="1" applyAlignment="1">
      <alignment vertical="center" wrapText="1"/>
    </xf>
    <xf numFmtId="37" fontId="7" fillId="0" borderId="0" xfId="0" applyNumberFormat="1" applyFont="1" applyFill="1" applyAlignment="1">
      <alignment vertical="center"/>
    </xf>
    <xf numFmtId="5" fontId="7" fillId="0" borderId="0" xfId="0" applyNumberFormat="1" applyFont="1" applyAlignment="1">
      <alignment vertical="center"/>
    </xf>
    <xf numFmtId="37" fontId="7" fillId="0" borderId="0" xfId="0" applyNumberFormat="1" applyFont="1" applyAlignment="1">
      <alignment vertical="center"/>
    </xf>
    <xf numFmtId="0" fontId="7" fillId="0" borderId="0" xfId="0" applyFont="1" applyFill="1" applyAlignment="1">
      <alignment vertical="center" wrapText="1"/>
    </xf>
    <xf numFmtId="5" fontId="7" fillId="0" borderId="0" xfId="0" applyNumberFormat="1" applyFont="1" applyFill="1" applyAlignment="1">
      <alignment vertical="center"/>
    </xf>
    <xf numFmtId="0" fontId="7" fillId="0" borderId="0" xfId="0" applyFont="1" applyBorder="1" applyAlignment="1">
      <alignment horizontal="center" vertical="center"/>
    </xf>
    <xf numFmtId="5" fontId="7" fillId="0" borderId="0" xfId="0" applyNumberFormat="1" applyFont="1" applyBorder="1" applyAlignment="1">
      <alignment horizontal="center" vertical="center"/>
    </xf>
    <xf numFmtId="37" fontId="13" fillId="0" borderId="32" xfId="0" applyNumberFormat="1" applyFont="1" applyBorder="1" applyAlignment="1">
      <alignment horizontal="center" vertical="center"/>
    </xf>
    <xf numFmtId="0" fontId="7" fillId="55" borderId="0" xfId="0" applyFont="1" applyFill="1" applyBorder="1" applyAlignment="1"/>
    <xf numFmtId="5" fontId="7" fillId="0" borderId="0" xfId="0" applyNumberFormat="1" applyFont="1" applyFill="1" applyBorder="1" applyAlignment="1" applyProtection="1"/>
    <xf numFmtId="0" fontId="19" fillId="0" borderId="0" xfId="0" applyFont="1" applyAlignment="1"/>
    <xf numFmtId="0" fontId="19" fillId="0" borderId="0" xfId="0" applyFont="1" applyAlignment="1">
      <alignment horizontal="center"/>
    </xf>
    <xf numFmtId="10" fontId="7" fillId="0" borderId="0" xfId="0" applyNumberFormat="1" applyFont="1" applyAlignment="1"/>
    <xf numFmtId="38" fontId="7" fillId="0" borderId="0" xfId="0" applyNumberFormat="1" applyFont="1" applyAlignment="1"/>
    <xf numFmtId="38" fontId="7" fillId="0" borderId="0" xfId="0" applyNumberFormat="1" applyFont="1" applyFill="1" applyAlignment="1"/>
    <xf numFmtId="3" fontId="13" fillId="0" borderId="0" xfId="0" applyNumberFormat="1" applyFont="1" applyAlignment="1"/>
    <xf numFmtId="10" fontId="13" fillId="0" borderId="0" xfId="0" applyNumberFormat="1" applyFont="1" applyAlignment="1"/>
    <xf numFmtId="10" fontId="19" fillId="0" borderId="0" xfId="0" applyNumberFormat="1" applyFont="1" applyAlignment="1"/>
    <xf numFmtId="38" fontId="19" fillId="0" borderId="0" xfId="0" applyNumberFormat="1" applyFont="1" applyFill="1" applyAlignment="1"/>
    <xf numFmtId="0" fontId="7" fillId="0" borderId="0" xfId="0" quotePrefix="1" applyFont="1" applyFill="1" applyAlignment="1"/>
    <xf numFmtId="10" fontId="23" fillId="2" borderId="0" xfId="10"/>
    <xf numFmtId="3" fontId="23" fillId="2" borderId="0" xfId="1" applyNumberFormat="1"/>
    <xf numFmtId="43" fontId="10" fillId="0" borderId="0" xfId="0" applyNumberFormat="1" applyFont="1" applyFill="1" applyAlignment="1"/>
    <xf numFmtId="10" fontId="7" fillId="0" borderId="0" xfId="10" applyFont="1" applyFill="1"/>
    <xf numFmtId="7" fontId="23" fillId="2" borderId="0" xfId="3"/>
    <xf numFmtId="169" fontId="7" fillId="0" borderId="0" xfId="233" applyNumberFormat="1" applyFont="1" applyFill="1" applyBorder="1"/>
    <xf numFmtId="2" fontId="18" fillId="0" borderId="0" xfId="0" quotePrefix="1" applyNumberFormat="1" applyFont="1" applyFill="1" applyBorder="1" applyAlignment="1"/>
    <xf numFmtId="37" fontId="19" fillId="0" borderId="0" xfId="0" applyNumberFormat="1" applyFont="1" applyFill="1">
      <alignment vertical="top"/>
    </xf>
    <xf numFmtId="37" fontId="7" fillId="0" borderId="0" xfId="0" applyNumberFormat="1" applyFont="1" applyFill="1">
      <alignment vertical="top"/>
    </xf>
    <xf numFmtId="3" fontId="23" fillId="0" borderId="0" xfId="1" applyNumberFormat="1" applyFill="1"/>
    <xf numFmtId="0" fontId="82" fillId="0" borderId="0" xfId="0" applyFont="1" applyFill="1" applyAlignment="1"/>
    <xf numFmtId="3" fontId="15" fillId="0" borderId="0" xfId="1" applyNumberFormat="1" applyFont="1" applyFill="1"/>
    <xf numFmtId="0" fontId="13" fillId="2" borderId="72" xfId="0" applyFont="1" applyFill="1" applyBorder="1" applyAlignment="1">
      <alignment horizontal="center"/>
    </xf>
    <xf numFmtId="0" fontId="13" fillId="2" borderId="10" xfId="0" applyFont="1" applyFill="1" applyBorder="1" applyAlignment="1">
      <alignment horizontal="center"/>
    </xf>
    <xf numFmtId="0" fontId="13" fillId="2" borderId="58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 wrapText="1"/>
    </xf>
    <xf numFmtId="0" fontId="7" fillId="0" borderId="28" xfId="0" applyFont="1" applyFill="1" applyBorder="1" applyAlignment="1">
      <alignment horizontal="center" wrapText="1"/>
    </xf>
    <xf numFmtId="0" fontId="7" fillId="0" borderId="29" xfId="0" applyFont="1" applyFill="1" applyBorder="1" applyAlignment="1">
      <alignment horizontal="center" wrapText="1"/>
    </xf>
    <xf numFmtId="0" fontId="13" fillId="0" borderId="22" xfId="0" applyFont="1" applyFill="1" applyBorder="1" applyAlignment="1">
      <alignment horizontal="center" vertical="center"/>
    </xf>
    <xf numFmtId="0" fontId="7" fillId="0" borderId="22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13" fillId="0" borderId="24" xfId="0" applyFont="1" applyFill="1" applyBorder="1" applyAlignment="1">
      <alignment horizontal="center" wrapText="1"/>
    </xf>
    <xf numFmtId="0" fontId="13" fillId="0" borderId="23" xfId="0" applyFont="1" applyFill="1" applyBorder="1" applyAlignment="1">
      <alignment horizontal="center" wrapText="1"/>
    </xf>
    <xf numFmtId="0" fontId="13" fillId="0" borderId="7" xfId="0" applyFont="1" applyFill="1" applyBorder="1" applyAlignment="1">
      <alignment horizontal="center" wrapText="1"/>
    </xf>
    <xf numFmtId="0" fontId="13" fillId="0" borderId="8" xfId="0" applyFont="1" applyFill="1" applyBorder="1" applyAlignment="1">
      <alignment horizontal="center" wrapText="1"/>
    </xf>
    <xf numFmtId="15" fontId="13" fillId="0" borderId="5" xfId="0" applyNumberFormat="1" applyFont="1" applyFill="1" applyBorder="1" applyAlignment="1">
      <alignment horizontal="center"/>
    </xf>
    <xf numFmtId="15" fontId="13" fillId="0" borderId="8" xfId="0" applyNumberFormat="1" applyFont="1" applyFill="1" applyBorder="1" applyAlignment="1">
      <alignment horizontal="center"/>
    </xf>
    <xf numFmtId="0" fontId="13" fillId="0" borderId="72" xfId="0" applyFont="1" applyFill="1" applyBorder="1" applyAlignment="1">
      <alignment horizontal="center"/>
    </xf>
    <xf numFmtId="0" fontId="13" fillId="0" borderId="10" xfId="0" applyFont="1" applyFill="1" applyBorder="1" applyAlignment="1">
      <alignment horizontal="center"/>
    </xf>
    <xf numFmtId="0" fontId="13" fillId="0" borderId="58" xfId="0" applyFont="1" applyFill="1" applyBorder="1" applyAlignment="1">
      <alignment horizontal="center"/>
    </xf>
    <xf numFmtId="0" fontId="19" fillId="55" borderId="0" xfId="0" applyNumberFormat="1" applyFont="1" applyFill="1" applyBorder="1" applyAlignment="1" applyProtection="1">
      <alignment horizontal="center"/>
    </xf>
    <xf numFmtId="0" fontId="13" fillId="0" borderId="25" xfId="0" applyNumberFormat="1" applyFont="1" applyFill="1" applyBorder="1" applyAlignment="1" applyProtection="1">
      <alignment horizontal="center"/>
    </xf>
    <xf numFmtId="0" fontId="13" fillId="0" borderId="26" xfId="0" applyNumberFormat="1" applyFont="1" applyFill="1" applyBorder="1" applyAlignment="1" applyProtection="1">
      <alignment horizontal="center"/>
    </xf>
    <xf numFmtId="0" fontId="13" fillId="0" borderId="27" xfId="0" applyNumberFormat="1" applyFont="1" applyFill="1" applyBorder="1" applyAlignment="1" applyProtection="1">
      <alignment horizontal="center"/>
    </xf>
    <xf numFmtId="0" fontId="13" fillId="0" borderId="0" xfId="0" applyNumberFormat="1" applyFont="1" applyFill="1" applyBorder="1" applyAlignment="1" applyProtection="1"/>
    <xf numFmtId="5" fontId="7" fillId="0" borderId="0" xfId="0" applyNumberFormat="1" applyFont="1" applyFill="1" applyBorder="1" applyAlignment="1" applyProtection="1">
      <alignment horizontal="center"/>
    </xf>
    <xf numFmtId="0" fontId="19" fillId="0" borderId="0" xfId="0" applyNumberFormat="1" applyFont="1" applyFill="1" applyBorder="1" applyAlignment="1" applyProtection="1">
      <alignment horizontal="center"/>
    </xf>
    <xf numFmtId="14" fontId="7" fillId="0" borderId="0" xfId="0" applyNumberFormat="1" applyFont="1" applyFill="1" applyBorder="1" applyAlignment="1" applyProtection="1">
      <alignment horizontal="center"/>
    </xf>
    <xf numFmtId="0" fontId="19" fillId="0" borderId="0" xfId="0" applyNumberFormat="1" applyFont="1" applyFill="1" applyBorder="1" applyAlignment="1" applyProtection="1">
      <alignment horizontal="center"/>
    </xf>
    <xf numFmtId="3" fontId="7" fillId="0" borderId="0" xfId="1" applyNumberFormat="1" applyFont="1" applyFill="1" applyBorder="1" applyAlignment="1" applyProtection="1">
      <alignment horizontal="center"/>
    </xf>
    <xf numFmtId="10" fontId="7" fillId="0" borderId="53" xfId="10" applyFont="1" applyFill="1" applyBorder="1" applyAlignment="1" applyProtection="1">
      <alignment horizontal="center"/>
    </xf>
    <xf numFmtId="10" fontId="7" fillId="0" borderId="0" xfId="10" applyFont="1" applyFill="1" applyBorder="1" applyProtection="1"/>
    <xf numFmtId="0" fontId="19" fillId="0" borderId="0" xfId="0" applyNumberFormat="1" applyFont="1" applyFill="1" applyBorder="1" applyAlignment="1" applyProtection="1"/>
    <xf numFmtId="37" fontId="7" fillId="0" borderId="0" xfId="0" applyNumberFormat="1" applyFont="1" applyAlignment="1"/>
    <xf numFmtId="2" fontId="13" fillId="0" borderId="0" xfId="12" applyNumberFormat="1" applyFont="1" applyFill="1" applyAlignment="1">
      <alignment horizontal="left"/>
    </xf>
    <xf numFmtId="0" fontId="7" fillId="0" borderId="0" xfId="12" applyFont="1" applyFill="1"/>
    <xf numFmtId="41" fontId="36" fillId="0" borderId="0" xfId="12" applyNumberFormat="1" applyFont="1" applyFill="1" applyAlignment="1">
      <alignment horizontal="center"/>
    </xf>
    <xf numFmtId="170" fontId="0" fillId="0" borderId="0" xfId="234" applyNumberFormat="1" applyFont="1" applyFill="1"/>
    <xf numFmtId="170" fontId="36" fillId="0" borderId="30" xfId="234" applyNumberFormat="1" applyFont="1" applyFill="1" applyBorder="1" applyAlignment="1">
      <alignment horizontal="centerContinuous"/>
    </xf>
    <xf numFmtId="2" fontId="7" fillId="0" borderId="0" xfId="12" applyNumberFormat="1" applyFont="1" applyFill="1"/>
    <xf numFmtId="170" fontId="36" fillId="0" borderId="31" xfId="234" applyNumberFormat="1" applyFont="1" applyFill="1" applyBorder="1" applyAlignment="1">
      <alignment horizontal="centerContinuous"/>
    </xf>
    <xf numFmtId="2" fontId="36" fillId="0" borderId="32" xfId="12" applyNumberFormat="1" applyFont="1" applyFill="1" applyBorder="1" applyAlignment="1">
      <alignment horizontal="center"/>
    </xf>
    <xf numFmtId="0" fontId="36" fillId="0" borderId="32" xfId="12" applyFont="1" applyFill="1" applyBorder="1" applyAlignment="1">
      <alignment horizontal="center"/>
    </xf>
    <xf numFmtId="44" fontId="36" fillId="0" borderId="0" xfId="12" applyNumberFormat="1" applyFont="1" applyFill="1"/>
    <xf numFmtId="44" fontId="36" fillId="0" borderId="34" xfId="12" applyNumberFormat="1" applyFont="1" applyFill="1" applyBorder="1" applyAlignment="1">
      <alignment horizontal="right"/>
    </xf>
    <xf numFmtId="0" fontId="36" fillId="0" borderId="34" xfId="12" applyFont="1" applyFill="1" applyBorder="1"/>
    <xf numFmtId="3" fontId="15" fillId="0" borderId="0" xfId="232" applyNumberFormat="1" applyFill="1"/>
    <xf numFmtId="0" fontId="0" fillId="0" borderId="0" xfId="0" applyFill="1" applyAlignment="1" applyProtection="1">
      <protection locked="0"/>
    </xf>
    <xf numFmtId="0" fontId="72" fillId="0" borderId="0" xfId="0" applyFont="1" applyFill="1">
      <alignment vertical="top"/>
    </xf>
    <xf numFmtId="0" fontId="72" fillId="0" borderId="3" xfId="0" applyFont="1" applyFill="1" applyBorder="1" applyAlignment="1">
      <alignment horizontal="left" vertical="top"/>
    </xf>
    <xf numFmtId="0" fontId="72" fillId="0" borderId="3" xfId="0" applyFont="1" applyFill="1" applyBorder="1">
      <alignment vertical="top"/>
    </xf>
    <xf numFmtId="170" fontId="35" fillId="0" borderId="0" xfId="234" applyNumberFormat="1" applyFont="1" applyFill="1" applyAlignment="1">
      <alignment horizontal="center"/>
    </xf>
  </cellXfs>
  <cellStyles count="297">
    <cellStyle name="20% - Accent1" xfId="30" builtinId="30" customBuiltin="1"/>
    <cellStyle name="20% - Accent1 2" xfId="66" xr:uid="{00000000-0005-0000-0000-000001000000}"/>
    <cellStyle name="20% - Accent1 2 2" xfId="67" xr:uid="{00000000-0005-0000-0000-000002000000}"/>
    <cellStyle name="20% - Accent1 3" xfId="220" xr:uid="{00000000-0005-0000-0000-000003000000}"/>
    <cellStyle name="20% - Accent1 3 2" xfId="262" xr:uid="{00000000-0005-0000-0000-000004000000}"/>
    <cellStyle name="20% - Accent1 4" xfId="236" xr:uid="{00000000-0005-0000-0000-000005000000}"/>
    <cellStyle name="20% - Accent1 5" xfId="274" xr:uid="{00000000-0005-0000-0000-000006000000}"/>
    <cellStyle name="20% - Accent2" xfId="34" builtinId="34" customBuiltin="1"/>
    <cellStyle name="20% - Accent2 2" xfId="68" xr:uid="{00000000-0005-0000-0000-000008000000}"/>
    <cellStyle name="20% - Accent2 2 2" xfId="69" xr:uid="{00000000-0005-0000-0000-000009000000}"/>
    <cellStyle name="20% - Accent2 3" xfId="222" xr:uid="{00000000-0005-0000-0000-00000A000000}"/>
    <cellStyle name="20% - Accent2 3 2" xfId="264" xr:uid="{00000000-0005-0000-0000-00000B000000}"/>
    <cellStyle name="20% - Accent2 4" xfId="238" xr:uid="{00000000-0005-0000-0000-00000C000000}"/>
    <cellStyle name="20% - Accent2 5" xfId="276" xr:uid="{00000000-0005-0000-0000-00000D000000}"/>
    <cellStyle name="20% - Accent3" xfId="38" builtinId="38" customBuiltin="1"/>
    <cellStyle name="20% - Accent3 2" xfId="70" xr:uid="{00000000-0005-0000-0000-00000F000000}"/>
    <cellStyle name="20% - Accent3 2 2" xfId="71" xr:uid="{00000000-0005-0000-0000-000010000000}"/>
    <cellStyle name="20% - Accent3 3" xfId="224" xr:uid="{00000000-0005-0000-0000-000011000000}"/>
    <cellStyle name="20% - Accent3 3 2" xfId="266" xr:uid="{00000000-0005-0000-0000-000012000000}"/>
    <cellStyle name="20% - Accent3 4" xfId="240" xr:uid="{00000000-0005-0000-0000-000013000000}"/>
    <cellStyle name="20% - Accent3 5" xfId="278" xr:uid="{00000000-0005-0000-0000-000014000000}"/>
    <cellStyle name="20% - Accent4" xfId="42" builtinId="42" customBuiltin="1"/>
    <cellStyle name="20% - Accent4 2" xfId="72" xr:uid="{00000000-0005-0000-0000-000016000000}"/>
    <cellStyle name="20% - Accent4 2 2" xfId="73" xr:uid="{00000000-0005-0000-0000-000017000000}"/>
    <cellStyle name="20% - Accent4 3" xfId="226" xr:uid="{00000000-0005-0000-0000-000018000000}"/>
    <cellStyle name="20% - Accent4 3 2" xfId="268" xr:uid="{00000000-0005-0000-0000-000019000000}"/>
    <cellStyle name="20% - Accent4 4" xfId="242" xr:uid="{00000000-0005-0000-0000-00001A000000}"/>
    <cellStyle name="20% - Accent4 5" xfId="280" xr:uid="{00000000-0005-0000-0000-00001B000000}"/>
    <cellStyle name="20% - Accent5" xfId="46" builtinId="46" customBuiltin="1"/>
    <cellStyle name="20% - Accent5 2" xfId="74" xr:uid="{00000000-0005-0000-0000-00001D000000}"/>
    <cellStyle name="20% - Accent5 2 2" xfId="75" xr:uid="{00000000-0005-0000-0000-00001E000000}"/>
    <cellStyle name="20% - Accent5 3" xfId="228" xr:uid="{00000000-0005-0000-0000-00001F000000}"/>
    <cellStyle name="20% - Accent5 3 2" xfId="270" xr:uid="{00000000-0005-0000-0000-000020000000}"/>
    <cellStyle name="20% - Accent5 4" xfId="244" xr:uid="{00000000-0005-0000-0000-000021000000}"/>
    <cellStyle name="20% - Accent5 5" xfId="282" xr:uid="{00000000-0005-0000-0000-000022000000}"/>
    <cellStyle name="20% - Accent6" xfId="50" builtinId="50" customBuiltin="1"/>
    <cellStyle name="20% - Accent6 2" xfId="76" xr:uid="{00000000-0005-0000-0000-000024000000}"/>
    <cellStyle name="20% - Accent6 2 2" xfId="77" xr:uid="{00000000-0005-0000-0000-000025000000}"/>
    <cellStyle name="20% - Accent6 3" xfId="230" xr:uid="{00000000-0005-0000-0000-000026000000}"/>
    <cellStyle name="20% - Accent6 3 2" xfId="272" xr:uid="{00000000-0005-0000-0000-000027000000}"/>
    <cellStyle name="20% - Accent6 4" xfId="246" xr:uid="{00000000-0005-0000-0000-000028000000}"/>
    <cellStyle name="20% - Accent6 5" xfId="284" xr:uid="{00000000-0005-0000-0000-000029000000}"/>
    <cellStyle name="40% - Accent1" xfId="31" builtinId="31" customBuiltin="1"/>
    <cellStyle name="40% - Accent1 2" xfId="78" xr:uid="{00000000-0005-0000-0000-00002B000000}"/>
    <cellStyle name="40% - Accent1 2 2" xfId="79" xr:uid="{00000000-0005-0000-0000-00002C000000}"/>
    <cellStyle name="40% - Accent1 3" xfId="221" xr:uid="{00000000-0005-0000-0000-00002D000000}"/>
    <cellStyle name="40% - Accent1 3 2" xfId="263" xr:uid="{00000000-0005-0000-0000-00002E000000}"/>
    <cellStyle name="40% - Accent1 4" xfId="237" xr:uid="{00000000-0005-0000-0000-00002F000000}"/>
    <cellStyle name="40% - Accent1 5" xfId="275" xr:uid="{00000000-0005-0000-0000-000030000000}"/>
    <cellStyle name="40% - Accent2" xfId="35" builtinId="35" customBuiltin="1"/>
    <cellStyle name="40% - Accent2 2" xfId="80" xr:uid="{00000000-0005-0000-0000-000032000000}"/>
    <cellStyle name="40% - Accent2 2 2" xfId="81" xr:uid="{00000000-0005-0000-0000-000033000000}"/>
    <cellStyle name="40% - Accent2 2 2 2" xfId="82" xr:uid="{00000000-0005-0000-0000-000034000000}"/>
    <cellStyle name="40% - Accent2 2 3" xfId="253" xr:uid="{00000000-0005-0000-0000-000035000000}"/>
    <cellStyle name="40% - Accent2 2 4" xfId="291" xr:uid="{00000000-0005-0000-0000-000036000000}"/>
    <cellStyle name="40% - Accent2 3" xfId="223" xr:uid="{00000000-0005-0000-0000-000037000000}"/>
    <cellStyle name="40% - Accent2 3 2" xfId="265" xr:uid="{00000000-0005-0000-0000-000038000000}"/>
    <cellStyle name="40% - Accent2 4" xfId="239" xr:uid="{00000000-0005-0000-0000-000039000000}"/>
    <cellStyle name="40% - Accent2 5" xfId="277" xr:uid="{00000000-0005-0000-0000-00003A000000}"/>
    <cellStyle name="40% - Accent3" xfId="39" builtinId="39" customBuiltin="1"/>
    <cellStyle name="40% - Accent3 2" xfId="83" xr:uid="{00000000-0005-0000-0000-00003C000000}"/>
    <cellStyle name="40% - Accent3 2 2" xfId="84" xr:uid="{00000000-0005-0000-0000-00003D000000}"/>
    <cellStyle name="40% - Accent3 3" xfId="225" xr:uid="{00000000-0005-0000-0000-00003E000000}"/>
    <cellStyle name="40% - Accent3 3 2" xfId="267" xr:uid="{00000000-0005-0000-0000-00003F000000}"/>
    <cellStyle name="40% - Accent3 4" xfId="241" xr:uid="{00000000-0005-0000-0000-000040000000}"/>
    <cellStyle name="40% - Accent3 5" xfId="279" xr:uid="{00000000-0005-0000-0000-000041000000}"/>
    <cellStyle name="40% - Accent4" xfId="43" builtinId="43" customBuiltin="1"/>
    <cellStyle name="40% - Accent4 2" xfId="85" xr:uid="{00000000-0005-0000-0000-000043000000}"/>
    <cellStyle name="40% - Accent4 2 2" xfId="86" xr:uid="{00000000-0005-0000-0000-000044000000}"/>
    <cellStyle name="40% - Accent4 3" xfId="227" xr:uid="{00000000-0005-0000-0000-000045000000}"/>
    <cellStyle name="40% - Accent4 3 2" xfId="269" xr:uid="{00000000-0005-0000-0000-000046000000}"/>
    <cellStyle name="40% - Accent4 4" xfId="243" xr:uid="{00000000-0005-0000-0000-000047000000}"/>
    <cellStyle name="40% - Accent4 5" xfId="281" xr:uid="{00000000-0005-0000-0000-000048000000}"/>
    <cellStyle name="40% - Accent5" xfId="47" builtinId="47" customBuiltin="1"/>
    <cellStyle name="40% - Accent5 2" xfId="87" xr:uid="{00000000-0005-0000-0000-00004A000000}"/>
    <cellStyle name="40% - Accent5 2 2" xfId="88" xr:uid="{00000000-0005-0000-0000-00004B000000}"/>
    <cellStyle name="40% - Accent5 3" xfId="229" xr:uid="{00000000-0005-0000-0000-00004C000000}"/>
    <cellStyle name="40% - Accent5 3 2" xfId="271" xr:uid="{00000000-0005-0000-0000-00004D000000}"/>
    <cellStyle name="40% - Accent5 4" xfId="245" xr:uid="{00000000-0005-0000-0000-00004E000000}"/>
    <cellStyle name="40% - Accent5 5" xfId="283" xr:uid="{00000000-0005-0000-0000-00004F000000}"/>
    <cellStyle name="40% - Accent6" xfId="51" builtinId="51" customBuiltin="1"/>
    <cellStyle name="40% - Accent6 2" xfId="89" xr:uid="{00000000-0005-0000-0000-000051000000}"/>
    <cellStyle name="40% - Accent6 2 2" xfId="90" xr:uid="{00000000-0005-0000-0000-000052000000}"/>
    <cellStyle name="40% - Accent6 3" xfId="231" xr:uid="{00000000-0005-0000-0000-000053000000}"/>
    <cellStyle name="40% - Accent6 3 2" xfId="273" xr:uid="{00000000-0005-0000-0000-000054000000}"/>
    <cellStyle name="40% - Accent6 4" xfId="247" xr:uid="{00000000-0005-0000-0000-000055000000}"/>
    <cellStyle name="40% - Accent6 5" xfId="285" xr:uid="{00000000-0005-0000-0000-000056000000}"/>
    <cellStyle name="60% - Accent1" xfId="32" builtinId="32" customBuiltin="1"/>
    <cellStyle name="60% - Accent1 2" xfId="91" xr:uid="{00000000-0005-0000-0000-000058000000}"/>
    <cellStyle name="60% - Accent2" xfId="36" builtinId="36" customBuiltin="1"/>
    <cellStyle name="60% - Accent2 2" xfId="92" xr:uid="{00000000-0005-0000-0000-00005A000000}"/>
    <cellStyle name="60% - Accent3" xfId="40" builtinId="40" customBuiltin="1"/>
    <cellStyle name="60% - Accent3 2" xfId="93" xr:uid="{00000000-0005-0000-0000-00005C000000}"/>
    <cellStyle name="60% - Accent4" xfId="44" builtinId="44" customBuiltin="1"/>
    <cellStyle name="60% - Accent4 2" xfId="94" xr:uid="{00000000-0005-0000-0000-00005E000000}"/>
    <cellStyle name="60% - Accent5" xfId="48" builtinId="48" customBuiltin="1"/>
    <cellStyle name="60% - Accent5 2" xfId="95" xr:uid="{00000000-0005-0000-0000-000060000000}"/>
    <cellStyle name="60% - Accent6" xfId="52" builtinId="52" customBuiltin="1"/>
    <cellStyle name="60% - Accent6 2" xfId="96" xr:uid="{00000000-0005-0000-0000-000062000000}"/>
    <cellStyle name="Accent1" xfId="29" builtinId="29" customBuiltin="1"/>
    <cellStyle name="Accent1 2" xfId="97" xr:uid="{00000000-0005-0000-0000-000064000000}"/>
    <cellStyle name="Accent2" xfId="33" builtinId="33" customBuiltin="1"/>
    <cellStyle name="Accent2 2" xfId="98" xr:uid="{00000000-0005-0000-0000-000066000000}"/>
    <cellStyle name="Accent3" xfId="37" builtinId="37" customBuiltin="1"/>
    <cellStyle name="Accent3 2" xfId="99" xr:uid="{00000000-0005-0000-0000-000068000000}"/>
    <cellStyle name="Accent4" xfId="41" builtinId="41" customBuiltin="1"/>
    <cellStyle name="Accent4 2" xfId="100" xr:uid="{00000000-0005-0000-0000-00006A000000}"/>
    <cellStyle name="Accent5" xfId="45" builtinId="45" customBuiltin="1"/>
    <cellStyle name="Accent5 2" xfId="101" xr:uid="{00000000-0005-0000-0000-00006C000000}"/>
    <cellStyle name="Accent6" xfId="49" builtinId="49" customBuiltin="1"/>
    <cellStyle name="Accent6 2" xfId="102" xr:uid="{00000000-0005-0000-0000-00006E000000}"/>
    <cellStyle name="Accent6 2 2" xfId="103" xr:uid="{00000000-0005-0000-0000-00006F000000}"/>
    <cellStyle name="Bad" xfId="20" builtinId="27" customBuiltin="1"/>
    <cellStyle name="Bad 2" xfId="104" xr:uid="{00000000-0005-0000-0000-000071000000}"/>
    <cellStyle name="Bad 3" xfId="105" xr:uid="{00000000-0005-0000-0000-000072000000}"/>
    <cellStyle name="Calculation" xfId="24" builtinId="22" customBuiltin="1"/>
    <cellStyle name="Calculation 2" xfId="106" xr:uid="{00000000-0005-0000-0000-000074000000}"/>
    <cellStyle name="Check Cell" xfId="26" builtinId="23" customBuiltin="1"/>
    <cellStyle name="Check Cell 2" xfId="107" xr:uid="{00000000-0005-0000-0000-000076000000}"/>
    <cellStyle name="Comma" xfId="1" builtinId="3"/>
    <cellStyle name="Comma 2" xfId="13" xr:uid="{00000000-0005-0000-0000-000078000000}"/>
    <cellStyle name="Comma 2 2" xfId="108" xr:uid="{00000000-0005-0000-0000-000079000000}"/>
    <cellStyle name="Comma 2 2 2" xfId="109" xr:uid="{00000000-0005-0000-0000-00007A000000}"/>
    <cellStyle name="Comma 2 2 3" xfId="110" xr:uid="{00000000-0005-0000-0000-00007B000000}"/>
    <cellStyle name="Comma 2 2 3 2" xfId="111" xr:uid="{00000000-0005-0000-0000-00007C000000}"/>
    <cellStyle name="Comma 2 3" xfId="112" xr:uid="{00000000-0005-0000-0000-00007D000000}"/>
    <cellStyle name="Comma 2 3 2" xfId="254" xr:uid="{00000000-0005-0000-0000-00007E000000}"/>
    <cellStyle name="Comma 2 3 3" xfId="292" xr:uid="{00000000-0005-0000-0000-00007F000000}"/>
    <cellStyle name="Comma 2 4" xfId="113" xr:uid="{00000000-0005-0000-0000-000080000000}"/>
    <cellStyle name="Comma 2 5" xfId="60" xr:uid="{00000000-0005-0000-0000-000081000000}"/>
    <cellStyle name="Comma 3" xfId="114" xr:uid="{00000000-0005-0000-0000-000082000000}"/>
    <cellStyle name="Comma 3 2" xfId="115" xr:uid="{00000000-0005-0000-0000-000083000000}"/>
    <cellStyle name="Comma 3 2 2" xfId="116" xr:uid="{00000000-0005-0000-0000-000084000000}"/>
    <cellStyle name="Comma 3 3" xfId="117" xr:uid="{00000000-0005-0000-0000-000085000000}"/>
    <cellStyle name="Comma 3 3 2" xfId="118" xr:uid="{00000000-0005-0000-0000-000086000000}"/>
    <cellStyle name="Comma 3 4" xfId="119" xr:uid="{00000000-0005-0000-0000-000087000000}"/>
    <cellStyle name="Comma 4" xfId="120" xr:uid="{00000000-0005-0000-0000-000088000000}"/>
    <cellStyle name="Comma 4 2" xfId="121" xr:uid="{00000000-0005-0000-0000-000089000000}"/>
    <cellStyle name="Comma 4 3" xfId="122" xr:uid="{00000000-0005-0000-0000-00008A000000}"/>
    <cellStyle name="Comma 4 3 2" xfId="123" xr:uid="{00000000-0005-0000-0000-00008B000000}"/>
    <cellStyle name="Comma 5" xfId="124" xr:uid="{00000000-0005-0000-0000-00008C000000}"/>
    <cellStyle name="Comma 5 2" xfId="125" xr:uid="{00000000-0005-0000-0000-00008D000000}"/>
    <cellStyle name="Comma 6" xfId="54" xr:uid="{00000000-0005-0000-0000-00008E000000}"/>
    <cellStyle name="Comma 6 2" xfId="249" xr:uid="{00000000-0005-0000-0000-00008F000000}"/>
    <cellStyle name="Comma 6 3" xfId="287" xr:uid="{00000000-0005-0000-0000-000090000000}"/>
    <cellStyle name="Comma 7" xfId="232" xr:uid="{00000000-0005-0000-0000-000091000000}"/>
    <cellStyle name="Comma_S6-C new (2) 2" xfId="233" xr:uid="{00000000-0005-0000-0000-000092000000}"/>
    <cellStyle name="Comma_Sch 3 - Acct 565 Rev 10-2008B 2" xfId="214" xr:uid="{00000000-0005-0000-0000-000093000000}"/>
    <cellStyle name="Comma0" xfId="2" xr:uid="{00000000-0005-0000-0000-000094000000}"/>
    <cellStyle name="Currency" xfId="3" builtinId="4"/>
    <cellStyle name="Currency 2" xfId="126" xr:uid="{00000000-0005-0000-0000-000096000000}"/>
    <cellStyle name="Currency 2 2" xfId="127" xr:uid="{00000000-0005-0000-0000-000097000000}"/>
    <cellStyle name="Currency 2 3" xfId="128" xr:uid="{00000000-0005-0000-0000-000098000000}"/>
    <cellStyle name="Currency 2 3 2" xfId="255" xr:uid="{00000000-0005-0000-0000-000099000000}"/>
    <cellStyle name="Currency 2 3 3" xfId="293" xr:uid="{00000000-0005-0000-0000-00009A000000}"/>
    <cellStyle name="Currency 3" xfId="129" xr:uid="{00000000-0005-0000-0000-00009B000000}"/>
    <cellStyle name="Currency 3 2" xfId="130" xr:uid="{00000000-0005-0000-0000-00009C000000}"/>
    <cellStyle name="Currency 3 2 2" xfId="131" xr:uid="{00000000-0005-0000-0000-00009D000000}"/>
    <cellStyle name="Currency 3 3" xfId="132" xr:uid="{00000000-0005-0000-0000-00009E000000}"/>
    <cellStyle name="Currency 3 3 2" xfId="133" xr:uid="{00000000-0005-0000-0000-00009F000000}"/>
    <cellStyle name="Currency 3 4" xfId="134" xr:uid="{00000000-0005-0000-0000-0000A0000000}"/>
    <cellStyle name="Currency 4" xfId="135" xr:uid="{00000000-0005-0000-0000-0000A1000000}"/>
    <cellStyle name="Currency 4 2" xfId="136" xr:uid="{00000000-0005-0000-0000-0000A2000000}"/>
    <cellStyle name="Currency 5" xfId="137" xr:uid="{00000000-0005-0000-0000-0000A3000000}"/>
    <cellStyle name="Currency 5 2" xfId="138" xr:uid="{00000000-0005-0000-0000-0000A4000000}"/>
    <cellStyle name="Currency 6" xfId="139" xr:uid="{00000000-0005-0000-0000-0000A5000000}"/>
    <cellStyle name="Currency 6 2" xfId="140" xr:uid="{00000000-0005-0000-0000-0000A6000000}"/>
    <cellStyle name="Currency 7" xfId="55" xr:uid="{00000000-0005-0000-0000-0000A7000000}"/>
    <cellStyle name="Currency 7 2" xfId="250" xr:uid="{00000000-0005-0000-0000-0000A8000000}"/>
    <cellStyle name="Currency 7 3" xfId="288" xr:uid="{00000000-0005-0000-0000-0000A9000000}"/>
    <cellStyle name="Currency 8" xfId="218" xr:uid="{00000000-0005-0000-0000-0000AA000000}"/>
    <cellStyle name="Currency 8 2" xfId="260" xr:uid="{00000000-0005-0000-0000-0000AB000000}"/>
    <cellStyle name="Currency 9" xfId="234" xr:uid="{00000000-0005-0000-0000-0000AC000000}"/>
    <cellStyle name="Currency0" xfId="4" xr:uid="{00000000-0005-0000-0000-0000AD000000}"/>
    <cellStyle name="Date" xfId="5" xr:uid="{00000000-0005-0000-0000-0000AE000000}"/>
    <cellStyle name="Date 2" xfId="141" xr:uid="{00000000-0005-0000-0000-0000AF000000}"/>
    <cellStyle name="Date 2 2" xfId="142" xr:uid="{00000000-0005-0000-0000-0000B0000000}"/>
    <cellStyle name="Date 2 3" xfId="143" xr:uid="{00000000-0005-0000-0000-0000B1000000}"/>
    <cellStyle name="Date 2 3 2" xfId="144" xr:uid="{00000000-0005-0000-0000-0000B2000000}"/>
    <cellStyle name="Date 3" xfId="61" xr:uid="{00000000-0005-0000-0000-0000B3000000}"/>
    <cellStyle name="Explanatory Text" xfId="28" builtinId="53" customBuiltin="1"/>
    <cellStyle name="Explanatory Text 2" xfId="145" xr:uid="{00000000-0005-0000-0000-0000B5000000}"/>
    <cellStyle name="Fixed" xfId="6" xr:uid="{00000000-0005-0000-0000-0000B6000000}"/>
    <cellStyle name="Fixed 2" xfId="146" xr:uid="{00000000-0005-0000-0000-0000B7000000}"/>
    <cellStyle name="Fixed 2 2" xfId="147" xr:uid="{00000000-0005-0000-0000-0000B8000000}"/>
    <cellStyle name="Fixed 2 3" xfId="148" xr:uid="{00000000-0005-0000-0000-0000B9000000}"/>
    <cellStyle name="Fixed 2 3 2" xfId="149" xr:uid="{00000000-0005-0000-0000-0000BA000000}"/>
    <cellStyle name="Fixed 3" xfId="62" xr:uid="{00000000-0005-0000-0000-0000BB000000}"/>
    <cellStyle name="Good" xfId="19" builtinId="26" customBuiltin="1"/>
    <cellStyle name="Good 2" xfId="150" xr:uid="{00000000-0005-0000-0000-0000BD000000}"/>
    <cellStyle name="Good 2 2" xfId="151" xr:uid="{00000000-0005-0000-0000-0000BE000000}"/>
    <cellStyle name="Heading 1" xfId="15" builtinId="16" customBuiltin="1"/>
    <cellStyle name="Heading 1 2" xfId="152" xr:uid="{00000000-0005-0000-0000-0000C0000000}"/>
    <cellStyle name="Heading 2" xfId="16" builtinId="17" customBuiltin="1"/>
    <cellStyle name="Heading 2 2" xfId="153" xr:uid="{00000000-0005-0000-0000-0000C2000000}"/>
    <cellStyle name="Heading 3" xfId="17" builtinId="18" customBuiltin="1"/>
    <cellStyle name="Heading 3 2" xfId="154" xr:uid="{00000000-0005-0000-0000-0000C4000000}"/>
    <cellStyle name="Heading 4" xfId="18" builtinId="19" customBuiltin="1"/>
    <cellStyle name="Heading 4 2" xfId="155" xr:uid="{00000000-0005-0000-0000-0000C6000000}"/>
    <cellStyle name="HEADING1" xfId="7" xr:uid="{00000000-0005-0000-0000-0000C7000000}"/>
    <cellStyle name="HEADING1 2" xfId="156" xr:uid="{00000000-0005-0000-0000-0000C8000000}"/>
    <cellStyle name="HEADING1 2 2" xfId="157" xr:uid="{00000000-0005-0000-0000-0000C9000000}"/>
    <cellStyle name="HEADING1 2 3" xfId="158" xr:uid="{00000000-0005-0000-0000-0000CA000000}"/>
    <cellStyle name="HEADING1 2 3 2" xfId="159" xr:uid="{00000000-0005-0000-0000-0000CB000000}"/>
    <cellStyle name="HEADING1 3" xfId="63" xr:uid="{00000000-0005-0000-0000-0000CC000000}"/>
    <cellStyle name="HEADING2" xfId="8" xr:uid="{00000000-0005-0000-0000-0000CD000000}"/>
    <cellStyle name="Input" xfId="22" builtinId="20" customBuiltin="1"/>
    <cellStyle name="Input 2" xfId="160" xr:uid="{00000000-0005-0000-0000-0000CF000000}"/>
    <cellStyle name="Linked Cell" xfId="25" builtinId="24" customBuiltin="1"/>
    <cellStyle name="Linked Cell 2" xfId="161" xr:uid="{00000000-0005-0000-0000-0000D1000000}"/>
    <cellStyle name="Neutral" xfId="21" builtinId="28" customBuiltin="1"/>
    <cellStyle name="Neutral 2" xfId="162" xr:uid="{00000000-0005-0000-0000-0000D3000000}"/>
    <cellStyle name="Neutral 2 2" xfId="163" xr:uid="{00000000-0005-0000-0000-0000D4000000}"/>
    <cellStyle name="Normal" xfId="0" builtinId="0"/>
    <cellStyle name="Normal 10" xfId="217" xr:uid="{00000000-0005-0000-0000-0000D6000000}"/>
    <cellStyle name="Normal 10 2" xfId="259" xr:uid="{00000000-0005-0000-0000-0000D7000000}"/>
    <cellStyle name="Normal 2" xfId="59" xr:uid="{00000000-0005-0000-0000-0000D8000000}"/>
    <cellStyle name="Normal 2 2" xfId="164" xr:uid="{00000000-0005-0000-0000-0000D9000000}"/>
    <cellStyle name="Normal 2 2 2" xfId="165" xr:uid="{00000000-0005-0000-0000-0000DA000000}"/>
    <cellStyle name="Normal 2 2 3" xfId="166" xr:uid="{00000000-0005-0000-0000-0000DB000000}"/>
    <cellStyle name="Normal 2 2 3 2" xfId="167" xr:uid="{00000000-0005-0000-0000-0000DC000000}"/>
    <cellStyle name="Normal 2 3" xfId="168" xr:uid="{00000000-0005-0000-0000-0000DD000000}"/>
    <cellStyle name="Normal 2 3 2" xfId="256" xr:uid="{00000000-0005-0000-0000-0000DE000000}"/>
    <cellStyle name="Normal 2 3 3" xfId="294" xr:uid="{00000000-0005-0000-0000-0000DF000000}"/>
    <cellStyle name="Normal 2 4" xfId="169" xr:uid="{00000000-0005-0000-0000-0000E0000000}"/>
    <cellStyle name="Normal 2 5" xfId="170" xr:uid="{00000000-0005-0000-0000-0000E1000000}"/>
    <cellStyle name="Normal 3" xfId="171" xr:uid="{00000000-0005-0000-0000-0000E2000000}"/>
    <cellStyle name="Normal 3 2" xfId="172" xr:uid="{00000000-0005-0000-0000-0000E3000000}"/>
    <cellStyle name="Normal 3 2 2" xfId="173" xr:uid="{00000000-0005-0000-0000-0000E4000000}"/>
    <cellStyle name="Normal 3 3" xfId="12" xr:uid="{00000000-0005-0000-0000-0000E5000000}"/>
    <cellStyle name="Normal 3 4" xfId="174" xr:uid="{00000000-0005-0000-0000-0000E6000000}"/>
    <cellStyle name="Normal 3 4 2" xfId="257" xr:uid="{00000000-0005-0000-0000-0000E7000000}"/>
    <cellStyle name="Normal 3 4 3" xfId="295" xr:uid="{00000000-0005-0000-0000-0000E8000000}"/>
    <cellStyle name="Normal 3 5" xfId="175" xr:uid="{00000000-0005-0000-0000-0000E9000000}"/>
    <cellStyle name="Normal 4" xfId="176" xr:uid="{00000000-0005-0000-0000-0000EA000000}"/>
    <cellStyle name="Normal 4 2" xfId="177" xr:uid="{00000000-0005-0000-0000-0000EB000000}"/>
    <cellStyle name="Normal 4 2 2" xfId="178" xr:uid="{00000000-0005-0000-0000-0000EC000000}"/>
    <cellStyle name="Normal 4 2 3" xfId="179" xr:uid="{00000000-0005-0000-0000-0000ED000000}"/>
    <cellStyle name="Normal 4 3" xfId="180" xr:uid="{00000000-0005-0000-0000-0000EE000000}"/>
    <cellStyle name="Normal 4 4" xfId="181" xr:uid="{00000000-0005-0000-0000-0000EF000000}"/>
    <cellStyle name="Normal 5" xfId="182" xr:uid="{00000000-0005-0000-0000-0000F0000000}"/>
    <cellStyle name="Normal 5 2" xfId="183" xr:uid="{00000000-0005-0000-0000-0000F1000000}"/>
    <cellStyle name="Normal 6" xfId="184" xr:uid="{00000000-0005-0000-0000-0000F2000000}"/>
    <cellStyle name="Normal 7" xfId="185" xr:uid="{00000000-0005-0000-0000-0000F3000000}"/>
    <cellStyle name="Normal 7 2" xfId="186" xr:uid="{00000000-0005-0000-0000-0000F4000000}"/>
    <cellStyle name="Normal 8" xfId="187" xr:uid="{00000000-0005-0000-0000-0000F5000000}"/>
    <cellStyle name="Normal 8 2" xfId="188" xr:uid="{00000000-0005-0000-0000-0000F6000000}"/>
    <cellStyle name="Normal 9" xfId="53" xr:uid="{00000000-0005-0000-0000-0000F7000000}"/>
    <cellStyle name="Normal 9 2" xfId="216" xr:uid="{00000000-0005-0000-0000-0000F8000000}"/>
    <cellStyle name="Normal 9 3" xfId="248" xr:uid="{00000000-0005-0000-0000-0000F9000000}"/>
    <cellStyle name="Normal 9 4" xfId="286" xr:uid="{00000000-0005-0000-0000-0000FA000000}"/>
    <cellStyle name="Normal_S6-C new (2)" xfId="9" xr:uid="{00000000-0005-0000-0000-0000FB000000}"/>
    <cellStyle name="Normal_Sch 3 - Acct 565 Rev 10-2008B 2" xfId="215" xr:uid="{00000000-0005-0000-0000-0000FC000000}"/>
    <cellStyle name="Note 2" xfId="189" xr:uid="{00000000-0005-0000-0000-0000FD000000}"/>
    <cellStyle name="Note 3" xfId="57" xr:uid="{00000000-0005-0000-0000-0000FE000000}"/>
    <cellStyle name="Note 3 2" xfId="252" xr:uid="{00000000-0005-0000-0000-0000FF000000}"/>
    <cellStyle name="Note 3 3" xfId="290" xr:uid="{00000000-0005-0000-0000-000000010000}"/>
    <cellStyle name="Note 4" xfId="219" xr:uid="{00000000-0005-0000-0000-000001010000}"/>
    <cellStyle name="Note 4 2" xfId="261" xr:uid="{00000000-0005-0000-0000-000002010000}"/>
    <cellStyle name="Output" xfId="23" builtinId="21" customBuiltin="1"/>
    <cellStyle name="Output 2" xfId="190" xr:uid="{00000000-0005-0000-0000-000004010000}"/>
    <cellStyle name="Percent" xfId="10" builtinId="5"/>
    <cellStyle name="Percent 2" xfId="64" xr:uid="{00000000-0005-0000-0000-000006010000}"/>
    <cellStyle name="Percent 2 2" xfId="191" xr:uid="{00000000-0005-0000-0000-000007010000}"/>
    <cellStyle name="Percent 2 2 2" xfId="192" xr:uid="{00000000-0005-0000-0000-000008010000}"/>
    <cellStyle name="Percent 2 2 3" xfId="193" xr:uid="{00000000-0005-0000-0000-000009010000}"/>
    <cellStyle name="Percent 2 2 3 2" xfId="194" xr:uid="{00000000-0005-0000-0000-00000A010000}"/>
    <cellStyle name="Percent 2 3" xfId="195" xr:uid="{00000000-0005-0000-0000-00000B010000}"/>
    <cellStyle name="Percent 2 3 2" xfId="258" xr:uid="{00000000-0005-0000-0000-00000C010000}"/>
    <cellStyle name="Percent 2 3 3" xfId="296" xr:uid="{00000000-0005-0000-0000-00000D010000}"/>
    <cellStyle name="Percent 2 4" xfId="196" xr:uid="{00000000-0005-0000-0000-00000E010000}"/>
    <cellStyle name="Percent 3" xfId="197" xr:uid="{00000000-0005-0000-0000-00000F010000}"/>
    <cellStyle name="Percent 3 2" xfId="198" xr:uid="{00000000-0005-0000-0000-000010010000}"/>
    <cellStyle name="Percent 3 2 2" xfId="199" xr:uid="{00000000-0005-0000-0000-000011010000}"/>
    <cellStyle name="Percent 3 3" xfId="200" xr:uid="{00000000-0005-0000-0000-000012010000}"/>
    <cellStyle name="Percent 3 3 2" xfId="201" xr:uid="{00000000-0005-0000-0000-000013010000}"/>
    <cellStyle name="Percent 3 4" xfId="202" xr:uid="{00000000-0005-0000-0000-000014010000}"/>
    <cellStyle name="Percent 4" xfId="203" xr:uid="{00000000-0005-0000-0000-000015010000}"/>
    <cellStyle name="Percent 4 2" xfId="204" xr:uid="{00000000-0005-0000-0000-000016010000}"/>
    <cellStyle name="Percent 5" xfId="205" xr:uid="{00000000-0005-0000-0000-000017010000}"/>
    <cellStyle name="Percent 5 2" xfId="206" xr:uid="{00000000-0005-0000-0000-000018010000}"/>
    <cellStyle name="Percent 6" xfId="56" xr:uid="{00000000-0005-0000-0000-000019010000}"/>
    <cellStyle name="Percent 6 2" xfId="251" xr:uid="{00000000-0005-0000-0000-00001A010000}"/>
    <cellStyle name="Percent 6 3" xfId="289" xr:uid="{00000000-0005-0000-0000-00001B010000}"/>
    <cellStyle name="Percent 7" xfId="235" xr:uid="{00000000-0005-0000-0000-00001C010000}"/>
    <cellStyle name="STYLE1" xfId="65" xr:uid="{00000000-0005-0000-0000-00001D010000}"/>
    <cellStyle name="STYLE1 2" xfId="207" xr:uid="{00000000-0005-0000-0000-00001E010000}"/>
    <cellStyle name="STYLE1 2 2" xfId="208" xr:uid="{00000000-0005-0000-0000-00001F010000}"/>
    <cellStyle name="STYLE1 3" xfId="209" xr:uid="{00000000-0005-0000-0000-000020010000}"/>
    <cellStyle name="Title" xfId="14" builtinId="15" customBuiltin="1"/>
    <cellStyle name="Title 2" xfId="210" xr:uid="{00000000-0005-0000-0000-000022010000}"/>
    <cellStyle name="Total" xfId="11" builtinId="25" customBuiltin="1"/>
    <cellStyle name="Total 2" xfId="211" xr:uid="{00000000-0005-0000-0000-000024010000}"/>
    <cellStyle name="Total 3" xfId="212" xr:uid="{00000000-0005-0000-0000-000025010000}"/>
    <cellStyle name="Total 4" xfId="58" xr:uid="{00000000-0005-0000-0000-000026010000}"/>
    <cellStyle name="Warning Text" xfId="27" builtinId="11" customBuiltin="1"/>
    <cellStyle name="Warning Text 2" xfId="213" xr:uid="{00000000-0005-0000-0000-00002801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FFCCFF"/>
      <color rgb="FF66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externalLink" Target="externalLinks/externalLink2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Chart of Major Items of Change From Test Year</a:t>
            </a:r>
          </a:p>
        </c:rich>
      </c:tx>
      <c:layout>
        <c:manualLayout>
          <c:xMode val="edge"/>
          <c:yMode val="edge"/>
          <c:x val="0.14071179040542153"/>
          <c:y val="2.6936072640012963E-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7.5117246614732541E-2"/>
          <c:y val="9.5504601934594369E-2"/>
          <c:w val="0.93236016082265227"/>
          <c:h val="0.44278884208844721"/>
        </c:manualLayout>
      </c:layout>
      <c:barChart>
        <c:barDir val="col"/>
        <c:grouping val="clustered"/>
        <c:varyColors val="0"/>
        <c:ser>
          <c:idx val="1"/>
          <c:order val="0"/>
          <c:tx>
            <c:strRef>
              <c:f>'S1A Chart of Major Items'!$B$31</c:f>
              <c:strCache>
                <c:ptCount val="1"/>
                <c:pt idx="0">
                  <c:v>%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69FF-4962-ADE5-7E94B333CBCD}"/>
              </c:ext>
            </c:extLst>
          </c:dPt>
          <c:dPt>
            <c:idx val="1"/>
            <c:invertIfNegative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69FF-4962-ADE5-7E94B333CBCD}"/>
              </c:ext>
            </c:extLst>
          </c:dPt>
          <c:dPt>
            <c:idx val="2"/>
            <c:invertIfNegative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69FF-4962-ADE5-7E94B333CBCD}"/>
              </c:ext>
            </c:extLst>
          </c:dPt>
          <c:dPt>
            <c:idx val="3"/>
            <c:invertIfNegative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69FF-4962-ADE5-7E94B333CBCD}"/>
              </c:ext>
            </c:extLst>
          </c:dPt>
          <c:dPt>
            <c:idx val="4"/>
            <c:invertIfNegative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9-69FF-4962-ADE5-7E94B333CBCD}"/>
              </c:ext>
            </c:extLst>
          </c:dPt>
          <c:cat>
            <c:strRef>
              <c:f>'S1A Chart of Major Items'!$A$32:$A$50</c:f>
              <c:strCache>
                <c:ptCount val="19"/>
                <c:pt idx="0">
                  <c:v>Net Tariff Increases</c:v>
                </c:pt>
                <c:pt idx="1">
                  <c:v>Maint/ Ops Storm Costs</c:v>
                </c:pt>
                <c:pt idx="2">
                  <c:v>Power Supply Costs</c:v>
                </c:pt>
                <c:pt idx="3">
                  <c:v>VELCO Dividend Income</c:v>
                </c:pt>
                <c:pt idx="4">
                  <c:v>SCADA &amp; DERMS Software</c:v>
                </c:pt>
                <c:pt idx="5">
                  <c:v>Right of Way Fees</c:v>
                </c:pt>
                <c:pt idx="6">
                  <c:v>Legal Fees</c:v>
                </c:pt>
                <c:pt idx="7">
                  <c:v>Risk Insurance</c:v>
                </c:pt>
                <c:pt idx="8">
                  <c:v>Gross Revenue Taxes</c:v>
                </c:pt>
                <c:pt idx="9">
                  <c:v>Transportation Costs</c:v>
                </c:pt>
                <c:pt idx="10">
                  <c:v>IT &amp; Communication Costs </c:v>
                </c:pt>
                <c:pt idx="11">
                  <c:v>Depreciation</c:v>
                </c:pt>
                <c:pt idx="12">
                  <c:v>Vegetative Maintenance</c:v>
                </c:pt>
                <c:pt idx="13">
                  <c:v>Asset Inspection &amp; Pole Testing</c:v>
                </c:pt>
                <c:pt idx="14">
                  <c:v>Interest Expense</c:v>
                </c:pt>
                <c:pt idx="15">
                  <c:v>Salary/Payroll + Benefits</c:v>
                </c:pt>
                <c:pt idx="16">
                  <c:v>Property Tax</c:v>
                </c:pt>
                <c:pt idx="17">
                  <c:v>Non-Recurring Grant Revenue</c:v>
                </c:pt>
                <c:pt idx="18">
                  <c:v>Transmission Costs</c:v>
                </c:pt>
              </c:strCache>
            </c:strRef>
          </c:cat>
          <c:val>
            <c:numRef>
              <c:f>'S1A Chart of Major Items'!$B$32:$B$50</c:f>
              <c:numCache>
                <c:formatCode>0.00%</c:formatCode>
                <c:ptCount val="19"/>
                <c:pt idx="0">
                  <c:v>-0.38475606154503678</c:v>
                </c:pt>
                <c:pt idx="1">
                  <c:v>-0.23092514838756414</c:v>
                </c:pt>
                <c:pt idx="2">
                  <c:v>-0.18229055165171715</c:v>
                </c:pt>
                <c:pt idx="3">
                  <c:v>-0.11584967151652224</c:v>
                </c:pt>
                <c:pt idx="4">
                  <c:v>-1.639194752062496E-2</c:v>
                </c:pt>
                <c:pt idx="5">
                  <c:v>4.6692039610267359E-3</c:v>
                </c:pt>
                <c:pt idx="6">
                  <c:v>6.7050717032023635E-3</c:v>
                </c:pt>
                <c:pt idx="7">
                  <c:v>1.3405823556462134E-2</c:v>
                </c:pt>
                <c:pt idx="8">
                  <c:v>1.6632957301824264E-2</c:v>
                </c:pt>
                <c:pt idx="9">
                  <c:v>2.3375926458582396E-2</c:v>
                </c:pt>
                <c:pt idx="10">
                  <c:v>3.3771421192294405E-2</c:v>
                </c:pt>
                <c:pt idx="11">
                  <c:v>5.069731808004025E-2</c:v>
                </c:pt>
                <c:pt idx="12">
                  <c:v>7.2044020504127948E-2</c:v>
                </c:pt>
                <c:pt idx="13">
                  <c:v>0.10593889233830613</c:v>
                </c:pt>
                <c:pt idx="14">
                  <c:v>0.16713462653783037</c:v>
                </c:pt>
                <c:pt idx="15">
                  <c:v>0.21865969545866029</c:v>
                </c:pt>
                <c:pt idx="16">
                  <c:v>0.26445447064739641</c:v>
                </c:pt>
                <c:pt idx="17">
                  <c:v>0.44838823541833656</c:v>
                </c:pt>
                <c:pt idx="18">
                  <c:v>0.50433571746337513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69FF-4962-ADE5-7E94B333CBC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-15"/>
        <c:axId val="1370332079"/>
        <c:axId val="1407686127"/>
        <c:extLst>
          <c:ext xmlns:c15="http://schemas.microsoft.com/office/drawing/2012/chart" uri="{02D57815-91ED-43cb-92C2-25804820EDAC}">
            <c15:filteredBarSeries>
              <c15:ser>
                <c:idx val="2"/>
                <c:order val="1"/>
                <c:tx>
                  <c:strRef>
                    <c:extLst>
                      <c:ext uri="{02D57815-91ED-43cb-92C2-25804820EDAC}">
                        <c15:formulaRef>
                          <c15:sqref>'S1A Chart of Major Items'!$C$31</c15:sqref>
                        </c15:formulaRef>
                      </c:ext>
                    </c:extLst>
                    <c:strCache>
                      <c:ptCount val="1"/>
                      <c:pt idx="0">
                        <c:v>Amount</c:v>
                      </c:pt>
                    </c:strCache>
                  </c:strRef>
                </c:tx>
                <c:spPr>
                  <a:solidFill>
                    <a:schemeClr val="accent1">
                      <a:shade val="65000"/>
                    </a:schemeClr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uri="{02D57815-91ED-43cb-92C2-25804820EDAC}">
                        <c15:formulaRef>
                          <c15:sqref>'S1A Chart of Major Items'!$A$32:$A$50</c15:sqref>
                        </c15:formulaRef>
                      </c:ext>
                    </c:extLst>
                    <c:strCache>
                      <c:ptCount val="19"/>
                      <c:pt idx="0">
                        <c:v>Net Tariff Increases</c:v>
                      </c:pt>
                      <c:pt idx="1">
                        <c:v>Maint/ Ops Storm Costs</c:v>
                      </c:pt>
                      <c:pt idx="2">
                        <c:v>Power Supply Costs</c:v>
                      </c:pt>
                      <c:pt idx="3">
                        <c:v>VELCO Dividend Income</c:v>
                      </c:pt>
                      <c:pt idx="4">
                        <c:v>SCADA &amp; DERMS Software</c:v>
                      </c:pt>
                      <c:pt idx="5">
                        <c:v>Right of Way Fees</c:v>
                      </c:pt>
                      <c:pt idx="6">
                        <c:v>Legal Fees</c:v>
                      </c:pt>
                      <c:pt idx="7">
                        <c:v>Risk Insurance</c:v>
                      </c:pt>
                      <c:pt idx="8">
                        <c:v>Gross Revenue Taxes</c:v>
                      </c:pt>
                      <c:pt idx="9">
                        <c:v>Transportation Costs</c:v>
                      </c:pt>
                      <c:pt idx="10">
                        <c:v>IT &amp; Communication Costs </c:v>
                      </c:pt>
                      <c:pt idx="11">
                        <c:v>Depreciation</c:v>
                      </c:pt>
                      <c:pt idx="12">
                        <c:v>Vegetative Maintenance</c:v>
                      </c:pt>
                      <c:pt idx="13">
                        <c:v>Asset Inspection &amp; Pole Testing</c:v>
                      </c:pt>
                      <c:pt idx="14">
                        <c:v>Interest Expense</c:v>
                      </c:pt>
                      <c:pt idx="15">
                        <c:v>Salary/Payroll + Benefits</c:v>
                      </c:pt>
                      <c:pt idx="16">
                        <c:v>Property Tax</c:v>
                      </c:pt>
                      <c:pt idx="17">
                        <c:v>Non-Recurring Grant Revenue</c:v>
                      </c:pt>
                      <c:pt idx="18">
                        <c:v>Transmission Costs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'S1A Chart of Major Items'!$C$32:$C$50</c15:sqref>
                        </c15:formulaRef>
                      </c:ext>
                    </c:extLst>
                    <c:numCache>
                      <c:formatCode>#,##0_);\(#,##0\)</c:formatCode>
                      <c:ptCount val="19"/>
                      <c:pt idx="0">
                        <c:v>-1736806.4399999992</c:v>
                      </c:pt>
                      <c:pt idx="1">
                        <c:v>-1042406.67</c:v>
                      </c:pt>
                      <c:pt idx="2">
                        <c:v>-822867.87838635664</c:v>
                      </c:pt>
                      <c:pt idx="3">
                        <c:v>-522950.70999999903</c:v>
                      </c:pt>
                      <c:pt idx="4">
                        <c:v>-73994</c:v>
                      </c:pt>
                      <c:pt idx="5" formatCode="#,##0_);[Red]\(#,##0\)">
                        <c:v>21077</c:v>
                      </c:pt>
                      <c:pt idx="6" formatCode="#,##0_);[Red]\(#,##0\)">
                        <c:v>30267</c:v>
                      </c:pt>
                      <c:pt idx="7" formatCode="#,##0_);[Red]\(#,##0\)">
                        <c:v>60514.5</c:v>
                      </c:pt>
                      <c:pt idx="8" formatCode="#,##0_);[Red]\(#,##0\)">
                        <c:v>75081.929163244509</c:v>
                      </c:pt>
                      <c:pt idx="9" formatCode="#,##0_);[Red]\(#,##0\)">
                        <c:v>105520</c:v>
                      </c:pt>
                      <c:pt idx="10" formatCode="#,##0_);[Red]\(#,##0\)">
                        <c:v>152445.73816249991</c:v>
                      </c:pt>
                      <c:pt idx="11" formatCode="#,##0_);[Red]\(#,##0\)">
                        <c:v>228850.01000000007</c:v>
                      </c:pt>
                      <c:pt idx="12" formatCode="#,##0_);[Red]\(#,##0\)">
                        <c:v>325210</c:v>
                      </c:pt>
                      <c:pt idx="13" formatCode="#,##0_);[Red]\(#,##0\)">
                        <c:v>478213</c:v>
                      </c:pt>
                      <c:pt idx="14" formatCode="#,##0_);[Red]\(#,##0\)">
                        <c:v>754453.34000000008</c:v>
                      </c:pt>
                      <c:pt idx="15" formatCode="#,##0_);[Red]\(#,##0\)">
                        <c:v>987039.85511242354</c:v>
                      </c:pt>
                      <c:pt idx="16" formatCode="#,##0_);[Red]\(#,##0\)">
                        <c:v>1193759.5625206954</c:v>
                      </c:pt>
                      <c:pt idx="17" formatCode="#,##0_);[Red]\(#,##0\)">
                        <c:v>2024044.98</c:v>
                      </c:pt>
                      <c:pt idx="18" formatCode="#,##0_);[Red]\(#,##0\)">
                        <c:v>2276594.4699999993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B-69FF-4962-ADE5-7E94B333CBCD}"/>
                  </c:ext>
                </c:extLst>
              </c15:ser>
            </c15:filteredBarSeries>
          </c:ext>
        </c:extLst>
      </c:barChart>
      <c:catAx>
        <c:axId val="1370332079"/>
        <c:scaling>
          <c:orientation val="minMax"/>
        </c:scaling>
        <c:delete val="0"/>
        <c:axPos val="b"/>
        <c:majorGridlines>
          <c:spPr>
            <a:ln w="22225" cap="flat" cmpd="sng" algn="ctr">
              <a:solidFill>
                <a:schemeClr val="tx1">
                  <a:alpha val="18000"/>
                </a:schemeClr>
              </a:solidFill>
              <a:prstDash val="solid"/>
              <a:round/>
            </a:ln>
            <a:effectLst/>
          </c:spPr>
        </c:majorGridlines>
        <c:numFmt formatCode="0.00%" sourceLinked="0"/>
        <c:majorTickMark val="none"/>
        <c:minorTickMark val="none"/>
        <c:tickLblPos val="low"/>
        <c:spPr>
          <a:noFill/>
          <a:ln w="3175" cap="flat" cmpd="sng" algn="ctr">
            <a:solidFill>
              <a:schemeClr val="accent1">
                <a:lumMod val="60000"/>
                <a:lumOff val="40000"/>
              </a:schemeClr>
            </a:solidFill>
            <a:prstDash val="solid"/>
            <a:round/>
          </a:ln>
          <a:effectLst/>
        </c:spPr>
        <c:txPr>
          <a:bodyPr rot="-3600000" spcFirstLastPara="1" vertOverflow="ellipsis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07686127"/>
        <c:crosses val="autoZero"/>
        <c:auto val="1"/>
        <c:lblAlgn val="ctr"/>
        <c:lblOffset val="50"/>
        <c:noMultiLvlLbl val="0"/>
      </c:catAx>
      <c:valAx>
        <c:axId val="1407686127"/>
        <c:scaling>
          <c:orientation val="minMax"/>
          <c:max val="0.55000000000000004"/>
          <c:min val="-0.45"/>
        </c:scaling>
        <c:delete val="0"/>
        <c:axPos val="l"/>
        <c:numFmt formatCode="0.00%" sourceLinked="1"/>
        <c:majorTickMark val="none"/>
        <c:minorTickMark val="none"/>
        <c:tickLblPos val="nextTo"/>
        <c:spPr>
          <a:noFill/>
          <a:ln w="9525" cap="flat" cmpd="sng" algn="ctr">
            <a:noFill/>
            <a:prstDash val="solid"/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70332079"/>
        <c:crosses val="autoZero"/>
        <c:crossBetween val="between"/>
      </c:valAx>
      <c:spPr>
        <a:noFill/>
        <a:ln w="19050">
          <a:solidFill>
            <a:schemeClr val="tx1"/>
          </a:solidFill>
        </a:ln>
        <a:effectLst/>
      </c:spPr>
    </c:plotArea>
    <c:plotVisOnly val="1"/>
    <c:dispBlanksAs val="gap"/>
    <c:showDLblsOverMax val="0"/>
    <c:extLst/>
  </c:chart>
  <c:spPr>
    <a:solidFill>
      <a:schemeClr val="bg1">
        <a:lumMod val="85000"/>
      </a:schemeClr>
    </a:solidFill>
    <a:ln w="31750" cap="flat" cmpd="sng" algn="ctr">
      <a:solidFill>
        <a:schemeClr val="tx1"/>
      </a:solidFill>
      <a:prstDash val="solid"/>
      <a:round/>
    </a:ln>
    <a:effectLst/>
  </c:spPr>
  <c:txPr>
    <a:bodyPr rot="0" vert="horz"/>
    <a:lstStyle/>
    <a:p>
      <a:pPr>
        <a:defRPr>
          <a:solidFill>
            <a:sysClr val="windowText" lastClr="000000"/>
          </a:solidFill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Reversed" id="21">
  <a:schemeClr val="accent1"/>
</cs:colorStyle>
</file>

<file path=xl/charts/style1.xml><?xml version="1.0" encoding="utf-8"?>
<cs:chartStyle xmlns:cs="http://schemas.microsoft.com/office/drawing/2012/chartStyle" xmlns:a="http://schemas.openxmlformats.org/drawingml/2006/main" id="102">
  <cs:axisTitle>
    <cs:lnRef idx="0"/>
    <cs:fillRef idx="0"/>
    <cs:effectRef idx="0"/>
    <cs:fontRef idx="minor">
      <a:schemeClr val="tx1"/>
    </cs:fontRef>
    <cs:defRPr sz="1000" b="1" kern="1200"/>
  </cs:axisTitle>
  <cs:category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categoryAxis>
  <cs:chartArea mods="allowNoFillOverride allowNoLineOverride">
    <cs:lnRef idx="1">
      <a:schemeClr val="tx1">
        <a:tint val="75000"/>
      </a:schemeClr>
    </cs:lnRef>
    <cs:fillRef idx="1">
      <a:schemeClr val="bg1"/>
    </cs:fillRef>
    <cs:effectRef idx="0"/>
    <cs:fontRef idx="minor">
      <a:schemeClr val="tx1"/>
    </cs:fontRef>
    <cs:spPr>
      <a:ln>
        <a:round/>
      </a:ln>
    </cs:spPr>
    <cs:defRPr sz="1000" kern="1200"/>
  </cs:chartArea>
  <cs:dataLabel>
    <cs:lnRef idx="0"/>
    <cs:fillRef idx="0"/>
    <cs:effectRef idx="0"/>
    <cs:fontRef idx="minor">
      <a:schemeClr val="tx1"/>
    </cs:fontRef>
    <cs:defRPr sz="1000" kern="1200"/>
  </cs:dataLabel>
  <cs:dataLabelCallout>
    <cs:lnRef idx="0"/>
    <cs:fillRef idx="0"/>
    <cs:effectRef idx="0"/>
    <cs:fontRef idx="minor">
      <a:schemeClr val="dk1"/>
    </cs:fontRef>
    <cs:spPr>
      <a:solidFill>
        <a:schemeClr val="lt1"/>
      </a:solidFill>
      <a:ln>
        <a:solidFill>
          <a:schemeClr val="dk1">
            <a:lumMod val="65000"/>
            <a:lumOff val="35000"/>
          </a:schemeClr>
        </a:solidFill>
      </a:ln>
    </cs:spPr>
    <cs:defRPr sz="1000" kern="1200"/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1">
      <cs:styleClr val="auto"/>
    </cs:lnRef>
    <cs:lineWidthScale>3</cs:lineWidthScale>
    <cs:fillRef idx="0"/>
    <cs:effectRef idx="0"/>
    <cs:fontRef idx="minor">
      <a:schemeClr val="tx1"/>
    </cs:fontRef>
    <cs:spPr>
      <a:ln cap="rnd">
        <a:round/>
      </a:ln>
    </cs:spPr>
  </cs:dataPointLine>
  <cs:dataPointMarker>
    <cs:lnRef idx="1">
      <cs:styleClr val="auto"/>
    </cs:lnRef>
    <cs:fillRef idx="1">
      <cs:styleClr val="auto"/>
    </cs:fillRef>
    <cs:effectRef idx="0"/>
    <cs:fontRef idx="minor">
      <a:schemeClr val="tx1"/>
    </cs:fontRef>
    <cs:spPr>
      <a:ln>
        <a:round/>
      </a:ln>
    </cs:spPr>
  </cs:dataPointMarker>
  <cs:dataPointMarkerLayout/>
  <cs:dataPointWireframe>
    <cs:lnRef idx="1">
      <cs:styleClr val="auto"/>
    </cs:lnRef>
    <cs:fillRef idx="0"/>
    <cs:effectRef idx="0"/>
    <cs:fontRef idx="minor">
      <a:schemeClr val="tx1"/>
    </cs:fontRef>
    <cs:spPr>
      <a:ln>
        <a:round/>
      </a:ln>
    </cs:spPr>
  </cs:dataPointWireframe>
  <cs:dataTable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dataTable>
  <cs:downBar>
    <cs:lnRef idx="1">
      <a:schemeClr val="tx1"/>
    </cs:lnRef>
    <cs:fillRef idx="1">
      <a:schemeClr val="dk1">
        <a:tint val="95000"/>
      </a:schemeClr>
    </cs:fillRef>
    <cs:effectRef idx="0"/>
    <cs:fontRef idx="minor">
      <a:schemeClr val="tx1"/>
    </cs:fontRef>
    <cs:spPr>
      <a:ln>
        <a:round/>
      </a:ln>
    </cs:spPr>
  </cs:downBar>
  <cs:drop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dropLine>
  <cs:errorBar>
    <cs:lnRef idx="1">
      <a:schemeClr val="tx1"/>
    </cs:lnRef>
    <cs:fillRef idx="1">
      <a:schemeClr val="tx1"/>
    </cs:fillRef>
    <cs:effectRef idx="0"/>
    <cs:fontRef idx="minor">
      <a:schemeClr val="tx1"/>
    </cs:fontRef>
    <cs:spPr>
      <a:ln>
        <a:round/>
      </a:ln>
    </cs:spPr>
  </cs:errorBar>
  <cs:flo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floor>
  <cs:gridlineMaj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gridlineMajor>
  <cs:gridlineMinor>
    <cs:lnRef idx="1">
      <a:schemeClr val="tx1">
        <a:tint val="50000"/>
      </a:schemeClr>
    </cs:lnRef>
    <cs:fillRef idx="0"/>
    <cs:effectRef idx="0"/>
    <cs:fontRef idx="minor">
      <a:schemeClr val="tx1"/>
    </cs:fontRef>
    <cs:spPr>
      <a:ln>
        <a:round/>
      </a:ln>
    </cs:spPr>
  </cs:gridlineMinor>
  <cs:hiLo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hiLoLine>
  <cs:leader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leaderLine>
  <cs:legend>
    <cs:lnRef idx="0"/>
    <cs:fillRef idx="0"/>
    <cs:effectRef idx="0"/>
    <cs:fontRef idx="minor">
      <a:schemeClr val="tx1"/>
    </cs:fontRef>
    <cs:defRPr sz="1000" kern="1200"/>
  </cs:legend>
  <cs:plotArea mods="allowNoFillOverride allowNoLineOverride">
    <cs:lnRef idx="0"/>
    <cs:fillRef idx="1">
      <a:schemeClr val="bg1"/>
    </cs:fillRef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seriesAxis>
  <cs:series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seriesLine>
  <cs:title>
    <cs:lnRef idx="0"/>
    <cs:fillRef idx="0"/>
    <cs:effectRef idx="0"/>
    <cs:fontRef idx="minor">
      <a:schemeClr val="tx1"/>
    </cs:fontRef>
    <cs:defRPr sz="1800" b="1" kern="1200"/>
  </cs:title>
  <cs:trendline>
    <cs:lnRef idx="1">
      <a:schemeClr val="tx1"/>
    </cs:lnRef>
    <cs:fillRef idx="0"/>
    <cs:effectRef idx="0"/>
    <cs:fontRef idx="minor">
      <a:schemeClr val="tx1"/>
    </cs:fontRef>
    <cs:spPr>
      <a:ln cap="rnd">
        <a:round/>
      </a:ln>
    </cs:spPr>
  </cs:trendline>
  <cs:trendlineLabel>
    <cs:lnRef idx="0"/>
    <cs:fillRef idx="0"/>
    <cs:effectRef idx="0"/>
    <cs:fontRef idx="minor">
      <a:schemeClr val="tx1"/>
    </cs:fontRef>
    <cs:defRPr sz="1000" kern="1200"/>
  </cs:trendlineLabel>
  <cs:upBar>
    <cs:lnRef idx="1">
      <a:schemeClr val="tx1"/>
    </cs:lnRef>
    <cs:fillRef idx="1">
      <a:schemeClr val="dk1">
        <a:tint val="5000"/>
      </a:schemeClr>
    </cs:fillRef>
    <cs:effectRef idx="0"/>
    <cs:fontRef idx="minor">
      <a:schemeClr val="tx1"/>
    </cs:fontRef>
    <cs:spPr>
      <a:ln>
        <a:round/>
      </a:ln>
    </cs:spPr>
  </cs:upBar>
  <cs:value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514353</xdr:colOff>
      <xdr:row>4</xdr:row>
      <xdr:rowOff>19058</xdr:rowOff>
    </xdr:from>
    <xdr:to>
      <xdr:col>6</xdr:col>
      <xdr:colOff>723900</xdr:colOff>
      <xdr:row>24</xdr:row>
      <xdr:rowOff>47625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1CA2903B-C571-4803-AA09-217B0D7163B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Finance\Financials\2012\2012%2007%20July\2012%20July%20Financials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Finance\Budget%20&amp;%20Financial%20Forecasting\Budgets\Operating\2025%20Operating%20Budget\Operating\Support\Rate%20Case%20Master\VEC%20Master%20Schedules%202025%20Rate%20Case_V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come&amp;Analysis"/>
      <sheetName val="Assets"/>
      <sheetName val="Liab&amp;Equity"/>
      <sheetName val="CashFlow"/>
      <sheetName val="FA Roll"/>
      <sheetName val="F-6 IncMonth"/>
      <sheetName val="F-7 IncYTD"/>
      <sheetName val="F-8 Assets"/>
      <sheetName val="F-9 Liab&amp;Equity"/>
      <sheetName val="F-10 CashFlow"/>
      <sheetName val="Cash Flow Audit"/>
      <sheetName val="2012 Budget"/>
      <sheetName val="2008-2011 Assets"/>
      <sheetName val="2008-2011 Liab&amp;Equity"/>
      <sheetName val="2008-2011 Income"/>
      <sheetName val="2008-2011 Cash Flow"/>
      <sheetName val="01 JAN DATA"/>
      <sheetName val="02 FEB DATA"/>
      <sheetName val="03 MAR DATA"/>
      <sheetName val="04 APR DATA"/>
      <sheetName val="05 MAY DATA"/>
      <sheetName val="06 JUN DATA"/>
      <sheetName val="07 JUL DATA"/>
      <sheetName val="08 AUG DATA"/>
      <sheetName val="09 SEP DATA"/>
      <sheetName val="10 OCT DATA"/>
      <sheetName val="11 NOV DATA"/>
      <sheetName val="12 DEC DAT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6">
          <cell r="B6">
            <v>105</v>
          </cell>
        </row>
      </sheetData>
      <sheetData sheetId="13">
        <row r="6">
          <cell r="B6">
            <v>200.1</v>
          </cell>
        </row>
      </sheetData>
      <sheetData sheetId="14">
        <row r="6">
          <cell r="B6">
            <v>105</v>
          </cell>
        </row>
      </sheetData>
      <sheetData sheetId="15"/>
      <sheetData sheetId="16">
        <row r="1">
          <cell r="A1" t="str">
            <v>Account</v>
          </cell>
          <cell r="B1" t="str">
            <v>Description</v>
          </cell>
          <cell r="C1" t="str">
            <v>PTD Amount</v>
          </cell>
          <cell r="D1" t="str">
            <v>PTD Budget</v>
          </cell>
          <cell r="E1" t="str">
            <v>YTD Balance</v>
          </cell>
          <cell r="F1" t="str">
            <v>YTD Budget</v>
          </cell>
          <cell r="G1" t="str">
            <v>Type</v>
          </cell>
          <cell r="H1" t="str">
            <v>Category</v>
          </cell>
          <cell r="I1" t="str">
            <v>Beginning Balance</v>
          </cell>
          <cell r="J1" t="str">
            <v>Account Group</v>
          </cell>
          <cell r="K1" t="str">
            <v>Status</v>
          </cell>
          <cell r="L1" t="str">
            <v>Financial Form</v>
          </cell>
          <cell r="M1" t="str">
            <v>Line</v>
          </cell>
        </row>
        <row r="2">
          <cell r="A2">
            <v>100</v>
          </cell>
          <cell r="B2" t="str">
            <v>VOID CHECKS</v>
          </cell>
          <cell r="C2">
            <v>0</v>
          </cell>
          <cell r="D2">
            <v>0</v>
          </cell>
          <cell r="E2">
            <v>0</v>
          </cell>
          <cell r="F2">
            <v>0</v>
          </cell>
          <cell r="G2" t="str">
            <v>Asset</v>
          </cell>
          <cell r="I2">
            <v>0</v>
          </cell>
          <cell r="K2" t="str">
            <v>Active</v>
          </cell>
          <cell r="L2" t="str">
            <v>Balance Sheet</v>
          </cell>
          <cell r="M2">
            <v>15</v>
          </cell>
        </row>
        <row r="3">
          <cell r="A3">
            <v>101</v>
          </cell>
          <cell r="B3" t="str">
            <v>DUMMY ACCOUNT</v>
          </cell>
          <cell r="C3">
            <v>0</v>
          </cell>
          <cell r="D3">
            <v>0</v>
          </cell>
          <cell r="E3">
            <v>0</v>
          </cell>
          <cell r="F3">
            <v>0</v>
          </cell>
          <cell r="G3" t="str">
            <v>Asset</v>
          </cell>
          <cell r="I3">
            <v>0</v>
          </cell>
          <cell r="K3" t="str">
            <v>Active</v>
          </cell>
          <cell r="L3" t="str">
            <v>Balance Sheet</v>
          </cell>
          <cell r="M3">
            <v>1</v>
          </cell>
        </row>
        <row r="4">
          <cell r="A4">
            <v>105</v>
          </cell>
          <cell r="B4" t="str">
            <v>ELECTRIC PLANT HELD</v>
          </cell>
          <cell r="C4">
            <v>0</v>
          </cell>
          <cell r="D4">
            <v>0</v>
          </cell>
          <cell r="E4">
            <v>0</v>
          </cell>
          <cell r="F4">
            <v>0</v>
          </cell>
          <cell r="G4" t="str">
            <v>Asset</v>
          </cell>
          <cell r="I4">
            <v>0</v>
          </cell>
          <cell r="K4" t="str">
            <v>Active</v>
          </cell>
          <cell r="L4" t="str">
            <v>Balance Sheet</v>
          </cell>
          <cell r="M4">
            <v>1</v>
          </cell>
        </row>
        <row r="5">
          <cell r="A5">
            <v>106</v>
          </cell>
          <cell r="B5" t="str">
            <v>COMPLETED CONST NOT CLASSIFIED</v>
          </cell>
          <cell r="C5">
            <v>0</v>
          </cell>
          <cell r="D5">
            <v>0</v>
          </cell>
          <cell r="E5">
            <v>0</v>
          </cell>
          <cell r="F5">
            <v>0</v>
          </cell>
          <cell r="G5" t="str">
            <v>Asset</v>
          </cell>
          <cell r="I5">
            <v>0</v>
          </cell>
          <cell r="K5" t="str">
            <v>Active</v>
          </cell>
          <cell r="L5" t="str">
            <v>Balance Sheet</v>
          </cell>
          <cell r="M5">
            <v>1</v>
          </cell>
        </row>
        <row r="6">
          <cell r="A6">
            <v>106.11</v>
          </cell>
          <cell r="B6" t="str">
            <v>COMP CONST - NEW SERVICES</v>
          </cell>
          <cell r="C6">
            <v>0</v>
          </cell>
          <cell r="D6">
            <v>0</v>
          </cell>
          <cell r="E6">
            <v>0</v>
          </cell>
          <cell r="F6">
            <v>0</v>
          </cell>
          <cell r="G6" t="str">
            <v>Asset</v>
          </cell>
          <cell r="I6">
            <v>0</v>
          </cell>
          <cell r="K6" t="str">
            <v>Active</v>
          </cell>
          <cell r="L6" t="str">
            <v>Balance Sheet</v>
          </cell>
          <cell r="M6">
            <v>1</v>
          </cell>
        </row>
        <row r="7">
          <cell r="A7">
            <v>107</v>
          </cell>
          <cell r="B7" t="str">
            <v>CWIP - OVERHEADS</v>
          </cell>
          <cell r="C7">
            <v>0</v>
          </cell>
          <cell r="D7">
            <v>0</v>
          </cell>
          <cell r="E7">
            <v>0</v>
          </cell>
          <cell r="F7">
            <v>0</v>
          </cell>
          <cell r="G7" t="str">
            <v>Asset</v>
          </cell>
          <cell r="I7">
            <v>0</v>
          </cell>
          <cell r="K7" t="str">
            <v>Inactive</v>
          </cell>
          <cell r="L7" t="str">
            <v>Balance Sheet</v>
          </cell>
          <cell r="M7">
            <v>2</v>
          </cell>
        </row>
        <row r="8">
          <cell r="A8">
            <v>107.02</v>
          </cell>
          <cell r="B8" t="str">
            <v>CWIP - OVERHEADS FIBER</v>
          </cell>
          <cell r="C8">
            <v>0</v>
          </cell>
          <cell r="D8">
            <v>0</v>
          </cell>
          <cell r="E8">
            <v>0</v>
          </cell>
          <cell r="F8">
            <v>0</v>
          </cell>
          <cell r="G8" t="str">
            <v>Asset</v>
          </cell>
          <cell r="I8">
            <v>0</v>
          </cell>
          <cell r="K8" t="str">
            <v>Inactive</v>
          </cell>
          <cell r="L8" t="str">
            <v>Balance Sheet</v>
          </cell>
          <cell r="M8">
            <v>2</v>
          </cell>
        </row>
        <row r="9">
          <cell r="A9">
            <v>107.11</v>
          </cell>
          <cell r="B9" t="str">
            <v>CWIP - W/O #DOE MV-90 (12/10 ACCRUAL)</v>
          </cell>
          <cell r="C9">
            <v>0</v>
          </cell>
          <cell r="D9">
            <v>0</v>
          </cell>
          <cell r="E9">
            <v>0</v>
          </cell>
          <cell r="F9">
            <v>0</v>
          </cell>
          <cell r="G9" t="str">
            <v>Asset</v>
          </cell>
          <cell r="I9">
            <v>0</v>
          </cell>
          <cell r="K9" t="str">
            <v>Active</v>
          </cell>
          <cell r="L9" t="str">
            <v>Balance Sheet</v>
          </cell>
          <cell r="M9">
            <v>2</v>
          </cell>
        </row>
        <row r="10">
          <cell r="A10">
            <v>107.12</v>
          </cell>
          <cell r="B10" t="str">
            <v>CWIP-GRANT REIMBURSEMENT Y/E</v>
          </cell>
          <cell r="C10">
            <v>68186.89</v>
          </cell>
          <cell r="D10">
            <v>0</v>
          </cell>
          <cell r="E10">
            <v>0</v>
          </cell>
          <cell r="F10">
            <v>0</v>
          </cell>
          <cell r="G10" t="str">
            <v>Asset</v>
          </cell>
          <cell r="I10">
            <v>-68186.89</v>
          </cell>
          <cell r="K10" t="str">
            <v>Active</v>
          </cell>
          <cell r="L10" t="str">
            <v>Balance Sheet</v>
          </cell>
          <cell r="M10">
            <v>2</v>
          </cell>
        </row>
        <row r="11">
          <cell r="A11">
            <v>107.13</v>
          </cell>
          <cell r="B11" t="str">
            <v>CWIP-SCADA EAST BERKSHIRE R-61</v>
          </cell>
          <cell r="C11">
            <v>0</v>
          </cell>
          <cell r="D11">
            <v>0</v>
          </cell>
          <cell r="E11">
            <v>0</v>
          </cell>
          <cell r="F11">
            <v>0</v>
          </cell>
          <cell r="G11" t="str">
            <v>Asset</v>
          </cell>
          <cell r="I11">
            <v>0</v>
          </cell>
          <cell r="K11" t="str">
            <v>Active</v>
          </cell>
          <cell r="L11" t="str">
            <v>Balance Sheet</v>
          </cell>
          <cell r="M11">
            <v>2</v>
          </cell>
        </row>
        <row r="12">
          <cell r="A12">
            <v>107.14</v>
          </cell>
          <cell r="B12" t="str">
            <v>CWIP-GRAND ISLE SERVICE CENTER</v>
          </cell>
          <cell r="C12">
            <v>0</v>
          </cell>
          <cell r="D12">
            <v>0</v>
          </cell>
          <cell r="E12">
            <v>0</v>
          </cell>
          <cell r="F12">
            <v>0</v>
          </cell>
          <cell r="G12" t="str">
            <v>Asset</v>
          </cell>
          <cell r="I12">
            <v>0</v>
          </cell>
          <cell r="K12" t="str">
            <v>Active</v>
          </cell>
          <cell r="L12" t="str">
            <v>Balance Sheet</v>
          </cell>
          <cell r="M12">
            <v>2</v>
          </cell>
        </row>
        <row r="13">
          <cell r="A13">
            <v>107.15</v>
          </cell>
          <cell r="B13" t="str">
            <v>CWIP - STAKING PROGRAM</v>
          </cell>
          <cell r="C13">
            <v>0</v>
          </cell>
          <cell r="D13">
            <v>0</v>
          </cell>
          <cell r="E13">
            <v>0</v>
          </cell>
          <cell r="F13">
            <v>0</v>
          </cell>
          <cell r="G13" t="str">
            <v>Asset</v>
          </cell>
          <cell r="I13">
            <v>0</v>
          </cell>
          <cell r="K13" t="str">
            <v>Active</v>
          </cell>
          <cell r="L13" t="str">
            <v>Balance Sheet</v>
          </cell>
          <cell r="M13">
            <v>2</v>
          </cell>
        </row>
        <row r="14">
          <cell r="A14">
            <v>107.16</v>
          </cell>
          <cell r="B14" t="str">
            <v>CWIP-POLE BARN WHSE 12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 t="str">
            <v>Asset</v>
          </cell>
          <cell r="I14">
            <v>0</v>
          </cell>
          <cell r="K14" t="str">
            <v>Inactive</v>
          </cell>
          <cell r="L14" t="str">
            <v>Balance Sheet</v>
          </cell>
          <cell r="M14">
            <v>2</v>
          </cell>
        </row>
        <row r="15">
          <cell r="A15">
            <v>107.17</v>
          </cell>
          <cell r="B15" t="str">
            <v>CWIP-JOHNSON HQ FACILTY PROJECTS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 t="str">
            <v>Asset</v>
          </cell>
          <cell r="I15">
            <v>0</v>
          </cell>
          <cell r="K15" t="str">
            <v>Active</v>
          </cell>
          <cell r="L15" t="str">
            <v>Balance Sheet</v>
          </cell>
          <cell r="M15">
            <v>2</v>
          </cell>
        </row>
        <row r="16">
          <cell r="A16">
            <v>107.18</v>
          </cell>
          <cell r="B16" t="str">
            <v>CWIP-COMM. REAL TIME METERING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 t="str">
            <v>Asset</v>
          </cell>
          <cell r="I16">
            <v>0</v>
          </cell>
          <cell r="K16" t="str">
            <v>Inactive</v>
          </cell>
          <cell r="L16" t="str">
            <v>Balance Sheet</v>
          </cell>
          <cell r="M16">
            <v>2</v>
          </cell>
        </row>
        <row r="17">
          <cell r="A17">
            <v>107.19</v>
          </cell>
          <cell r="B17" t="str">
            <v>CWIP-WH#12 ADDITION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 t="str">
            <v>Asset</v>
          </cell>
          <cell r="I17">
            <v>0</v>
          </cell>
          <cell r="K17" t="str">
            <v>Inactive</v>
          </cell>
          <cell r="L17" t="str">
            <v>Balance Sheet</v>
          </cell>
          <cell r="M17">
            <v>2</v>
          </cell>
        </row>
        <row r="18">
          <cell r="A18">
            <v>107.2</v>
          </cell>
          <cell r="B18" t="str">
            <v>CWIP - FORCE ACCOUNT</v>
          </cell>
          <cell r="C18">
            <v>783195.97</v>
          </cell>
          <cell r="D18">
            <v>0</v>
          </cell>
          <cell r="E18">
            <v>6420810.7699999996</v>
          </cell>
          <cell r="F18">
            <v>0</v>
          </cell>
          <cell r="G18" t="str">
            <v>Asset</v>
          </cell>
          <cell r="I18">
            <v>5637614.7999999998</v>
          </cell>
          <cell r="K18" t="str">
            <v>Active</v>
          </cell>
          <cell r="L18" t="str">
            <v>Balance Sheet</v>
          </cell>
          <cell r="M18">
            <v>2</v>
          </cell>
        </row>
        <row r="19">
          <cell r="A19">
            <v>107.21</v>
          </cell>
          <cell r="B19" t="str">
            <v>CWIP-PROJECTS IN SERVICE 106.00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 t="str">
            <v>Asset</v>
          </cell>
          <cell r="I19">
            <v>0</v>
          </cell>
          <cell r="K19" t="str">
            <v>Active</v>
          </cell>
          <cell r="L19" t="str">
            <v>Balance Sheet</v>
          </cell>
          <cell r="M19">
            <v>2</v>
          </cell>
        </row>
        <row r="20">
          <cell r="A20">
            <v>107.22</v>
          </cell>
          <cell r="B20" t="str">
            <v>CWIP-YEAR END ACCRUALS AFTER WO CLOSING</v>
          </cell>
          <cell r="C20">
            <v>-18492.43</v>
          </cell>
          <cell r="D20">
            <v>0</v>
          </cell>
          <cell r="E20">
            <v>0</v>
          </cell>
          <cell r="F20">
            <v>0</v>
          </cell>
          <cell r="G20" t="str">
            <v>Asset</v>
          </cell>
          <cell r="I20">
            <v>18492.43</v>
          </cell>
          <cell r="K20" t="str">
            <v>Active</v>
          </cell>
          <cell r="L20" t="str">
            <v>Balance Sheet</v>
          </cell>
          <cell r="M20">
            <v>2</v>
          </cell>
        </row>
        <row r="21">
          <cell r="A21">
            <v>107.23</v>
          </cell>
          <cell r="B21" t="str">
            <v>CWIP-GPS MAPPING SYSTEM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 t="str">
            <v>Asset</v>
          </cell>
          <cell r="I21">
            <v>0</v>
          </cell>
          <cell r="K21" t="str">
            <v>Inactive</v>
          </cell>
          <cell r="L21" t="str">
            <v>Balance Sheet</v>
          </cell>
          <cell r="M21">
            <v>2</v>
          </cell>
        </row>
        <row r="22">
          <cell r="A22">
            <v>107.24</v>
          </cell>
          <cell r="B22" t="str">
            <v>CWIP-VEC SMARTBOARD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 t="str">
            <v>Asset</v>
          </cell>
          <cell r="I22">
            <v>0</v>
          </cell>
          <cell r="K22" t="str">
            <v>Inactive</v>
          </cell>
          <cell r="L22" t="str">
            <v>Balance Sheet</v>
          </cell>
          <cell r="M22">
            <v>2</v>
          </cell>
        </row>
        <row r="23">
          <cell r="A23">
            <v>107.25</v>
          </cell>
          <cell r="B23" t="str">
            <v>CWIP-COMPUTER EQUIP UPGRADE CZN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 t="str">
            <v>Asset</v>
          </cell>
          <cell r="I23">
            <v>0</v>
          </cell>
          <cell r="K23" t="str">
            <v>Inactive</v>
          </cell>
          <cell r="L23" t="str">
            <v>Balance Sheet</v>
          </cell>
          <cell r="M23">
            <v>2</v>
          </cell>
        </row>
        <row r="24">
          <cell r="A24">
            <v>107.26</v>
          </cell>
          <cell r="B24" t="str">
            <v>CWIP-TOOLS 2007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 t="str">
            <v>Asset</v>
          </cell>
          <cell r="I24">
            <v>0</v>
          </cell>
          <cell r="K24" t="str">
            <v>Active</v>
          </cell>
          <cell r="L24" t="str">
            <v>Balance Sheet</v>
          </cell>
          <cell r="M24">
            <v>2</v>
          </cell>
        </row>
        <row r="25">
          <cell r="A25">
            <v>107.27</v>
          </cell>
          <cell r="B25" t="str">
            <v>CWIP-STOWE TRANSM SUB 1.63%</v>
          </cell>
          <cell r="C25">
            <v>0</v>
          </cell>
          <cell r="D25">
            <v>0</v>
          </cell>
          <cell r="E25">
            <v>0</v>
          </cell>
          <cell r="F25">
            <v>0</v>
          </cell>
          <cell r="G25" t="str">
            <v>Asset</v>
          </cell>
          <cell r="I25">
            <v>0</v>
          </cell>
          <cell r="K25" t="str">
            <v>Active</v>
          </cell>
          <cell r="L25" t="str">
            <v>Balance Sheet</v>
          </cell>
          <cell r="M25">
            <v>2</v>
          </cell>
        </row>
        <row r="26">
          <cell r="A26">
            <v>107.28</v>
          </cell>
          <cell r="B26" t="str">
            <v>CWIP-NISC IVUE CONVERSION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 t="str">
            <v>Asset</v>
          </cell>
          <cell r="I26">
            <v>0</v>
          </cell>
          <cell r="K26" t="str">
            <v>Active</v>
          </cell>
          <cell r="L26" t="str">
            <v>Balance Sheet</v>
          </cell>
          <cell r="M26">
            <v>2</v>
          </cell>
        </row>
        <row r="27">
          <cell r="A27">
            <v>107.29</v>
          </cell>
          <cell r="B27" t="str">
            <v>CWIP - FACILITY RENOVATION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 t="str">
            <v>Asset</v>
          </cell>
          <cell r="I27">
            <v>0</v>
          </cell>
          <cell r="K27" t="str">
            <v>Inactive</v>
          </cell>
          <cell r="L27" t="str">
            <v>Balance Sheet</v>
          </cell>
          <cell r="M27">
            <v>2</v>
          </cell>
        </row>
        <row r="28">
          <cell r="A28">
            <v>107.3</v>
          </cell>
          <cell r="B28" t="str">
            <v>CWIP - SPECIAL EQUIPMENT PURCHAS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 t="str">
            <v>Asset</v>
          </cell>
          <cell r="I28">
            <v>0</v>
          </cell>
          <cell r="K28" t="str">
            <v>Active</v>
          </cell>
          <cell r="L28" t="str">
            <v>Balance Sheet</v>
          </cell>
          <cell r="M28">
            <v>2</v>
          </cell>
        </row>
        <row r="29">
          <cell r="A29">
            <v>107.31</v>
          </cell>
          <cell r="B29" t="str">
            <v>CWIP-TRK #31 (OUTFITTING)</v>
          </cell>
          <cell r="C29">
            <v>0</v>
          </cell>
          <cell r="D29">
            <v>0</v>
          </cell>
          <cell r="E29">
            <v>0</v>
          </cell>
          <cell r="F29">
            <v>0</v>
          </cell>
          <cell r="G29" t="str">
            <v>Asset</v>
          </cell>
          <cell r="I29">
            <v>0</v>
          </cell>
          <cell r="K29" t="str">
            <v>Inactive</v>
          </cell>
          <cell r="L29" t="str">
            <v>Balance Sheet</v>
          </cell>
          <cell r="M29">
            <v>2</v>
          </cell>
        </row>
        <row r="30">
          <cell r="A30">
            <v>107.32</v>
          </cell>
          <cell r="B30" t="str">
            <v>CWIP - TRAILER #T-32</v>
          </cell>
          <cell r="C30">
            <v>0</v>
          </cell>
          <cell r="D30">
            <v>0</v>
          </cell>
          <cell r="E30">
            <v>0</v>
          </cell>
          <cell r="F30">
            <v>0</v>
          </cell>
          <cell r="G30" t="str">
            <v>Asset</v>
          </cell>
          <cell r="I30">
            <v>0</v>
          </cell>
          <cell r="K30" t="str">
            <v>Inactive</v>
          </cell>
          <cell r="L30" t="str">
            <v>Balance Sheet</v>
          </cell>
          <cell r="M30">
            <v>2</v>
          </cell>
        </row>
        <row r="31">
          <cell r="A31">
            <v>107.33</v>
          </cell>
          <cell r="B31" t="str">
            <v>CWIP-TRK #33 (OUTFITTING)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 t="str">
            <v>Asset</v>
          </cell>
          <cell r="I31">
            <v>0</v>
          </cell>
          <cell r="K31" t="str">
            <v>Inactive</v>
          </cell>
          <cell r="L31" t="str">
            <v>Balance Sheet</v>
          </cell>
          <cell r="M31">
            <v>2</v>
          </cell>
        </row>
        <row r="32">
          <cell r="A32">
            <v>107.34</v>
          </cell>
          <cell r="B32" t="str">
            <v>CWIP- FIRE PROTECTION SYSTEM</v>
          </cell>
          <cell r="C32">
            <v>0</v>
          </cell>
          <cell r="D32">
            <v>0</v>
          </cell>
          <cell r="E32">
            <v>0</v>
          </cell>
          <cell r="F32">
            <v>0</v>
          </cell>
          <cell r="G32" t="str">
            <v>Asset</v>
          </cell>
          <cell r="I32">
            <v>0</v>
          </cell>
          <cell r="K32" t="str">
            <v>Active</v>
          </cell>
          <cell r="L32" t="str">
            <v>Balance Sheet</v>
          </cell>
          <cell r="M32">
            <v>2</v>
          </cell>
        </row>
        <row r="33">
          <cell r="A33">
            <v>107.35</v>
          </cell>
          <cell r="B33" t="str">
            <v>CWIP - BARTON SUB-SWITCHING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 t="str">
            <v>Asset</v>
          </cell>
          <cell r="I33">
            <v>0</v>
          </cell>
          <cell r="K33" t="str">
            <v>Inactive</v>
          </cell>
          <cell r="L33" t="str">
            <v>Balance Sheet</v>
          </cell>
          <cell r="M33">
            <v>2</v>
          </cell>
        </row>
        <row r="34">
          <cell r="A34">
            <v>107.36</v>
          </cell>
          <cell r="B34" t="str">
            <v>CWIP-JOHNSON PARKING LOT UPGRADE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 t="str">
            <v>Asset</v>
          </cell>
          <cell r="I34">
            <v>0</v>
          </cell>
          <cell r="K34" t="str">
            <v>Active</v>
          </cell>
          <cell r="L34" t="str">
            <v>Balance Sheet</v>
          </cell>
          <cell r="M34">
            <v>2</v>
          </cell>
        </row>
        <row r="35">
          <cell r="A35">
            <v>107.37</v>
          </cell>
          <cell r="B35" t="str">
            <v>CWIP - OMS &amp; IVR SYSTEM</v>
          </cell>
          <cell r="C35">
            <v>0</v>
          </cell>
          <cell r="D35">
            <v>0</v>
          </cell>
          <cell r="E35">
            <v>0</v>
          </cell>
          <cell r="F35">
            <v>0</v>
          </cell>
          <cell r="G35" t="str">
            <v>Asset</v>
          </cell>
          <cell r="I35">
            <v>0</v>
          </cell>
          <cell r="K35" t="str">
            <v>Active</v>
          </cell>
          <cell r="L35" t="str">
            <v>Balance Sheet</v>
          </cell>
          <cell r="M35">
            <v>2</v>
          </cell>
        </row>
        <row r="36">
          <cell r="A36">
            <v>107.38</v>
          </cell>
          <cell r="B36" t="str">
            <v>CWIP - NORTEL BCM 450 PLATFORM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 t="str">
            <v>Asset</v>
          </cell>
          <cell r="I36">
            <v>0</v>
          </cell>
          <cell r="K36" t="str">
            <v>Active</v>
          </cell>
          <cell r="L36" t="str">
            <v>Balance Sheet</v>
          </cell>
          <cell r="M36">
            <v>2</v>
          </cell>
        </row>
        <row r="37">
          <cell r="A37">
            <v>107.39</v>
          </cell>
          <cell r="B37" t="str">
            <v>CWIP-SYSTEM OPERATIONS UPGRADE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 t="str">
            <v>Asset</v>
          </cell>
          <cell r="I37">
            <v>0</v>
          </cell>
          <cell r="K37" t="str">
            <v>Active</v>
          </cell>
          <cell r="L37" t="str">
            <v>Balance Sheet</v>
          </cell>
          <cell r="M37">
            <v>2</v>
          </cell>
        </row>
        <row r="38">
          <cell r="A38">
            <v>107.4</v>
          </cell>
          <cell r="B38" t="str">
            <v>CWIP - VASCO TOKENS</v>
          </cell>
          <cell r="C38">
            <v>0</v>
          </cell>
          <cell r="D38">
            <v>0</v>
          </cell>
          <cell r="E38">
            <v>0</v>
          </cell>
          <cell r="F38">
            <v>0</v>
          </cell>
          <cell r="G38" t="str">
            <v>Asset</v>
          </cell>
          <cell r="I38">
            <v>0</v>
          </cell>
          <cell r="K38" t="str">
            <v>Active</v>
          </cell>
          <cell r="L38" t="str">
            <v>Balance Sheet</v>
          </cell>
          <cell r="M38">
            <v>2</v>
          </cell>
        </row>
        <row r="39">
          <cell r="A39">
            <v>107.41</v>
          </cell>
          <cell r="B39" t="str">
            <v>CWIP - VMWARE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 t="str">
            <v>Asset</v>
          </cell>
          <cell r="I39">
            <v>0</v>
          </cell>
          <cell r="K39" t="str">
            <v>Active</v>
          </cell>
          <cell r="L39" t="str">
            <v>Balance Sheet</v>
          </cell>
          <cell r="M39">
            <v>2</v>
          </cell>
        </row>
        <row r="40">
          <cell r="A40">
            <v>107.42</v>
          </cell>
          <cell r="B40" t="str">
            <v>CWIP - HP C3000 BLADES</v>
          </cell>
          <cell r="C40">
            <v>0</v>
          </cell>
          <cell r="D40">
            <v>0</v>
          </cell>
          <cell r="E40">
            <v>0</v>
          </cell>
          <cell r="F40">
            <v>0</v>
          </cell>
          <cell r="G40" t="str">
            <v>Asset</v>
          </cell>
          <cell r="I40">
            <v>0</v>
          </cell>
          <cell r="K40" t="str">
            <v>Active</v>
          </cell>
          <cell r="L40" t="str">
            <v>Balance Sheet</v>
          </cell>
          <cell r="M40">
            <v>2</v>
          </cell>
        </row>
        <row r="41">
          <cell r="A41">
            <v>107.43</v>
          </cell>
          <cell r="B41" t="str">
            <v>CWIP - FIBER EQUIPMENT UPGRADE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 t="str">
            <v>Asset</v>
          </cell>
          <cell r="I41">
            <v>0</v>
          </cell>
          <cell r="K41" t="str">
            <v>Inactive</v>
          </cell>
          <cell r="L41" t="str">
            <v>Balance Sheet</v>
          </cell>
          <cell r="M41">
            <v>2</v>
          </cell>
        </row>
        <row r="42">
          <cell r="A42">
            <v>107.44</v>
          </cell>
          <cell r="B42" t="str">
            <v>CWIP - LAN UPGRADE</v>
          </cell>
          <cell r="C42">
            <v>0</v>
          </cell>
          <cell r="D42">
            <v>0</v>
          </cell>
          <cell r="E42">
            <v>0</v>
          </cell>
          <cell r="F42">
            <v>0</v>
          </cell>
          <cell r="G42" t="str">
            <v>Asset</v>
          </cell>
          <cell r="I42">
            <v>0</v>
          </cell>
          <cell r="K42" t="str">
            <v>Active</v>
          </cell>
          <cell r="L42" t="str">
            <v>Balance Sheet</v>
          </cell>
          <cell r="M42">
            <v>2</v>
          </cell>
        </row>
        <row r="43">
          <cell r="A43">
            <v>107.45</v>
          </cell>
          <cell r="B43" t="str">
            <v>CWIP - LAN MONITORING</v>
          </cell>
          <cell r="C43">
            <v>0</v>
          </cell>
          <cell r="D43">
            <v>0</v>
          </cell>
          <cell r="E43">
            <v>0</v>
          </cell>
          <cell r="F43">
            <v>0</v>
          </cell>
          <cell r="G43" t="str">
            <v>Asset</v>
          </cell>
          <cell r="I43">
            <v>0</v>
          </cell>
          <cell r="K43" t="str">
            <v>Active</v>
          </cell>
          <cell r="L43" t="str">
            <v>Balance Sheet</v>
          </cell>
          <cell r="M43">
            <v>2</v>
          </cell>
        </row>
        <row r="44">
          <cell r="A44">
            <v>107.46</v>
          </cell>
          <cell r="B44" t="str">
            <v>CWIP - COMPUTERS UPGRADE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 t="str">
            <v>Asset</v>
          </cell>
          <cell r="I44">
            <v>0</v>
          </cell>
          <cell r="K44" t="str">
            <v>Inactive</v>
          </cell>
          <cell r="L44" t="str">
            <v>Balance Sheet</v>
          </cell>
          <cell r="M44">
            <v>2</v>
          </cell>
        </row>
        <row r="45">
          <cell r="A45">
            <v>107.47</v>
          </cell>
          <cell r="B45" t="str">
            <v>CWIP - PRINTERS UPGRADE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 t="str">
            <v>Asset</v>
          </cell>
          <cell r="I45">
            <v>0</v>
          </cell>
          <cell r="K45" t="str">
            <v>Active</v>
          </cell>
          <cell r="L45" t="str">
            <v>Balance Sheet</v>
          </cell>
          <cell r="M45">
            <v>2</v>
          </cell>
        </row>
        <row r="46">
          <cell r="A46">
            <v>107.48</v>
          </cell>
          <cell r="B46" t="str">
            <v>CWIP - MDS SCADA RADIO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 t="str">
            <v>Asset</v>
          </cell>
          <cell r="I46">
            <v>0</v>
          </cell>
          <cell r="K46" t="str">
            <v>Active</v>
          </cell>
          <cell r="L46" t="str">
            <v>Balance Sheet</v>
          </cell>
          <cell r="M46">
            <v>2</v>
          </cell>
        </row>
        <row r="47">
          <cell r="A47">
            <v>107.49</v>
          </cell>
          <cell r="B47" t="str">
            <v>CWIP - NORTHLINK FIBER DEVICES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 t="str">
            <v>Asset</v>
          </cell>
          <cell r="I47">
            <v>0</v>
          </cell>
          <cell r="K47" t="str">
            <v>Active</v>
          </cell>
          <cell r="L47" t="str">
            <v>Balance Sheet</v>
          </cell>
          <cell r="M47">
            <v>2</v>
          </cell>
        </row>
        <row r="48">
          <cell r="A48">
            <v>107.5</v>
          </cell>
          <cell r="B48" t="str">
            <v>CWIP - GPS IN TRUCKS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 t="str">
            <v>Asset</v>
          </cell>
          <cell r="I48">
            <v>0</v>
          </cell>
          <cell r="K48" t="str">
            <v>Active</v>
          </cell>
          <cell r="L48" t="str">
            <v>Balance Sheet</v>
          </cell>
          <cell r="M48">
            <v>2</v>
          </cell>
        </row>
        <row r="49">
          <cell r="A49">
            <v>107.51</v>
          </cell>
          <cell r="B49" t="str">
            <v>CWIP - VEGETATION MGMT SYSTEM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 t="str">
            <v>Asset</v>
          </cell>
          <cell r="I49">
            <v>0</v>
          </cell>
          <cell r="K49" t="str">
            <v>Inactive</v>
          </cell>
          <cell r="L49" t="str">
            <v>Balance Sheet</v>
          </cell>
          <cell r="M49">
            <v>2</v>
          </cell>
        </row>
        <row r="50">
          <cell r="A50">
            <v>107.52</v>
          </cell>
          <cell r="B50" t="str">
            <v>CWIP - SOFTWARE UPGRADE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 t="str">
            <v>Asset</v>
          </cell>
          <cell r="I50">
            <v>0</v>
          </cell>
          <cell r="K50" t="str">
            <v>Inactive</v>
          </cell>
          <cell r="L50" t="str">
            <v>Balance Sheet</v>
          </cell>
          <cell r="M50">
            <v>2</v>
          </cell>
        </row>
        <row r="51">
          <cell r="A51">
            <v>107.53</v>
          </cell>
          <cell r="B51" t="str">
            <v>CWIP-TRANSFORMER LOAD ANALYSIS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 t="str">
            <v>Asset</v>
          </cell>
          <cell r="I51">
            <v>0</v>
          </cell>
          <cell r="K51" t="str">
            <v>Active</v>
          </cell>
          <cell r="L51" t="str">
            <v>Balance Sheet</v>
          </cell>
          <cell r="M51">
            <v>2</v>
          </cell>
        </row>
        <row r="52">
          <cell r="A52">
            <v>107.54</v>
          </cell>
          <cell r="B52" t="str">
            <v>CWIP-BACKUP CENTER NEWPORT</v>
          </cell>
          <cell r="C52">
            <v>0</v>
          </cell>
          <cell r="D52">
            <v>0</v>
          </cell>
          <cell r="E52">
            <v>0</v>
          </cell>
          <cell r="F52">
            <v>0</v>
          </cell>
          <cell r="G52" t="str">
            <v>Asset</v>
          </cell>
          <cell r="I52">
            <v>0</v>
          </cell>
          <cell r="K52" t="str">
            <v>Active</v>
          </cell>
          <cell r="L52" t="str">
            <v>Balance Sheet</v>
          </cell>
          <cell r="M52">
            <v>2</v>
          </cell>
        </row>
        <row r="53">
          <cell r="A53">
            <v>107.55</v>
          </cell>
          <cell r="B53" t="str">
            <v>CWIP-CONTROL CTR SCADA/TELEMETRI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 t="str">
            <v>Asset</v>
          </cell>
          <cell r="I53">
            <v>0</v>
          </cell>
          <cell r="K53" t="str">
            <v>Active</v>
          </cell>
          <cell r="L53" t="str">
            <v>Balance Sheet</v>
          </cell>
          <cell r="M53">
            <v>2</v>
          </cell>
        </row>
        <row r="54">
          <cell r="A54">
            <v>107.56</v>
          </cell>
          <cell r="B54" t="str">
            <v>CWIP-G.I. FACILITY-PHASE I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 t="str">
            <v>Asset</v>
          </cell>
          <cell r="I54">
            <v>0</v>
          </cell>
          <cell r="K54" t="str">
            <v>Active</v>
          </cell>
          <cell r="L54" t="str">
            <v>Balance Sheet</v>
          </cell>
          <cell r="M54">
            <v>2</v>
          </cell>
        </row>
        <row r="55">
          <cell r="A55">
            <v>107.57</v>
          </cell>
          <cell r="B55" t="str">
            <v>CWIP - NISC IVUE UPGRADE</v>
          </cell>
          <cell r="C55">
            <v>0</v>
          </cell>
          <cell r="D55">
            <v>0</v>
          </cell>
          <cell r="E55">
            <v>0</v>
          </cell>
          <cell r="F55">
            <v>0</v>
          </cell>
          <cell r="G55" t="str">
            <v>Asset</v>
          </cell>
          <cell r="I55">
            <v>0</v>
          </cell>
          <cell r="K55" t="str">
            <v>Active</v>
          </cell>
          <cell r="L55" t="str">
            <v>Balance Sheet</v>
          </cell>
          <cell r="M55">
            <v>2</v>
          </cell>
        </row>
        <row r="56">
          <cell r="A56">
            <v>107.58</v>
          </cell>
          <cell r="B56" t="str">
            <v>CWIP - IVR UPGRADE</v>
          </cell>
          <cell r="C56">
            <v>0</v>
          </cell>
          <cell r="D56">
            <v>0</v>
          </cell>
          <cell r="E56">
            <v>0</v>
          </cell>
          <cell r="F56">
            <v>0</v>
          </cell>
          <cell r="G56" t="str">
            <v>Asset</v>
          </cell>
          <cell r="I56">
            <v>0</v>
          </cell>
          <cell r="K56" t="str">
            <v>Active</v>
          </cell>
          <cell r="L56" t="str">
            <v>Balance Sheet</v>
          </cell>
          <cell r="M56">
            <v>2</v>
          </cell>
        </row>
        <row r="57">
          <cell r="A57">
            <v>107.59</v>
          </cell>
          <cell r="B57" t="str">
            <v>CWIP-ECM SOFTWARE/EXTERNAL SERV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 t="str">
            <v>Asset</v>
          </cell>
          <cell r="I57">
            <v>0</v>
          </cell>
          <cell r="K57" t="str">
            <v>Active</v>
          </cell>
          <cell r="L57" t="str">
            <v>Balance Sheet</v>
          </cell>
          <cell r="M57">
            <v>2</v>
          </cell>
        </row>
        <row r="58">
          <cell r="A58">
            <v>107.6</v>
          </cell>
          <cell r="B58" t="str">
            <v>CWIP-WORKSTATION VIRTUALIZATION</v>
          </cell>
          <cell r="C58">
            <v>0</v>
          </cell>
          <cell r="D58">
            <v>0</v>
          </cell>
          <cell r="E58">
            <v>0</v>
          </cell>
          <cell r="F58">
            <v>0</v>
          </cell>
          <cell r="G58" t="str">
            <v>Asset</v>
          </cell>
          <cell r="I58">
            <v>0</v>
          </cell>
          <cell r="K58" t="str">
            <v>Active</v>
          </cell>
          <cell r="L58" t="str">
            <v>Balance Sheet</v>
          </cell>
          <cell r="M58">
            <v>2</v>
          </cell>
        </row>
        <row r="59">
          <cell r="A59">
            <v>107.7</v>
          </cell>
          <cell r="B59" t="str">
            <v>CWIP-OTHER WO PROJECTS</v>
          </cell>
          <cell r="C59">
            <v>-616058.15</v>
          </cell>
          <cell r="D59">
            <v>0</v>
          </cell>
          <cell r="E59">
            <v>753757.75</v>
          </cell>
          <cell r="F59">
            <v>0</v>
          </cell>
          <cell r="G59" t="str">
            <v>Asset</v>
          </cell>
          <cell r="I59">
            <v>1369815.9</v>
          </cell>
          <cell r="K59" t="str">
            <v>Active</v>
          </cell>
          <cell r="L59" t="str">
            <v>Balance Sheet</v>
          </cell>
          <cell r="M59">
            <v>2</v>
          </cell>
        </row>
        <row r="60">
          <cell r="A60">
            <v>107.71</v>
          </cell>
          <cell r="B60" t="str">
            <v>CWIP-OTHER WO PROJECTS - CLOSED 12/2011</v>
          </cell>
          <cell r="C60">
            <v>693031.96</v>
          </cell>
          <cell r="D60">
            <v>0</v>
          </cell>
          <cell r="E60">
            <v>0</v>
          </cell>
          <cell r="F60">
            <v>0</v>
          </cell>
          <cell r="G60" t="str">
            <v>Asset</v>
          </cell>
          <cell r="I60">
            <v>-693031.96</v>
          </cell>
          <cell r="K60" t="str">
            <v>Active</v>
          </cell>
          <cell r="L60" t="str">
            <v>Balance Sheet</v>
          </cell>
          <cell r="M60">
            <v>2</v>
          </cell>
        </row>
        <row r="61">
          <cell r="A61">
            <v>108</v>
          </cell>
          <cell r="B61" t="str">
            <v>RWIP - OVERHEADS</v>
          </cell>
          <cell r="C61">
            <v>0</v>
          </cell>
          <cell r="D61">
            <v>0</v>
          </cell>
          <cell r="E61">
            <v>0</v>
          </cell>
          <cell r="F61">
            <v>0</v>
          </cell>
          <cell r="G61" t="str">
            <v>Asset</v>
          </cell>
          <cell r="I61">
            <v>0</v>
          </cell>
          <cell r="K61" t="str">
            <v>Inactive</v>
          </cell>
          <cell r="L61" t="str">
            <v>Balance Sheet</v>
          </cell>
          <cell r="M61">
            <v>4</v>
          </cell>
        </row>
        <row r="62">
          <cell r="A62">
            <v>108.4</v>
          </cell>
          <cell r="B62" t="str">
            <v>ACC PROV DEPR-OTHER PRODUCTION</v>
          </cell>
          <cell r="C62">
            <v>0</v>
          </cell>
          <cell r="D62">
            <v>0</v>
          </cell>
          <cell r="E62">
            <v>0</v>
          </cell>
          <cell r="F62">
            <v>0</v>
          </cell>
          <cell r="G62" t="str">
            <v>Asset</v>
          </cell>
          <cell r="I62">
            <v>0</v>
          </cell>
          <cell r="K62" t="str">
            <v>Active</v>
          </cell>
          <cell r="L62" t="str">
            <v>Balance Sheet</v>
          </cell>
          <cell r="M62">
            <v>4</v>
          </cell>
        </row>
        <row r="63">
          <cell r="A63">
            <v>108.5</v>
          </cell>
          <cell r="B63" t="str">
            <v>ACC PROV DEPR - TRANS</v>
          </cell>
          <cell r="C63">
            <v>-5484.4</v>
          </cell>
          <cell r="D63">
            <v>0</v>
          </cell>
          <cell r="E63">
            <v>-905664.68</v>
          </cell>
          <cell r="F63">
            <v>0</v>
          </cell>
          <cell r="G63" t="str">
            <v>Asset</v>
          </cell>
          <cell r="I63">
            <v>-900180.28</v>
          </cell>
          <cell r="K63" t="str">
            <v>Active</v>
          </cell>
          <cell r="L63" t="str">
            <v>Balance Sheet</v>
          </cell>
          <cell r="M63">
            <v>4</v>
          </cell>
        </row>
        <row r="64">
          <cell r="A64">
            <v>108.51</v>
          </cell>
          <cell r="B64" t="str">
            <v>ACC PROV DEPR-TRANS-CZN TARIFF</v>
          </cell>
          <cell r="C64">
            <v>-28482.2</v>
          </cell>
          <cell r="D64">
            <v>0</v>
          </cell>
          <cell r="E64">
            <v>-562746.16</v>
          </cell>
          <cell r="F64">
            <v>0</v>
          </cell>
          <cell r="G64" t="str">
            <v>Asset</v>
          </cell>
          <cell r="I64">
            <v>-534263.96</v>
          </cell>
          <cell r="K64" t="str">
            <v>Active</v>
          </cell>
          <cell r="L64" t="str">
            <v>Balance Sheet</v>
          </cell>
          <cell r="M64">
            <v>4</v>
          </cell>
        </row>
        <row r="65">
          <cell r="A65">
            <v>108.53</v>
          </cell>
          <cell r="B65" t="str">
            <v>ACC PROV DEPR-TRANS-HIGHGATE</v>
          </cell>
          <cell r="C65">
            <v>-105.51</v>
          </cell>
          <cell r="D65">
            <v>0</v>
          </cell>
          <cell r="E65">
            <v>-8111.63</v>
          </cell>
          <cell r="F65">
            <v>0</v>
          </cell>
          <cell r="G65" t="str">
            <v>Asset</v>
          </cell>
          <cell r="I65">
            <v>-8006.12</v>
          </cell>
          <cell r="K65" t="str">
            <v>Active</v>
          </cell>
          <cell r="L65" t="str">
            <v>Balance Sheet</v>
          </cell>
          <cell r="M65">
            <v>4</v>
          </cell>
        </row>
        <row r="66">
          <cell r="A66">
            <v>108.54</v>
          </cell>
          <cell r="B66" t="str">
            <v>ACC PROV DEPR-TRANS-METALLIC</v>
          </cell>
          <cell r="C66">
            <v>-3518.65</v>
          </cell>
          <cell r="D66">
            <v>0</v>
          </cell>
          <cell r="E66">
            <v>-341313.16</v>
          </cell>
          <cell r="F66">
            <v>0</v>
          </cell>
          <cell r="G66" t="str">
            <v>Asset</v>
          </cell>
          <cell r="I66">
            <v>-337794.51</v>
          </cell>
          <cell r="K66" t="str">
            <v>Active</v>
          </cell>
          <cell r="L66" t="str">
            <v>Balance Sheet</v>
          </cell>
          <cell r="M66">
            <v>4</v>
          </cell>
        </row>
        <row r="67">
          <cell r="A67">
            <v>108.6</v>
          </cell>
          <cell r="B67" t="str">
            <v>ACC PROV DEPR - DIST</v>
          </cell>
          <cell r="C67">
            <v>-204554.97</v>
          </cell>
          <cell r="D67">
            <v>0</v>
          </cell>
          <cell r="E67">
            <v>-24957588.199999999</v>
          </cell>
          <cell r="F67">
            <v>0</v>
          </cell>
          <cell r="G67" t="str">
            <v>Asset</v>
          </cell>
          <cell r="I67">
            <v>-24753033.23</v>
          </cell>
          <cell r="K67" t="str">
            <v>Active</v>
          </cell>
          <cell r="L67" t="str">
            <v>Balance Sheet</v>
          </cell>
          <cell r="M67">
            <v>4</v>
          </cell>
        </row>
        <row r="68">
          <cell r="A68">
            <v>108.61</v>
          </cell>
          <cell r="B68" t="str">
            <v>ACC PROV DEPR-DIST-AMI METERS</v>
          </cell>
          <cell r="C68">
            <v>-957.85</v>
          </cell>
          <cell r="D68">
            <v>0</v>
          </cell>
          <cell r="E68">
            <v>-9291.1299999999992</v>
          </cell>
          <cell r="F68">
            <v>0</v>
          </cell>
          <cell r="G68" t="str">
            <v>Asset</v>
          </cell>
          <cell r="I68">
            <v>-8333.2800000000007</v>
          </cell>
          <cell r="K68" t="str">
            <v>Active</v>
          </cell>
          <cell r="L68" t="str">
            <v>Balance Sheet</v>
          </cell>
          <cell r="M68">
            <v>4</v>
          </cell>
        </row>
        <row r="69">
          <cell r="A69">
            <v>108.7</v>
          </cell>
          <cell r="B69" t="str">
            <v>ACC PROV DEPR - STRUCTURE</v>
          </cell>
          <cell r="C69">
            <v>-6644.9</v>
          </cell>
          <cell r="D69">
            <v>0</v>
          </cell>
          <cell r="E69">
            <v>-585723.23</v>
          </cell>
          <cell r="F69">
            <v>0</v>
          </cell>
          <cell r="G69" t="str">
            <v>Asset</v>
          </cell>
          <cell r="I69">
            <v>-579078.32999999996</v>
          </cell>
          <cell r="K69" t="str">
            <v>Active</v>
          </cell>
          <cell r="L69" t="str">
            <v>Balance Sheet</v>
          </cell>
          <cell r="M69">
            <v>4</v>
          </cell>
        </row>
        <row r="70">
          <cell r="A70">
            <v>108.71</v>
          </cell>
          <cell r="B70" t="str">
            <v>ACC PROV DEPR - OFFICE EQUIPMENT</v>
          </cell>
          <cell r="C70">
            <v>-25952.6</v>
          </cell>
          <cell r="D70">
            <v>0</v>
          </cell>
          <cell r="E70">
            <v>-1158283.43</v>
          </cell>
          <cell r="F70">
            <v>0</v>
          </cell>
          <cell r="G70" t="str">
            <v>Asset</v>
          </cell>
          <cell r="I70">
            <v>-1132330.83</v>
          </cell>
          <cell r="K70" t="str">
            <v>Active</v>
          </cell>
          <cell r="L70" t="str">
            <v>Balance Sheet</v>
          </cell>
          <cell r="M70">
            <v>4</v>
          </cell>
        </row>
        <row r="71">
          <cell r="A71">
            <v>108.72</v>
          </cell>
          <cell r="B71" t="str">
            <v>ACC PROV DEPR - STORES</v>
          </cell>
          <cell r="C71">
            <v>-459.78</v>
          </cell>
          <cell r="D71">
            <v>0</v>
          </cell>
          <cell r="E71">
            <v>-27936.54</v>
          </cell>
          <cell r="F71">
            <v>0</v>
          </cell>
          <cell r="G71" t="str">
            <v>Asset</v>
          </cell>
          <cell r="I71">
            <v>-27476.76</v>
          </cell>
          <cell r="K71" t="str">
            <v>Active</v>
          </cell>
          <cell r="L71" t="str">
            <v>Balance Sheet</v>
          </cell>
          <cell r="M71">
            <v>4</v>
          </cell>
        </row>
        <row r="72">
          <cell r="A72">
            <v>108.73</v>
          </cell>
          <cell r="B72" t="str">
            <v>ACC PROV DEPR - TOOLS</v>
          </cell>
          <cell r="C72">
            <v>-4062.92</v>
          </cell>
          <cell r="D72">
            <v>0</v>
          </cell>
          <cell r="E72">
            <v>-375267.33</v>
          </cell>
          <cell r="F72">
            <v>0</v>
          </cell>
          <cell r="G72" t="str">
            <v>Asset</v>
          </cell>
          <cell r="I72">
            <v>-371204.41</v>
          </cell>
          <cell r="K72" t="str">
            <v>Active</v>
          </cell>
          <cell r="L72" t="str">
            <v>Balance Sheet</v>
          </cell>
          <cell r="M72">
            <v>4</v>
          </cell>
        </row>
        <row r="73">
          <cell r="A73">
            <v>108.74</v>
          </cell>
          <cell r="B73" t="str">
            <v>ACC PROV DEPR - LAB EQUIP</v>
          </cell>
          <cell r="C73">
            <v>-2829.13</v>
          </cell>
          <cell r="D73">
            <v>0</v>
          </cell>
          <cell r="E73">
            <v>-324297.33</v>
          </cell>
          <cell r="F73">
            <v>0</v>
          </cell>
          <cell r="G73" t="str">
            <v>Asset</v>
          </cell>
          <cell r="I73">
            <v>-321468.2</v>
          </cell>
          <cell r="K73" t="str">
            <v>Active</v>
          </cell>
          <cell r="L73" t="str">
            <v>Balance Sheet</v>
          </cell>
          <cell r="M73">
            <v>4</v>
          </cell>
        </row>
        <row r="74">
          <cell r="A74">
            <v>108.75</v>
          </cell>
          <cell r="B74" t="str">
            <v>ACC PROV DEPR - POWER OP</v>
          </cell>
          <cell r="C74">
            <v>-240.08</v>
          </cell>
          <cell r="D74">
            <v>0</v>
          </cell>
          <cell r="E74">
            <v>-11227.17</v>
          </cell>
          <cell r="F74">
            <v>0</v>
          </cell>
          <cell r="G74" t="str">
            <v>Asset</v>
          </cell>
          <cell r="I74">
            <v>-10987.09</v>
          </cell>
          <cell r="K74" t="str">
            <v>Active</v>
          </cell>
          <cell r="L74" t="str">
            <v>Balance Sheet</v>
          </cell>
          <cell r="M74">
            <v>4</v>
          </cell>
        </row>
        <row r="75">
          <cell r="A75">
            <v>108.76</v>
          </cell>
          <cell r="B75" t="str">
            <v>ACC PROV DEPR - RADIO</v>
          </cell>
          <cell r="C75">
            <v>-19660.22</v>
          </cell>
          <cell r="D75">
            <v>0</v>
          </cell>
          <cell r="E75">
            <v>-1123308.6399999999</v>
          </cell>
          <cell r="F75">
            <v>0</v>
          </cell>
          <cell r="G75" t="str">
            <v>Asset</v>
          </cell>
          <cell r="I75">
            <v>-1103648.42</v>
          </cell>
          <cell r="K75" t="str">
            <v>Active</v>
          </cell>
          <cell r="L75" t="str">
            <v>Balance Sheet</v>
          </cell>
          <cell r="M75">
            <v>4</v>
          </cell>
        </row>
        <row r="76">
          <cell r="A76">
            <v>108.77</v>
          </cell>
          <cell r="B76" t="str">
            <v>ACC PROV DEPR - MISCELLANEOUS</v>
          </cell>
          <cell r="C76">
            <v>-1129.6400000000001</v>
          </cell>
          <cell r="D76">
            <v>0</v>
          </cell>
          <cell r="E76">
            <v>-33957</v>
          </cell>
          <cell r="F76">
            <v>0</v>
          </cell>
          <cell r="G76" t="str">
            <v>Asset</v>
          </cell>
          <cell r="I76">
            <v>-32827.360000000001</v>
          </cell>
          <cell r="K76" t="str">
            <v>Active</v>
          </cell>
          <cell r="L76" t="str">
            <v>Balance Sheet</v>
          </cell>
          <cell r="M76">
            <v>4</v>
          </cell>
        </row>
        <row r="77">
          <cell r="A77">
            <v>108.78</v>
          </cell>
          <cell r="B77" t="str">
            <v>ACC PROV DEPR - DEM EQUIP</v>
          </cell>
          <cell r="C77">
            <v>0</v>
          </cell>
          <cell r="D77">
            <v>0</v>
          </cell>
          <cell r="E77">
            <v>-8241.3799999999992</v>
          </cell>
          <cell r="F77">
            <v>0</v>
          </cell>
          <cell r="G77" t="str">
            <v>Asset</v>
          </cell>
          <cell r="I77">
            <v>-8241.3799999999992</v>
          </cell>
          <cell r="K77" t="str">
            <v>Active</v>
          </cell>
          <cell r="L77" t="str">
            <v>Balance Sheet</v>
          </cell>
          <cell r="M77">
            <v>4</v>
          </cell>
        </row>
        <row r="78">
          <cell r="A78">
            <v>108.79</v>
          </cell>
          <cell r="B78" t="str">
            <v>ACC PROV DEPR - TRANSPORTATION</v>
          </cell>
          <cell r="C78">
            <v>-6204.18</v>
          </cell>
          <cell r="D78">
            <v>0</v>
          </cell>
          <cell r="E78">
            <v>-499131.67</v>
          </cell>
          <cell r="F78">
            <v>0</v>
          </cell>
          <cell r="G78" t="str">
            <v>Asset</v>
          </cell>
          <cell r="I78">
            <v>-492927.49</v>
          </cell>
          <cell r="K78" t="str">
            <v>Active</v>
          </cell>
          <cell r="L78" t="str">
            <v>Balance Sheet</v>
          </cell>
          <cell r="M78">
            <v>4</v>
          </cell>
        </row>
        <row r="79">
          <cell r="A79">
            <v>108.8</v>
          </cell>
          <cell r="B79" t="str">
            <v>RWIP - FORCE ACCOUNT</v>
          </cell>
          <cell r="C79">
            <v>29278.880000000001</v>
          </cell>
          <cell r="D79">
            <v>0</v>
          </cell>
          <cell r="E79">
            <v>144863.34</v>
          </cell>
          <cell r="F79">
            <v>0</v>
          </cell>
          <cell r="G79" t="str">
            <v>Asset</v>
          </cell>
          <cell r="I79">
            <v>115584.46</v>
          </cell>
          <cell r="K79" t="str">
            <v>Active</v>
          </cell>
          <cell r="L79" t="str">
            <v>Balance Sheet</v>
          </cell>
          <cell r="M79">
            <v>4</v>
          </cell>
        </row>
        <row r="80">
          <cell r="A80">
            <v>108.81</v>
          </cell>
          <cell r="B80" t="str">
            <v>ACC PROV DEPR - RET W/P BEMIS</v>
          </cell>
          <cell r="C80">
            <v>0</v>
          </cell>
          <cell r="D80">
            <v>0</v>
          </cell>
          <cell r="E80">
            <v>0</v>
          </cell>
          <cell r="F80">
            <v>0</v>
          </cell>
          <cell r="G80" t="str">
            <v>Asset</v>
          </cell>
          <cell r="I80">
            <v>0</v>
          </cell>
          <cell r="K80" t="str">
            <v>Active</v>
          </cell>
          <cell r="L80" t="str">
            <v>Balance Sheet</v>
          </cell>
          <cell r="M80">
            <v>4</v>
          </cell>
        </row>
        <row r="81">
          <cell r="A81">
            <v>114</v>
          </cell>
          <cell r="B81" t="str">
            <v>ELECTRIC PLANT ACQ ADJ</v>
          </cell>
          <cell r="C81">
            <v>0</v>
          </cell>
          <cell r="D81">
            <v>0</v>
          </cell>
          <cell r="E81">
            <v>157931.46</v>
          </cell>
          <cell r="F81">
            <v>0</v>
          </cell>
          <cell r="G81" t="str">
            <v>Asset</v>
          </cell>
          <cell r="I81">
            <v>157931.46</v>
          </cell>
          <cell r="K81" t="str">
            <v>Active</v>
          </cell>
          <cell r="L81" t="str">
            <v>Balance Sheet</v>
          </cell>
          <cell r="M81">
            <v>1</v>
          </cell>
        </row>
        <row r="82">
          <cell r="A82">
            <v>115</v>
          </cell>
          <cell r="B82" t="str">
            <v>ACC PROV-AMORTIZATION</v>
          </cell>
          <cell r="C82">
            <v>0</v>
          </cell>
          <cell r="D82">
            <v>0</v>
          </cell>
          <cell r="E82">
            <v>-157931.46</v>
          </cell>
          <cell r="F82">
            <v>0</v>
          </cell>
          <cell r="G82" t="str">
            <v>Asset</v>
          </cell>
          <cell r="I82">
            <v>-157931.46</v>
          </cell>
          <cell r="K82" t="str">
            <v>Active</v>
          </cell>
          <cell r="L82" t="str">
            <v>Balance Sheet</v>
          </cell>
          <cell r="M82">
            <v>4</v>
          </cell>
        </row>
        <row r="83">
          <cell r="A83">
            <v>121</v>
          </cell>
          <cell r="B83" t="str">
            <v>NON UTILITY PROPERTY</v>
          </cell>
          <cell r="C83">
            <v>0</v>
          </cell>
          <cell r="D83">
            <v>0</v>
          </cell>
          <cell r="E83">
            <v>65696.929999999993</v>
          </cell>
          <cell r="F83">
            <v>0</v>
          </cell>
          <cell r="G83" t="str">
            <v>Asset</v>
          </cell>
          <cell r="I83">
            <v>65696.929999999993</v>
          </cell>
          <cell r="K83" t="str">
            <v>Active</v>
          </cell>
          <cell r="L83" t="str">
            <v>Balance Sheet</v>
          </cell>
          <cell r="M83">
            <v>6</v>
          </cell>
        </row>
        <row r="84">
          <cell r="A84">
            <v>123.1</v>
          </cell>
          <cell r="B84" t="str">
            <v>PAT CAP - CFC</v>
          </cell>
          <cell r="C84">
            <v>0</v>
          </cell>
          <cell r="D84">
            <v>0</v>
          </cell>
          <cell r="E84">
            <v>2582610.7200000002</v>
          </cell>
          <cell r="F84">
            <v>0</v>
          </cell>
          <cell r="G84" t="str">
            <v>Asset</v>
          </cell>
          <cell r="I84">
            <v>2582610.7200000002</v>
          </cell>
          <cell r="K84" t="str">
            <v>Active</v>
          </cell>
          <cell r="L84" t="str">
            <v>Balance Sheet</v>
          </cell>
          <cell r="M84">
            <v>8</v>
          </cell>
        </row>
        <row r="85">
          <cell r="A85">
            <v>123.11</v>
          </cell>
          <cell r="B85" t="str">
            <v>PAT CAP - SEDC</v>
          </cell>
          <cell r="C85">
            <v>0</v>
          </cell>
          <cell r="D85">
            <v>0</v>
          </cell>
          <cell r="E85">
            <v>28571.360000000001</v>
          </cell>
          <cell r="F85">
            <v>0</v>
          </cell>
          <cell r="G85" t="str">
            <v>Asset</v>
          </cell>
          <cell r="I85">
            <v>28571.360000000001</v>
          </cell>
          <cell r="K85" t="str">
            <v>Active</v>
          </cell>
          <cell r="L85" t="str">
            <v>Balance Sheet</v>
          </cell>
          <cell r="M85">
            <v>8</v>
          </cell>
        </row>
        <row r="86">
          <cell r="A86">
            <v>123.12</v>
          </cell>
          <cell r="B86" t="str">
            <v>PAT CAP - CRC</v>
          </cell>
          <cell r="C86">
            <v>0</v>
          </cell>
          <cell r="D86">
            <v>0</v>
          </cell>
          <cell r="E86">
            <v>10000</v>
          </cell>
          <cell r="F86">
            <v>0</v>
          </cell>
          <cell r="G86" t="str">
            <v>Asset</v>
          </cell>
          <cell r="I86">
            <v>10000</v>
          </cell>
          <cell r="K86" t="str">
            <v>Active</v>
          </cell>
          <cell r="L86" t="str">
            <v>Balance Sheet</v>
          </cell>
          <cell r="M86">
            <v>8</v>
          </cell>
        </row>
        <row r="87">
          <cell r="A87">
            <v>123.13</v>
          </cell>
          <cell r="B87" t="str">
            <v>PAT CAP - COBANK</v>
          </cell>
          <cell r="C87">
            <v>0</v>
          </cell>
          <cell r="D87">
            <v>0</v>
          </cell>
          <cell r="E87">
            <v>415594.69</v>
          </cell>
          <cell r="F87">
            <v>0</v>
          </cell>
          <cell r="G87" t="str">
            <v>Asset</v>
          </cell>
          <cell r="I87">
            <v>415594.69</v>
          </cell>
          <cell r="K87" t="str">
            <v>Active</v>
          </cell>
          <cell r="L87" t="str">
            <v>Balance Sheet</v>
          </cell>
          <cell r="M87">
            <v>8</v>
          </cell>
        </row>
        <row r="88">
          <cell r="A88">
            <v>123.14</v>
          </cell>
          <cell r="B88" t="str">
            <v>PAT CAP - NISC</v>
          </cell>
          <cell r="C88">
            <v>0</v>
          </cell>
          <cell r="D88">
            <v>0</v>
          </cell>
          <cell r="E88">
            <v>63030.63</v>
          </cell>
          <cell r="F88">
            <v>0</v>
          </cell>
          <cell r="G88" t="str">
            <v>Asset</v>
          </cell>
          <cell r="I88">
            <v>63030.63</v>
          </cell>
          <cell r="K88" t="str">
            <v>Active</v>
          </cell>
          <cell r="L88" t="str">
            <v>Balance Sheet</v>
          </cell>
          <cell r="M88">
            <v>8</v>
          </cell>
        </row>
        <row r="89">
          <cell r="A89">
            <v>123.15</v>
          </cell>
          <cell r="B89" t="str">
            <v>PAT CAP - NRTC</v>
          </cell>
          <cell r="C89">
            <v>0</v>
          </cell>
          <cell r="D89">
            <v>0</v>
          </cell>
          <cell r="E89">
            <v>269.83999999999997</v>
          </cell>
          <cell r="F89">
            <v>0</v>
          </cell>
          <cell r="G89" t="str">
            <v>Asset</v>
          </cell>
          <cell r="I89">
            <v>269.83999999999997</v>
          </cell>
          <cell r="K89" t="str">
            <v>Active</v>
          </cell>
          <cell r="L89" t="str">
            <v>Balance Sheet</v>
          </cell>
          <cell r="M89">
            <v>8</v>
          </cell>
        </row>
        <row r="90">
          <cell r="A90">
            <v>123.22</v>
          </cell>
          <cell r="B90" t="str">
            <v>OTHER INVESTMENTS - CERT CFC</v>
          </cell>
          <cell r="C90">
            <v>0</v>
          </cell>
          <cell r="D90">
            <v>0</v>
          </cell>
          <cell r="E90">
            <v>0</v>
          </cell>
          <cell r="F90">
            <v>0</v>
          </cell>
          <cell r="G90" t="str">
            <v>Asset</v>
          </cell>
          <cell r="I90">
            <v>0</v>
          </cell>
          <cell r="K90" t="str">
            <v>Active</v>
          </cell>
          <cell r="L90" t="str">
            <v>Balance Sheet</v>
          </cell>
          <cell r="M90">
            <v>10</v>
          </cell>
        </row>
        <row r="91">
          <cell r="A91">
            <v>123.23</v>
          </cell>
          <cell r="B91" t="str">
            <v>OTHER INVESTMENTS</v>
          </cell>
          <cell r="C91">
            <v>0</v>
          </cell>
          <cell r="D91">
            <v>0</v>
          </cell>
          <cell r="E91">
            <v>0</v>
          </cell>
          <cell r="F91">
            <v>0</v>
          </cell>
          <cell r="G91" t="str">
            <v>Asset</v>
          </cell>
          <cell r="I91">
            <v>0</v>
          </cell>
          <cell r="K91" t="str">
            <v>Active</v>
          </cell>
          <cell r="L91" t="str">
            <v>Balance Sheet</v>
          </cell>
          <cell r="M91">
            <v>10</v>
          </cell>
        </row>
        <row r="92">
          <cell r="A92">
            <v>123.24</v>
          </cell>
          <cell r="B92" t="str">
            <v>OTHER INVESTMENTS - REVA</v>
          </cell>
          <cell r="C92">
            <v>0</v>
          </cell>
          <cell r="D92">
            <v>0</v>
          </cell>
          <cell r="E92">
            <v>0</v>
          </cell>
          <cell r="F92">
            <v>0</v>
          </cell>
          <cell r="G92" t="str">
            <v>Asset</v>
          </cell>
          <cell r="I92">
            <v>0</v>
          </cell>
          <cell r="K92" t="str">
            <v>Active</v>
          </cell>
          <cell r="L92" t="str">
            <v>Balance Sheet</v>
          </cell>
          <cell r="M92">
            <v>10</v>
          </cell>
        </row>
        <row r="93">
          <cell r="A93">
            <v>124</v>
          </cell>
          <cell r="B93" t="str">
            <v>OTHER INVESTMENTS</v>
          </cell>
          <cell r="C93">
            <v>0</v>
          </cell>
          <cell r="D93">
            <v>0</v>
          </cell>
          <cell r="E93">
            <v>0</v>
          </cell>
          <cell r="F93">
            <v>0</v>
          </cell>
          <cell r="G93" t="str">
            <v>Asset</v>
          </cell>
          <cell r="I93">
            <v>0</v>
          </cell>
          <cell r="K93" t="str">
            <v>Active</v>
          </cell>
          <cell r="L93" t="str">
            <v>Balance Sheet</v>
          </cell>
          <cell r="M93">
            <v>12</v>
          </cell>
        </row>
        <row r="94">
          <cell r="A94">
            <v>124.1</v>
          </cell>
          <cell r="B94" t="str">
            <v>OTHER INVESTMENTS - STOCK</v>
          </cell>
          <cell r="C94">
            <v>0</v>
          </cell>
          <cell r="D94">
            <v>0</v>
          </cell>
          <cell r="E94">
            <v>10620524.5</v>
          </cell>
          <cell r="F94">
            <v>0</v>
          </cell>
          <cell r="G94" t="str">
            <v>Asset</v>
          </cell>
          <cell r="I94">
            <v>10620524.5</v>
          </cell>
          <cell r="K94" t="str">
            <v>Active</v>
          </cell>
          <cell r="L94" t="str">
            <v>Balance Sheet</v>
          </cell>
          <cell r="M94">
            <v>12</v>
          </cell>
        </row>
        <row r="95">
          <cell r="A95">
            <v>124.2</v>
          </cell>
          <cell r="B95" t="str">
            <v>INVESTMENT - NEW ENGLAND HYDRO</v>
          </cell>
          <cell r="C95">
            <v>0</v>
          </cell>
          <cell r="D95">
            <v>0</v>
          </cell>
          <cell r="E95">
            <v>263024.02</v>
          </cell>
          <cell r="F95">
            <v>0</v>
          </cell>
          <cell r="G95" t="str">
            <v>Asset</v>
          </cell>
          <cell r="I95">
            <v>263024.02</v>
          </cell>
          <cell r="K95" t="str">
            <v>Active</v>
          </cell>
          <cell r="L95" t="str">
            <v>Balance Sheet</v>
          </cell>
          <cell r="M95">
            <v>12</v>
          </cell>
        </row>
        <row r="96">
          <cell r="A96">
            <v>124.3</v>
          </cell>
          <cell r="B96" t="str">
            <v>OTHER INV. - HIGHGATE CONVERTER</v>
          </cell>
          <cell r="C96">
            <v>0</v>
          </cell>
          <cell r="D96">
            <v>0</v>
          </cell>
          <cell r="E96">
            <v>0</v>
          </cell>
          <cell r="F96">
            <v>0</v>
          </cell>
          <cell r="G96" t="str">
            <v>Asset</v>
          </cell>
          <cell r="I96">
            <v>0</v>
          </cell>
          <cell r="K96" t="str">
            <v>Active</v>
          </cell>
          <cell r="L96" t="str">
            <v>Balance Sheet</v>
          </cell>
          <cell r="M96">
            <v>12</v>
          </cell>
        </row>
        <row r="97">
          <cell r="A97">
            <v>124.4</v>
          </cell>
          <cell r="B97" t="str">
            <v>OTHER INVESTMENTS-METALLIC</v>
          </cell>
          <cell r="C97">
            <v>0</v>
          </cell>
          <cell r="D97">
            <v>0</v>
          </cell>
          <cell r="E97">
            <v>0</v>
          </cell>
          <cell r="F97">
            <v>0</v>
          </cell>
          <cell r="G97" t="str">
            <v>Asset</v>
          </cell>
          <cell r="I97">
            <v>0</v>
          </cell>
          <cell r="K97" t="str">
            <v>Active</v>
          </cell>
          <cell r="L97" t="str">
            <v>Balance Sheet</v>
          </cell>
          <cell r="M97">
            <v>12</v>
          </cell>
        </row>
        <row r="98">
          <cell r="A98">
            <v>128.19999999999999</v>
          </cell>
          <cell r="B98" t="str">
            <v>OTHER FUNDS - CHRISTMAS</v>
          </cell>
          <cell r="C98">
            <v>0</v>
          </cell>
          <cell r="D98">
            <v>0</v>
          </cell>
          <cell r="E98">
            <v>0</v>
          </cell>
          <cell r="F98">
            <v>0</v>
          </cell>
          <cell r="G98" t="str">
            <v>Asset</v>
          </cell>
          <cell r="I98">
            <v>0</v>
          </cell>
          <cell r="K98" t="str">
            <v>Active</v>
          </cell>
          <cell r="L98" t="str">
            <v>Balance Sheet</v>
          </cell>
          <cell r="M98">
            <v>13</v>
          </cell>
        </row>
        <row r="99">
          <cell r="A99">
            <v>128.30000000000001</v>
          </cell>
          <cell r="B99" t="str">
            <v>OTHER FUNDS - IBEW/NRECA RET</v>
          </cell>
          <cell r="C99">
            <v>0</v>
          </cell>
          <cell r="D99">
            <v>0</v>
          </cell>
          <cell r="E99">
            <v>0</v>
          </cell>
          <cell r="F99">
            <v>0</v>
          </cell>
          <cell r="G99" t="str">
            <v>Asset</v>
          </cell>
          <cell r="I99">
            <v>0</v>
          </cell>
          <cell r="K99" t="str">
            <v>Active</v>
          </cell>
          <cell r="L99" t="str">
            <v>Balance Sheet</v>
          </cell>
          <cell r="M99">
            <v>13</v>
          </cell>
        </row>
        <row r="100">
          <cell r="A100">
            <v>131.09</v>
          </cell>
          <cell r="B100" t="str">
            <v>CASH GENERAL FUNDS/KEY BANK 3/</v>
          </cell>
          <cell r="C100">
            <v>0</v>
          </cell>
          <cell r="D100">
            <v>0</v>
          </cell>
          <cell r="E100">
            <v>0</v>
          </cell>
          <cell r="F100">
            <v>0</v>
          </cell>
          <cell r="G100" t="str">
            <v>Asset</v>
          </cell>
          <cell r="I100">
            <v>0</v>
          </cell>
          <cell r="K100" t="str">
            <v>Active</v>
          </cell>
          <cell r="L100" t="str">
            <v>Balance Sheet</v>
          </cell>
          <cell r="M100">
            <v>15</v>
          </cell>
        </row>
        <row r="101">
          <cell r="A101">
            <v>131.1</v>
          </cell>
          <cell r="B101" t="str">
            <v>CASH GENERAL FUND - MERCHANTS</v>
          </cell>
          <cell r="C101">
            <v>89260.91</v>
          </cell>
          <cell r="D101">
            <v>0</v>
          </cell>
          <cell r="E101">
            <v>177273.88</v>
          </cell>
          <cell r="F101">
            <v>0</v>
          </cell>
          <cell r="G101" t="str">
            <v>Asset</v>
          </cell>
          <cell r="I101">
            <v>88012.97</v>
          </cell>
          <cell r="K101" t="str">
            <v>Active</v>
          </cell>
          <cell r="L101" t="str">
            <v>Balance Sheet</v>
          </cell>
          <cell r="M101">
            <v>15</v>
          </cell>
        </row>
        <row r="102">
          <cell r="A102">
            <v>131.11000000000001</v>
          </cell>
          <cell r="B102" t="str">
            <v>CASH GENERAL FUND - KEY</v>
          </cell>
          <cell r="C102">
            <v>0</v>
          </cell>
          <cell r="D102">
            <v>0</v>
          </cell>
          <cell r="E102">
            <v>0</v>
          </cell>
          <cell r="F102">
            <v>0</v>
          </cell>
          <cell r="G102" t="str">
            <v>Asset</v>
          </cell>
          <cell r="I102">
            <v>0</v>
          </cell>
          <cell r="K102" t="str">
            <v>Active</v>
          </cell>
          <cell r="L102" t="str">
            <v>Balance Sheet</v>
          </cell>
          <cell r="M102">
            <v>15</v>
          </cell>
        </row>
        <row r="103">
          <cell r="A103">
            <v>131.12</v>
          </cell>
          <cell r="B103" t="str">
            <v>CASH PAYROLL P/R KEY BANK</v>
          </cell>
          <cell r="C103">
            <v>0</v>
          </cell>
          <cell r="D103">
            <v>0</v>
          </cell>
          <cell r="E103">
            <v>0</v>
          </cell>
          <cell r="F103">
            <v>0</v>
          </cell>
          <cell r="G103" t="str">
            <v>Asset</v>
          </cell>
          <cell r="I103">
            <v>0</v>
          </cell>
          <cell r="K103" t="str">
            <v>Active</v>
          </cell>
          <cell r="L103" t="str">
            <v>Balance Sheet</v>
          </cell>
          <cell r="M103">
            <v>15</v>
          </cell>
        </row>
        <row r="104">
          <cell r="A104">
            <v>131.13</v>
          </cell>
          <cell r="B104" t="str">
            <v>CASH GENERAL FUND - CHITTENDEN</v>
          </cell>
          <cell r="C104">
            <v>0</v>
          </cell>
          <cell r="D104">
            <v>0</v>
          </cell>
          <cell r="E104">
            <v>0</v>
          </cell>
          <cell r="F104">
            <v>0</v>
          </cell>
          <cell r="G104" t="str">
            <v>Asset</v>
          </cell>
          <cell r="I104">
            <v>0</v>
          </cell>
          <cell r="K104" t="str">
            <v>Active</v>
          </cell>
          <cell r="L104" t="str">
            <v>Balance Sheet</v>
          </cell>
          <cell r="M104">
            <v>15</v>
          </cell>
        </row>
        <row r="105">
          <cell r="A105">
            <v>131.13999999999999</v>
          </cell>
          <cell r="B105" t="str">
            <v>CASH PAYROLL - PEOPLE'S UNITED</v>
          </cell>
          <cell r="C105">
            <v>0</v>
          </cell>
          <cell r="D105">
            <v>0</v>
          </cell>
          <cell r="E105">
            <v>0</v>
          </cell>
          <cell r="F105">
            <v>0</v>
          </cell>
          <cell r="G105" t="str">
            <v>Asset</v>
          </cell>
          <cell r="I105">
            <v>0</v>
          </cell>
          <cell r="K105" t="str">
            <v>Active</v>
          </cell>
          <cell r="L105" t="str">
            <v>Balance Sheet</v>
          </cell>
          <cell r="M105">
            <v>15</v>
          </cell>
        </row>
        <row r="106">
          <cell r="A106">
            <v>131.15</v>
          </cell>
          <cell r="B106" t="str">
            <v>CASH GENERAL FUND - PEOPLE'S</v>
          </cell>
          <cell r="C106">
            <v>-294289.21999999997</v>
          </cell>
          <cell r="D106">
            <v>0</v>
          </cell>
          <cell r="E106">
            <v>1478748.85</v>
          </cell>
          <cell r="F106">
            <v>0</v>
          </cell>
          <cell r="G106" t="str">
            <v>Asset</v>
          </cell>
          <cell r="I106">
            <v>1773038.07</v>
          </cell>
          <cell r="K106" t="str">
            <v>Active</v>
          </cell>
          <cell r="L106" t="str">
            <v>Balance Sheet</v>
          </cell>
          <cell r="M106">
            <v>15</v>
          </cell>
        </row>
        <row r="107">
          <cell r="A107">
            <v>131.16</v>
          </cell>
          <cell r="B107" t="str">
            <v>VEC/DPS COLLABORATIVE EFFORT</v>
          </cell>
          <cell r="C107">
            <v>0</v>
          </cell>
          <cell r="D107">
            <v>0</v>
          </cell>
          <cell r="E107">
            <v>0</v>
          </cell>
          <cell r="F107">
            <v>0</v>
          </cell>
          <cell r="G107" t="str">
            <v>Asset</v>
          </cell>
          <cell r="I107">
            <v>0</v>
          </cell>
          <cell r="K107" t="str">
            <v>Active</v>
          </cell>
          <cell r="L107" t="str">
            <v>Balance Sheet</v>
          </cell>
          <cell r="M107">
            <v>15</v>
          </cell>
        </row>
        <row r="108">
          <cell r="A108">
            <v>131.16999999999999</v>
          </cell>
          <cell r="B108" t="str">
            <v>CASH DIP/TAXES PAYABLE 4/1/96</v>
          </cell>
          <cell r="C108">
            <v>0</v>
          </cell>
          <cell r="D108">
            <v>0</v>
          </cell>
          <cell r="E108">
            <v>0</v>
          </cell>
          <cell r="F108">
            <v>0</v>
          </cell>
          <cell r="G108" t="str">
            <v>Asset</v>
          </cell>
          <cell r="I108">
            <v>0</v>
          </cell>
          <cell r="K108" t="str">
            <v>Active</v>
          </cell>
          <cell r="L108" t="str">
            <v>Balance Sheet</v>
          </cell>
          <cell r="M108">
            <v>15</v>
          </cell>
        </row>
        <row r="109">
          <cell r="A109">
            <v>131.18</v>
          </cell>
          <cell r="B109" t="str">
            <v>DIP/ENERGY REFUND/KEY BANK</v>
          </cell>
          <cell r="C109">
            <v>0</v>
          </cell>
          <cell r="D109">
            <v>0</v>
          </cell>
          <cell r="E109">
            <v>0</v>
          </cell>
          <cell r="F109">
            <v>0</v>
          </cell>
          <cell r="G109" t="str">
            <v>Asset</v>
          </cell>
          <cell r="I109">
            <v>0</v>
          </cell>
          <cell r="K109" t="str">
            <v>Active</v>
          </cell>
          <cell r="L109" t="str">
            <v>Balance Sheet</v>
          </cell>
          <cell r="M109">
            <v>15</v>
          </cell>
        </row>
        <row r="110">
          <cell r="A110">
            <v>131.19999999999999</v>
          </cell>
          <cell r="B110" t="str">
            <v>CASH SPECIAL CONSTRUCTION</v>
          </cell>
          <cell r="C110">
            <v>0</v>
          </cell>
          <cell r="D110">
            <v>0</v>
          </cell>
          <cell r="E110">
            <v>0</v>
          </cell>
          <cell r="F110">
            <v>0</v>
          </cell>
          <cell r="G110" t="str">
            <v>Asset</v>
          </cell>
          <cell r="I110">
            <v>0</v>
          </cell>
          <cell r="K110" t="str">
            <v>Active</v>
          </cell>
          <cell r="L110" t="str">
            <v>Balance Sheet</v>
          </cell>
          <cell r="M110">
            <v>16</v>
          </cell>
        </row>
        <row r="111">
          <cell r="A111">
            <v>131.21</v>
          </cell>
          <cell r="B111" t="str">
            <v>CREDIT CARD CLEARING</v>
          </cell>
          <cell r="C111">
            <v>0</v>
          </cell>
          <cell r="D111">
            <v>0</v>
          </cell>
          <cell r="E111">
            <v>0</v>
          </cell>
          <cell r="F111">
            <v>0</v>
          </cell>
          <cell r="G111" t="str">
            <v>Asset</v>
          </cell>
          <cell r="I111">
            <v>0</v>
          </cell>
          <cell r="K111" t="str">
            <v>Active</v>
          </cell>
          <cell r="L111" t="str">
            <v>Balance Sheet</v>
          </cell>
          <cell r="M111">
            <v>15</v>
          </cell>
        </row>
        <row r="112">
          <cell r="A112">
            <v>131.4</v>
          </cell>
          <cell r="B112" t="str">
            <v>TRANSFER OF CASH</v>
          </cell>
          <cell r="C112">
            <v>0</v>
          </cell>
          <cell r="D112">
            <v>0</v>
          </cell>
          <cell r="E112">
            <v>0</v>
          </cell>
          <cell r="F112">
            <v>0</v>
          </cell>
          <cell r="G112" t="str">
            <v>Asset</v>
          </cell>
          <cell r="I112">
            <v>0</v>
          </cell>
          <cell r="K112" t="str">
            <v>Active</v>
          </cell>
          <cell r="L112" t="str">
            <v>Balance Sheet</v>
          </cell>
          <cell r="M112">
            <v>15</v>
          </cell>
        </row>
        <row r="113">
          <cell r="A113">
            <v>131.99</v>
          </cell>
          <cell r="B113" t="str">
            <v>CASH REGISTER CLEARING</v>
          </cell>
          <cell r="C113">
            <v>0</v>
          </cell>
          <cell r="D113">
            <v>0</v>
          </cell>
          <cell r="E113">
            <v>0</v>
          </cell>
          <cell r="F113">
            <v>0</v>
          </cell>
          <cell r="G113" t="str">
            <v>Asset</v>
          </cell>
          <cell r="I113">
            <v>0</v>
          </cell>
          <cell r="K113" t="str">
            <v>Active</v>
          </cell>
          <cell r="L113" t="str">
            <v>Balance Sheet</v>
          </cell>
          <cell r="M113">
            <v>15</v>
          </cell>
        </row>
        <row r="114">
          <cell r="A114">
            <v>134</v>
          </cell>
          <cell r="B114" t="str">
            <v>OTHER SPECIAL DEPOSITS</v>
          </cell>
          <cell r="C114">
            <v>0</v>
          </cell>
          <cell r="D114">
            <v>0</v>
          </cell>
          <cell r="E114">
            <v>50</v>
          </cell>
          <cell r="F114">
            <v>0</v>
          </cell>
          <cell r="G114" t="str">
            <v>Asset</v>
          </cell>
          <cell r="I114">
            <v>50</v>
          </cell>
          <cell r="K114" t="str">
            <v>Active</v>
          </cell>
          <cell r="L114" t="str">
            <v>Balance Sheet</v>
          </cell>
          <cell r="M114">
            <v>17</v>
          </cell>
        </row>
        <row r="115">
          <cell r="A115">
            <v>134.1</v>
          </cell>
          <cell r="B115" t="str">
            <v>CASH - 1995 ESCROW - 01497049</v>
          </cell>
          <cell r="C115">
            <v>0</v>
          </cell>
          <cell r="D115">
            <v>0</v>
          </cell>
          <cell r="E115">
            <v>0</v>
          </cell>
          <cell r="F115">
            <v>0</v>
          </cell>
          <cell r="G115" t="str">
            <v>Asset</v>
          </cell>
          <cell r="I115">
            <v>0</v>
          </cell>
          <cell r="K115" t="str">
            <v>Active</v>
          </cell>
          <cell r="L115" t="str">
            <v>Balance Sheet</v>
          </cell>
          <cell r="M115">
            <v>16</v>
          </cell>
        </row>
        <row r="116">
          <cell r="A116">
            <v>134.19999999999999</v>
          </cell>
          <cell r="B116" t="str">
            <v>SPECIAL DEP-CHITTENDEN SERV CTR</v>
          </cell>
          <cell r="C116">
            <v>0</v>
          </cell>
          <cell r="D116">
            <v>0</v>
          </cell>
          <cell r="E116">
            <v>1416.66</v>
          </cell>
          <cell r="F116">
            <v>0</v>
          </cell>
          <cell r="G116" t="str">
            <v>Asset</v>
          </cell>
          <cell r="I116">
            <v>1416.66</v>
          </cell>
          <cell r="K116" t="str">
            <v>Active</v>
          </cell>
          <cell r="L116" t="str">
            <v>Balance Sheet</v>
          </cell>
          <cell r="M116">
            <v>17</v>
          </cell>
        </row>
        <row r="117">
          <cell r="A117">
            <v>134.21</v>
          </cell>
          <cell r="B117" t="str">
            <v>DEPOSIT-VEHICLE LEASES</v>
          </cell>
          <cell r="C117">
            <v>0</v>
          </cell>
          <cell r="D117">
            <v>0</v>
          </cell>
          <cell r="E117">
            <v>0</v>
          </cell>
          <cell r="F117">
            <v>0</v>
          </cell>
          <cell r="G117" t="str">
            <v>Asset</v>
          </cell>
          <cell r="I117">
            <v>0</v>
          </cell>
          <cell r="K117" t="str">
            <v>Active</v>
          </cell>
          <cell r="L117" t="str">
            <v>Balance Sheet</v>
          </cell>
          <cell r="M117">
            <v>17</v>
          </cell>
        </row>
        <row r="118">
          <cell r="A118">
            <v>134.30000000000001</v>
          </cell>
          <cell r="B118" t="str">
            <v>CASH-CFC SHORT TERM INVESTMENTS</v>
          </cell>
          <cell r="C118">
            <v>0</v>
          </cell>
          <cell r="D118">
            <v>0</v>
          </cell>
          <cell r="E118">
            <v>0</v>
          </cell>
          <cell r="F118">
            <v>0</v>
          </cell>
          <cell r="G118" t="str">
            <v>Asset</v>
          </cell>
          <cell r="I118">
            <v>0</v>
          </cell>
          <cell r="K118" t="str">
            <v>Active</v>
          </cell>
          <cell r="L118" t="str">
            <v>Balance Sheet</v>
          </cell>
          <cell r="M118">
            <v>16</v>
          </cell>
        </row>
        <row r="119">
          <cell r="A119">
            <v>134.4</v>
          </cell>
          <cell r="B119" t="str">
            <v>CASH-EMP CAFETERIA DEP-PEOPLE'S</v>
          </cell>
          <cell r="C119">
            <v>0</v>
          </cell>
          <cell r="D119">
            <v>0</v>
          </cell>
          <cell r="E119">
            <v>5226.2299999999996</v>
          </cell>
          <cell r="F119">
            <v>0</v>
          </cell>
          <cell r="G119" t="str">
            <v>Asset</v>
          </cell>
          <cell r="I119">
            <v>5226.2299999999996</v>
          </cell>
          <cell r="K119" t="str">
            <v>Active</v>
          </cell>
          <cell r="L119" t="str">
            <v>Balance Sheet</v>
          </cell>
          <cell r="M119">
            <v>16</v>
          </cell>
        </row>
        <row r="120">
          <cell r="A120">
            <v>134.5</v>
          </cell>
          <cell r="B120" t="str">
            <v>CASH - POWER SUPPLY RESERVE</v>
          </cell>
          <cell r="C120">
            <v>0</v>
          </cell>
          <cell r="D120">
            <v>0</v>
          </cell>
          <cell r="E120">
            <v>0</v>
          </cell>
          <cell r="F120">
            <v>0</v>
          </cell>
          <cell r="G120" t="str">
            <v>Asset</v>
          </cell>
          <cell r="I120">
            <v>0</v>
          </cell>
          <cell r="K120" t="str">
            <v>Active</v>
          </cell>
          <cell r="L120" t="str">
            <v>Balance Sheet</v>
          </cell>
          <cell r="M120">
            <v>16</v>
          </cell>
        </row>
        <row r="121">
          <cell r="A121">
            <v>134.51</v>
          </cell>
          <cell r="B121" t="str">
            <v>CASH - TREE TRIMMING RESERVE</v>
          </cell>
          <cell r="C121">
            <v>0</v>
          </cell>
          <cell r="D121">
            <v>0</v>
          </cell>
          <cell r="E121">
            <v>0</v>
          </cell>
          <cell r="F121">
            <v>0</v>
          </cell>
          <cell r="G121" t="str">
            <v>Asset</v>
          </cell>
          <cell r="I121">
            <v>0</v>
          </cell>
          <cell r="K121" t="str">
            <v>Active</v>
          </cell>
          <cell r="L121" t="str">
            <v>Balance Sheet</v>
          </cell>
          <cell r="M121">
            <v>16</v>
          </cell>
        </row>
        <row r="122">
          <cell r="A122">
            <v>134.52000000000001</v>
          </cell>
          <cell r="B122" t="str">
            <v>CASH - TIER &amp; DSC RESERVE</v>
          </cell>
          <cell r="C122">
            <v>0</v>
          </cell>
          <cell r="D122">
            <v>0</v>
          </cell>
          <cell r="E122">
            <v>0</v>
          </cell>
          <cell r="F122">
            <v>0</v>
          </cell>
          <cell r="G122" t="str">
            <v>Asset</v>
          </cell>
          <cell r="I122">
            <v>0</v>
          </cell>
          <cell r="K122" t="str">
            <v>Active</v>
          </cell>
          <cell r="L122" t="str">
            <v>Balance Sheet</v>
          </cell>
          <cell r="M122">
            <v>16</v>
          </cell>
        </row>
        <row r="123">
          <cell r="A123">
            <v>134.6</v>
          </cell>
          <cell r="B123" t="str">
            <v>CASH - EMP CAFETERIA DEP</v>
          </cell>
          <cell r="C123">
            <v>0</v>
          </cell>
          <cell r="D123">
            <v>0</v>
          </cell>
          <cell r="E123">
            <v>0</v>
          </cell>
          <cell r="F123">
            <v>0</v>
          </cell>
          <cell r="G123" t="str">
            <v>Asset</v>
          </cell>
          <cell r="I123">
            <v>0</v>
          </cell>
          <cell r="K123" t="str">
            <v>Active</v>
          </cell>
          <cell r="L123" t="str">
            <v>Balance Sheet</v>
          </cell>
          <cell r="M123">
            <v>16</v>
          </cell>
        </row>
        <row r="124">
          <cell r="A124">
            <v>135</v>
          </cell>
          <cell r="B124" t="str">
            <v>PETTY CASH $1400, DRAWER $100(2)</v>
          </cell>
          <cell r="C124">
            <v>0</v>
          </cell>
          <cell r="D124">
            <v>0</v>
          </cell>
          <cell r="E124">
            <v>1600</v>
          </cell>
          <cell r="F124">
            <v>0</v>
          </cell>
          <cell r="G124" t="str">
            <v>Asset</v>
          </cell>
          <cell r="I124">
            <v>1600</v>
          </cell>
          <cell r="K124" t="str">
            <v>Active</v>
          </cell>
          <cell r="L124" t="str">
            <v>Balance Sheet</v>
          </cell>
          <cell r="M124">
            <v>15</v>
          </cell>
        </row>
        <row r="125">
          <cell r="A125">
            <v>136</v>
          </cell>
          <cell r="B125" t="str">
            <v>TEMPORARY CASH INVESTMENTS</v>
          </cell>
          <cell r="C125">
            <v>0</v>
          </cell>
          <cell r="D125">
            <v>0</v>
          </cell>
          <cell r="E125">
            <v>0</v>
          </cell>
          <cell r="F125">
            <v>0</v>
          </cell>
          <cell r="G125" t="str">
            <v>Asset</v>
          </cell>
          <cell r="I125">
            <v>0</v>
          </cell>
          <cell r="K125" t="str">
            <v>Active</v>
          </cell>
          <cell r="L125" t="str">
            <v>Balance Sheet</v>
          </cell>
          <cell r="M125">
            <v>18</v>
          </cell>
        </row>
        <row r="126">
          <cell r="A126">
            <v>136.1</v>
          </cell>
          <cell r="B126" t="str">
            <v>MM A/C KEY 454685001652</v>
          </cell>
          <cell r="C126">
            <v>0</v>
          </cell>
          <cell r="D126">
            <v>0</v>
          </cell>
          <cell r="E126">
            <v>0</v>
          </cell>
          <cell r="F126">
            <v>0</v>
          </cell>
          <cell r="G126" t="str">
            <v>Asset</v>
          </cell>
          <cell r="I126">
            <v>0</v>
          </cell>
          <cell r="K126" t="str">
            <v>Active</v>
          </cell>
          <cell r="L126" t="str">
            <v>Balance Sheet</v>
          </cell>
          <cell r="M126">
            <v>18</v>
          </cell>
        </row>
        <row r="127">
          <cell r="A127">
            <v>141.1</v>
          </cell>
          <cell r="B127" t="str">
            <v>ACC PROV UNCOLL NOTES</v>
          </cell>
          <cell r="C127">
            <v>0</v>
          </cell>
          <cell r="D127">
            <v>0</v>
          </cell>
          <cell r="E127">
            <v>0</v>
          </cell>
          <cell r="F127">
            <v>0</v>
          </cell>
          <cell r="G127" t="str">
            <v>Asset</v>
          </cell>
          <cell r="I127">
            <v>0</v>
          </cell>
          <cell r="K127" t="str">
            <v>Active</v>
          </cell>
          <cell r="L127" t="str">
            <v>Balance Sheet</v>
          </cell>
          <cell r="M127">
            <v>19</v>
          </cell>
        </row>
        <row r="128">
          <cell r="A128">
            <v>141.5</v>
          </cell>
          <cell r="B128" t="str">
            <v>NOTES REC - LINE EXT</v>
          </cell>
          <cell r="C128">
            <v>0</v>
          </cell>
          <cell r="D128">
            <v>0</v>
          </cell>
          <cell r="E128">
            <v>0</v>
          </cell>
          <cell r="F128">
            <v>0</v>
          </cell>
          <cell r="G128" t="str">
            <v>Asset</v>
          </cell>
          <cell r="I128">
            <v>0</v>
          </cell>
          <cell r="K128" t="str">
            <v>Active</v>
          </cell>
          <cell r="L128" t="str">
            <v>Balance Sheet</v>
          </cell>
          <cell r="M128">
            <v>19</v>
          </cell>
        </row>
        <row r="129">
          <cell r="A129">
            <v>141.6</v>
          </cell>
          <cell r="B129" t="str">
            <v>NOTES REC - DSM FARM PROGRAM</v>
          </cell>
          <cell r="C129">
            <v>0</v>
          </cell>
          <cell r="D129">
            <v>0</v>
          </cell>
          <cell r="E129">
            <v>0</v>
          </cell>
          <cell r="F129">
            <v>0</v>
          </cell>
          <cell r="G129" t="str">
            <v>Asset</v>
          </cell>
          <cell r="I129">
            <v>0</v>
          </cell>
          <cell r="K129" t="str">
            <v>Active</v>
          </cell>
          <cell r="L129" t="str">
            <v>Balance Sheet</v>
          </cell>
          <cell r="M129">
            <v>19</v>
          </cell>
        </row>
        <row r="130">
          <cell r="A130">
            <v>141.61000000000001</v>
          </cell>
          <cell r="B130" t="str">
            <v>NOTES REC-CONTRA-DSM 0 INT PV</v>
          </cell>
          <cell r="C130">
            <v>0</v>
          </cell>
          <cell r="D130">
            <v>0</v>
          </cell>
          <cell r="E130">
            <v>0</v>
          </cell>
          <cell r="F130">
            <v>0</v>
          </cell>
          <cell r="G130" t="str">
            <v>Asset</v>
          </cell>
          <cell r="I130">
            <v>0</v>
          </cell>
          <cell r="K130" t="str">
            <v>Active</v>
          </cell>
          <cell r="L130" t="str">
            <v>Balance Sheet</v>
          </cell>
          <cell r="M130">
            <v>19</v>
          </cell>
        </row>
        <row r="131">
          <cell r="A131">
            <v>141.69999999999999</v>
          </cell>
          <cell r="B131" t="str">
            <v>NOTES REC - CITZ DSM LOANS</v>
          </cell>
          <cell r="C131">
            <v>0</v>
          </cell>
          <cell r="D131">
            <v>0</v>
          </cell>
          <cell r="E131">
            <v>0</v>
          </cell>
          <cell r="F131">
            <v>0</v>
          </cell>
          <cell r="G131" t="str">
            <v>Asset</v>
          </cell>
          <cell r="I131">
            <v>0</v>
          </cell>
          <cell r="K131" t="str">
            <v>Active</v>
          </cell>
          <cell r="L131" t="str">
            <v>Balance Sheet</v>
          </cell>
          <cell r="M131">
            <v>19</v>
          </cell>
        </row>
        <row r="132">
          <cell r="A132">
            <v>142.01</v>
          </cell>
          <cell r="B132" t="str">
            <v>CUSTOMER A/R UNBILLED - CLEARING</v>
          </cell>
          <cell r="C132">
            <v>21970</v>
          </cell>
          <cell r="D132">
            <v>0</v>
          </cell>
          <cell r="E132">
            <v>4644597.42</v>
          </cell>
          <cell r="F132">
            <v>0</v>
          </cell>
          <cell r="G132" t="str">
            <v>Asset</v>
          </cell>
          <cell r="I132">
            <v>4622627.42</v>
          </cell>
          <cell r="K132" t="str">
            <v>Active</v>
          </cell>
          <cell r="L132" t="str">
            <v>Balance Sheet</v>
          </cell>
          <cell r="M132">
            <v>20</v>
          </cell>
        </row>
        <row r="133">
          <cell r="A133">
            <v>142.1</v>
          </cell>
          <cell r="B133" t="str">
            <v>CUSTOMER A\R - ELECTRIC</v>
          </cell>
          <cell r="C133">
            <v>-313930.75</v>
          </cell>
          <cell r="D133">
            <v>0</v>
          </cell>
          <cell r="E133">
            <v>5467098.9299999997</v>
          </cell>
          <cell r="F133">
            <v>0</v>
          </cell>
          <cell r="G133" t="str">
            <v>Asset</v>
          </cell>
          <cell r="I133">
            <v>5781029.6799999997</v>
          </cell>
          <cell r="K133" t="str">
            <v>Active</v>
          </cell>
          <cell r="L133" t="str">
            <v>Balance Sheet</v>
          </cell>
          <cell r="M133">
            <v>20</v>
          </cell>
        </row>
        <row r="134">
          <cell r="A134">
            <v>142.11000000000001</v>
          </cell>
          <cell r="B134" t="str">
            <v>CUSTOMER A/R - RECONCILIATION</v>
          </cell>
          <cell r="C134">
            <v>1931.12</v>
          </cell>
          <cell r="D134">
            <v>0</v>
          </cell>
          <cell r="E134">
            <v>4294.82</v>
          </cell>
          <cell r="F134">
            <v>0</v>
          </cell>
          <cell r="G134" t="str">
            <v>Asset</v>
          </cell>
          <cell r="I134">
            <v>2363.6999999999998</v>
          </cell>
          <cell r="K134" t="str">
            <v>Active</v>
          </cell>
          <cell r="L134" t="str">
            <v>Balance Sheet</v>
          </cell>
          <cell r="M134">
            <v>20</v>
          </cell>
        </row>
        <row r="135">
          <cell r="A135">
            <v>142.12</v>
          </cell>
          <cell r="B135" t="str">
            <v>CUSTOMER A/R - UNBILLED TREE TRIMMING</v>
          </cell>
          <cell r="C135">
            <v>-68955</v>
          </cell>
          <cell r="D135">
            <v>0</v>
          </cell>
          <cell r="E135">
            <v>0</v>
          </cell>
          <cell r="F135">
            <v>0</v>
          </cell>
          <cell r="G135" t="str">
            <v>Asset</v>
          </cell>
          <cell r="I135">
            <v>68955</v>
          </cell>
          <cell r="K135" t="str">
            <v>Active</v>
          </cell>
          <cell r="L135" t="str">
            <v>Balance Sheet</v>
          </cell>
          <cell r="M135">
            <v>20</v>
          </cell>
        </row>
        <row r="136">
          <cell r="A136">
            <v>142.19999999999999</v>
          </cell>
          <cell r="B136" t="str">
            <v>CUSTOMER A\R - BAD CHECKS</v>
          </cell>
          <cell r="C136">
            <v>-205.55</v>
          </cell>
          <cell r="D136">
            <v>0</v>
          </cell>
          <cell r="E136">
            <v>125</v>
          </cell>
          <cell r="F136">
            <v>0</v>
          </cell>
          <cell r="G136" t="str">
            <v>Asset</v>
          </cell>
          <cell r="I136">
            <v>330.55</v>
          </cell>
          <cell r="K136" t="str">
            <v>Active</v>
          </cell>
          <cell r="L136" t="str">
            <v>Balance Sheet</v>
          </cell>
          <cell r="M136">
            <v>21</v>
          </cell>
        </row>
        <row r="137">
          <cell r="A137">
            <v>142.21</v>
          </cell>
          <cell r="B137" t="str">
            <v>CUSTOMER A\R - MISCELLANEOUS</v>
          </cell>
          <cell r="C137">
            <v>-94787.32</v>
          </cell>
          <cell r="D137">
            <v>0</v>
          </cell>
          <cell r="E137">
            <v>724123.28</v>
          </cell>
          <cell r="F137">
            <v>0</v>
          </cell>
          <cell r="G137" t="str">
            <v>Asset</v>
          </cell>
          <cell r="I137">
            <v>818910.6</v>
          </cell>
          <cell r="K137" t="str">
            <v>Active</v>
          </cell>
          <cell r="L137" t="str">
            <v>Balance Sheet</v>
          </cell>
          <cell r="M137">
            <v>21</v>
          </cell>
        </row>
        <row r="138">
          <cell r="A138">
            <v>142.22</v>
          </cell>
          <cell r="B138" t="str">
            <v>CUSTOMER A\R - ACCRUED RENTAL</v>
          </cell>
          <cell r="C138">
            <v>0</v>
          </cell>
          <cell r="D138">
            <v>0</v>
          </cell>
          <cell r="E138">
            <v>0</v>
          </cell>
          <cell r="F138">
            <v>0</v>
          </cell>
          <cell r="G138" t="str">
            <v>Asset</v>
          </cell>
          <cell r="I138">
            <v>0</v>
          </cell>
          <cell r="K138" t="str">
            <v>Active</v>
          </cell>
          <cell r="L138" t="str">
            <v>Balance Sheet</v>
          </cell>
          <cell r="M138">
            <v>21</v>
          </cell>
        </row>
        <row r="139">
          <cell r="A139">
            <v>142.22999999999999</v>
          </cell>
          <cell r="B139" t="str">
            <v>CUSTOMER A/R - WATER HEATERS</v>
          </cell>
          <cell r="C139">
            <v>0</v>
          </cell>
          <cell r="D139">
            <v>0</v>
          </cell>
          <cell r="E139">
            <v>0</v>
          </cell>
          <cell r="F139">
            <v>0</v>
          </cell>
          <cell r="G139" t="str">
            <v>Asset</v>
          </cell>
          <cell r="I139">
            <v>0</v>
          </cell>
          <cell r="K139" t="str">
            <v>Active</v>
          </cell>
          <cell r="L139" t="str">
            <v>Balance Sheet</v>
          </cell>
          <cell r="M139">
            <v>21</v>
          </cell>
        </row>
        <row r="140">
          <cell r="A140">
            <v>142.24</v>
          </cell>
          <cell r="B140" t="str">
            <v>A/R-FAIRPOINT JOINT OWNERSHIP</v>
          </cell>
          <cell r="C140">
            <v>23013.119999999999</v>
          </cell>
          <cell r="D140">
            <v>0</v>
          </cell>
          <cell r="E140">
            <v>205650.04</v>
          </cell>
          <cell r="F140">
            <v>0</v>
          </cell>
          <cell r="G140" t="str">
            <v>Asset</v>
          </cell>
          <cell r="I140">
            <v>182636.92</v>
          </cell>
          <cell r="K140" t="str">
            <v>Active</v>
          </cell>
          <cell r="L140" t="str">
            <v>Balance Sheet</v>
          </cell>
          <cell r="M140">
            <v>21</v>
          </cell>
        </row>
        <row r="141">
          <cell r="A141">
            <v>142.25</v>
          </cell>
          <cell r="B141" t="str">
            <v>CUSTOMER A\R - LINE EXT</v>
          </cell>
          <cell r="C141">
            <v>1204.5</v>
          </cell>
          <cell r="D141">
            <v>0</v>
          </cell>
          <cell r="E141">
            <v>9491.59</v>
          </cell>
          <cell r="F141">
            <v>0</v>
          </cell>
          <cell r="G141" t="str">
            <v>Asset</v>
          </cell>
          <cell r="I141">
            <v>8287.09</v>
          </cell>
          <cell r="K141" t="str">
            <v>Active</v>
          </cell>
          <cell r="L141" t="str">
            <v>Balance Sheet</v>
          </cell>
          <cell r="M141">
            <v>21</v>
          </cell>
        </row>
        <row r="142">
          <cell r="A142">
            <v>142.26</v>
          </cell>
          <cell r="B142" t="str">
            <v>GRANT REIMBURSEMENT A/R - Y/E</v>
          </cell>
          <cell r="C142">
            <v>-219524.79</v>
          </cell>
          <cell r="D142">
            <v>0</v>
          </cell>
          <cell r="E142">
            <v>0</v>
          </cell>
          <cell r="F142">
            <v>0</v>
          </cell>
          <cell r="G142" t="str">
            <v>Asset</v>
          </cell>
          <cell r="I142">
            <v>219524.79</v>
          </cell>
          <cell r="K142" t="str">
            <v>Active</v>
          </cell>
          <cell r="L142" t="str">
            <v>Balance Sheet</v>
          </cell>
          <cell r="M142">
            <v>21</v>
          </cell>
        </row>
        <row r="143">
          <cell r="A143">
            <v>142.27000000000001</v>
          </cell>
          <cell r="B143" t="str">
            <v>FEMA REIMBURSEMENT - MAJOR STORM</v>
          </cell>
          <cell r="C143">
            <v>0</v>
          </cell>
          <cell r="D143">
            <v>0</v>
          </cell>
          <cell r="E143">
            <v>0</v>
          </cell>
          <cell r="F143">
            <v>0</v>
          </cell>
          <cell r="G143" t="str">
            <v>Asset</v>
          </cell>
          <cell r="I143">
            <v>0</v>
          </cell>
          <cell r="K143" t="str">
            <v>Active</v>
          </cell>
          <cell r="L143" t="str">
            <v>Balance Sheet</v>
          </cell>
          <cell r="M143">
            <v>21</v>
          </cell>
        </row>
        <row r="144">
          <cell r="A144">
            <v>142.28</v>
          </cell>
          <cell r="B144" t="str">
            <v>MISC A/R - EMPLOYEE PURCHASES</v>
          </cell>
          <cell r="C144">
            <v>-1068</v>
          </cell>
          <cell r="D144">
            <v>0</v>
          </cell>
          <cell r="E144">
            <v>8966.35</v>
          </cell>
          <cell r="F144">
            <v>0</v>
          </cell>
          <cell r="G144" t="str">
            <v>Asset</v>
          </cell>
          <cell r="I144">
            <v>10034.35</v>
          </cell>
          <cell r="K144" t="str">
            <v>Active</v>
          </cell>
          <cell r="L144" t="str">
            <v>Balance Sheet</v>
          </cell>
          <cell r="M144">
            <v>21</v>
          </cell>
        </row>
        <row r="145">
          <cell r="A145">
            <v>142.29</v>
          </cell>
          <cell r="B145" t="str">
            <v>MISC A/R - RECONCILIATION</v>
          </cell>
          <cell r="C145">
            <v>38779.019999999997</v>
          </cell>
          <cell r="D145">
            <v>0</v>
          </cell>
          <cell r="E145">
            <v>0</v>
          </cell>
          <cell r="F145">
            <v>0</v>
          </cell>
          <cell r="G145" t="str">
            <v>Asset</v>
          </cell>
          <cell r="I145">
            <v>-38779.019999999997</v>
          </cell>
          <cell r="K145" t="str">
            <v>Active</v>
          </cell>
          <cell r="L145" t="str">
            <v>Balance Sheet</v>
          </cell>
          <cell r="M145">
            <v>21</v>
          </cell>
        </row>
        <row r="146">
          <cell r="A146">
            <v>142.30000000000001</v>
          </cell>
          <cell r="B146" t="str">
            <v>FAIRPOINT BANKRUPTCY (HOLDING A/C)</v>
          </cell>
          <cell r="C146">
            <v>0</v>
          </cell>
          <cell r="D146">
            <v>0</v>
          </cell>
          <cell r="E146">
            <v>0</v>
          </cell>
          <cell r="F146">
            <v>0</v>
          </cell>
          <cell r="G146" t="str">
            <v>Asset</v>
          </cell>
          <cell r="I146">
            <v>0</v>
          </cell>
          <cell r="K146" t="str">
            <v>Active</v>
          </cell>
          <cell r="L146" t="str">
            <v>Balance Sheet</v>
          </cell>
          <cell r="M146">
            <v>21</v>
          </cell>
        </row>
        <row r="147">
          <cell r="A147">
            <v>142.97999999999999</v>
          </cell>
          <cell r="B147" t="str">
            <v>AR OTHER POS CLEARING</v>
          </cell>
          <cell r="C147">
            <v>0</v>
          </cell>
          <cell r="D147">
            <v>0</v>
          </cell>
          <cell r="E147">
            <v>0</v>
          </cell>
          <cell r="F147">
            <v>0</v>
          </cell>
          <cell r="G147" t="str">
            <v>Asset</v>
          </cell>
          <cell r="I147">
            <v>0</v>
          </cell>
          <cell r="K147" t="str">
            <v>Active</v>
          </cell>
          <cell r="L147" t="str">
            <v>Balance Sheet</v>
          </cell>
          <cell r="M147">
            <v>21</v>
          </cell>
        </row>
        <row r="148">
          <cell r="A148">
            <v>142.99</v>
          </cell>
          <cell r="B148" t="str">
            <v>CIS A/R CLEARING</v>
          </cell>
          <cell r="C148">
            <v>0</v>
          </cell>
          <cell r="D148">
            <v>0</v>
          </cell>
          <cell r="E148">
            <v>0</v>
          </cell>
          <cell r="F148">
            <v>0</v>
          </cell>
          <cell r="G148" t="str">
            <v>Asset</v>
          </cell>
          <cell r="I148">
            <v>0</v>
          </cell>
          <cell r="K148" t="str">
            <v>Active</v>
          </cell>
          <cell r="L148" t="str">
            <v>Balance Sheet</v>
          </cell>
          <cell r="M148">
            <v>21</v>
          </cell>
        </row>
        <row r="149">
          <cell r="A149">
            <v>144.1</v>
          </cell>
          <cell r="B149" t="str">
            <v>UNCOLL ENERGY - WRITTEN OFF</v>
          </cell>
          <cell r="C149">
            <v>47127.11</v>
          </cell>
          <cell r="D149">
            <v>0</v>
          </cell>
          <cell r="E149">
            <v>3700385.68</v>
          </cell>
          <cell r="F149">
            <v>0</v>
          </cell>
          <cell r="G149" t="str">
            <v>Asset</v>
          </cell>
          <cell r="I149">
            <v>3653258.57</v>
          </cell>
          <cell r="K149" t="str">
            <v>Active</v>
          </cell>
          <cell r="L149" t="str">
            <v>Balance Sheet</v>
          </cell>
          <cell r="M149">
            <v>20</v>
          </cell>
        </row>
        <row r="150">
          <cell r="A150">
            <v>144.11000000000001</v>
          </cell>
          <cell r="B150" t="str">
            <v>ACC PROV UNCOLL ENERGY</v>
          </cell>
          <cell r="C150">
            <v>-37507.99</v>
          </cell>
          <cell r="D150">
            <v>0</v>
          </cell>
          <cell r="E150">
            <v>-3899431.8</v>
          </cell>
          <cell r="F150">
            <v>0</v>
          </cell>
          <cell r="G150" t="str">
            <v>Asset</v>
          </cell>
          <cell r="I150">
            <v>-3861923.81</v>
          </cell>
          <cell r="K150" t="str">
            <v>Active</v>
          </cell>
          <cell r="L150" t="str">
            <v>Balance Sheet</v>
          </cell>
          <cell r="M150">
            <v>20</v>
          </cell>
        </row>
        <row r="151">
          <cell r="A151">
            <v>144.19999999999999</v>
          </cell>
          <cell r="B151" t="str">
            <v>ACC PROV UNCOLL MDSE &amp; MISC</v>
          </cell>
          <cell r="C151">
            <v>0</v>
          </cell>
          <cell r="D151">
            <v>0</v>
          </cell>
          <cell r="E151">
            <v>-444870.31</v>
          </cell>
          <cell r="F151">
            <v>0</v>
          </cell>
          <cell r="G151" t="str">
            <v>Asset</v>
          </cell>
          <cell r="I151">
            <v>-444870.31</v>
          </cell>
          <cell r="K151" t="str">
            <v>Active</v>
          </cell>
          <cell r="L151" t="str">
            <v>Balance Sheet</v>
          </cell>
          <cell r="M151">
            <v>21</v>
          </cell>
        </row>
        <row r="152">
          <cell r="A152">
            <v>144.21</v>
          </cell>
          <cell r="B152" t="str">
            <v>UNCOLL MDSE - WRITTEN OFF</v>
          </cell>
          <cell r="C152">
            <v>-1314.15</v>
          </cell>
          <cell r="D152">
            <v>0</v>
          </cell>
          <cell r="E152">
            <v>433484.17</v>
          </cell>
          <cell r="F152">
            <v>0</v>
          </cell>
          <cell r="G152" t="str">
            <v>Asset</v>
          </cell>
          <cell r="I152">
            <v>434798.32</v>
          </cell>
          <cell r="K152" t="str">
            <v>Active</v>
          </cell>
          <cell r="L152" t="str">
            <v>Balance Sheet</v>
          </cell>
          <cell r="M152">
            <v>21</v>
          </cell>
        </row>
        <row r="153">
          <cell r="A153">
            <v>144.30000000000001</v>
          </cell>
          <cell r="B153" t="str">
            <v>ACC PROV UNCOLL DSM NOTES</v>
          </cell>
          <cell r="C153">
            <v>0</v>
          </cell>
          <cell r="D153">
            <v>0</v>
          </cell>
          <cell r="E153">
            <v>-13488.27</v>
          </cell>
          <cell r="F153">
            <v>0</v>
          </cell>
          <cell r="G153" t="str">
            <v>Asset</v>
          </cell>
          <cell r="I153">
            <v>-13488.27</v>
          </cell>
          <cell r="K153" t="str">
            <v>Active</v>
          </cell>
          <cell r="L153" t="str">
            <v>Balance Sheet</v>
          </cell>
          <cell r="M153">
            <v>19</v>
          </cell>
        </row>
        <row r="154">
          <cell r="A154">
            <v>144.31</v>
          </cell>
          <cell r="B154" t="str">
            <v>DSM NOTES - WRITTEN OFF</v>
          </cell>
          <cell r="C154">
            <v>0</v>
          </cell>
          <cell r="D154">
            <v>0</v>
          </cell>
          <cell r="E154">
            <v>13488.27</v>
          </cell>
          <cell r="F154">
            <v>0</v>
          </cell>
          <cell r="G154" t="str">
            <v>Asset</v>
          </cell>
          <cell r="I154">
            <v>13488.27</v>
          </cell>
          <cell r="K154" t="str">
            <v>Active</v>
          </cell>
          <cell r="L154" t="str">
            <v>Balance Sheet</v>
          </cell>
          <cell r="M154">
            <v>19</v>
          </cell>
        </row>
        <row r="155">
          <cell r="A155">
            <v>144.4</v>
          </cell>
          <cell r="B155" t="str">
            <v>UNCOLL EEU - WRITTEN OFF</v>
          </cell>
          <cell r="C155">
            <v>13432</v>
          </cell>
          <cell r="D155">
            <v>0</v>
          </cell>
          <cell r="E155">
            <v>68915.240000000005</v>
          </cell>
          <cell r="F155">
            <v>0</v>
          </cell>
          <cell r="G155" t="str">
            <v>Asset</v>
          </cell>
          <cell r="I155">
            <v>55483.24</v>
          </cell>
          <cell r="K155" t="str">
            <v>Active</v>
          </cell>
          <cell r="L155" t="str">
            <v>Balance Sheet</v>
          </cell>
          <cell r="M155">
            <v>20</v>
          </cell>
        </row>
        <row r="156">
          <cell r="A156">
            <v>144.41</v>
          </cell>
          <cell r="B156" t="str">
            <v>EEU - REIMBURSEMENTS</v>
          </cell>
          <cell r="C156">
            <v>-13432</v>
          </cell>
          <cell r="D156">
            <v>0</v>
          </cell>
          <cell r="E156">
            <v>-68915.240000000005</v>
          </cell>
          <cell r="F156">
            <v>0</v>
          </cell>
          <cell r="G156" t="str">
            <v>Asset</v>
          </cell>
          <cell r="I156">
            <v>-55483.24</v>
          </cell>
          <cell r="K156" t="str">
            <v>Active</v>
          </cell>
          <cell r="L156" t="str">
            <v>Balance Sheet</v>
          </cell>
          <cell r="M156">
            <v>20</v>
          </cell>
        </row>
        <row r="157">
          <cell r="A157">
            <v>146</v>
          </cell>
          <cell r="B157" t="str">
            <v>A\R FROM ASSOC COMPANIES</v>
          </cell>
          <cell r="C157">
            <v>0</v>
          </cell>
          <cell r="D157">
            <v>0</v>
          </cell>
          <cell r="E157">
            <v>0</v>
          </cell>
          <cell r="F157">
            <v>0</v>
          </cell>
          <cell r="G157" t="str">
            <v>Asset</v>
          </cell>
          <cell r="I157">
            <v>0</v>
          </cell>
          <cell r="K157" t="str">
            <v>Active</v>
          </cell>
          <cell r="L157" t="str">
            <v>Balance Sheet</v>
          </cell>
          <cell r="M157">
            <v>21</v>
          </cell>
        </row>
        <row r="158">
          <cell r="A158">
            <v>146.11000000000001</v>
          </cell>
          <cell r="B158" t="str">
            <v>A\R ACC INT ASSOC COMP</v>
          </cell>
          <cell r="C158">
            <v>0</v>
          </cell>
          <cell r="D158">
            <v>0</v>
          </cell>
          <cell r="E158">
            <v>0</v>
          </cell>
          <cell r="F158">
            <v>0</v>
          </cell>
          <cell r="G158" t="str">
            <v>Asset</v>
          </cell>
          <cell r="I158">
            <v>0</v>
          </cell>
          <cell r="K158" t="str">
            <v>Active</v>
          </cell>
          <cell r="L158" t="str">
            <v>Balance Sheet</v>
          </cell>
          <cell r="M158">
            <v>21</v>
          </cell>
        </row>
        <row r="159">
          <cell r="A159">
            <v>146.12</v>
          </cell>
          <cell r="B159" t="str">
            <v>A\R ADVANCED TO G&amp;T</v>
          </cell>
          <cell r="C159">
            <v>0</v>
          </cell>
          <cell r="D159">
            <v>0</v>
          </cell>
          <cell r="E159">
            <v>0</v>
          </cell>
          <cell r="F159">
            <v>0</v>
          </cell>
          <cell r="G159" t="str">
            <v>Asset</v>
          </cell>
          <cell r="I159">
            <v>0</v>
          </cell>
          <cell r="K159" t="str">
            <v>Active</v>
          </cell>
          <cell r="L159" t="str">
            <v>Balance Sheet</v>
          </cell>
          <cell r="M159">
            <v>21</v>
          </cell>
        </row>
        <row r="160">
          <cell r="A160">
            <v>146.19999999999999</v>
          </cell>
          <cell r="B160" t="str">
            <v>A\R CFC INT - CTCS</v>
          </cell>
          <cell r="C160">
            <v>0</v>
          </cell>
          <cell r="D160">
            <v>0</v>
          </cell>
          <cell r="E160">
            <v>0</v>
          </cell>
          <cell r="F160">
            <v>0</v>
          </cell>
          <cell r="G160" t="str">
            <v>Asset</v>
          </cell>
          <cell r="I160">
            <v>0</v>
          </cell>
          <cell r="K160" t="str">
            <v>Active</v>
          </cell>
          <cell r="L160" t="str">
            <v>Balance Sheet</v>
          </cell>
          <cell r="M160">
            <v>21</v>
          </cell>
        </row>
        <row r="161">
          <cell r="A161">
            <v>154</v>
          </cell>
          <cell r="B161" t="str">
            <v>MATERIALS - ELECTRIC</v>
          </cell>
          <cell r="C161">
            <v>130230.69</v>
          </cell>
          <cell r="D161">
            <v>0</v>
          </cell>
          <cell r="E161">
            <v>3000436.91</v>
          </cell>
          <cell r="F161">
            <v>0</v>
          </cell>
          <cell r="G161" t="str">
            <v>Asset</v>
          </cell>
          <cell r="I161">
            <v>2870206.22</v>
          </cell>
          <cell r="K161" t="str">
            <v>Active</v>
          </cell>
          <cell r="L161" t="str">
            <v>Balance Sheet</v>
          </cell>
          <cell r="M161">
            <v>23</v>
          </cell>
        </row>
        <row r="162">
          <cell r="A162">
            <v>154.11000000000001</v>
          </cell>
          <cell r="B162" t="str">
            <v>MATERIALS - ELECTRIC - WILM</v>
          </cell>
          <cell r="C162">
            <v>0</v>
          </cell>
          <cell r="D162">
            <v>0</v>
          </cell>
          <cell r="E162">
            <v>0</v>
          </cell>
          <cell r="F162">
            <v>0</v>
          </cell>
          <cell r="G162" t="str">
            <v>Asset</v>
          </cell>
          <cell r="I162">
            <v>0</v>
          </cell>
          <cell r="K162" t="str">
            <v>Active</v>
          </cell>
          <cell r="L162" t="str">
            <v>Balance Sheet</v>
          </cell>
          <cell r="M162">
            <v>23</v>
          </cell>
        </row>
        <row r="163">
          <cell r="A163">
            <v>154.19999999999999</v>
          </cell>
          <cell r="B163" t="str">
            <v>MATERIALS - TRUCK PARTS</v>
          </cell>
          <cell r="C163">
            <v>2405.35</v>
          </cell>
          <cell r="D163">
            <v>0</v>
          </cell>
          <cell r="E163">
            <v>45241.24</v>
          </cell>
          <cell r="F163">
            <v>0</v>
          </cell>
          <cell r="G163" t="str">
            <v>Asset</v>
          </cell>
          <cell r="I163">
            <v>42835.89</v>
          </cell>
          <cell r="K163" t="str">
            <v>Active</v>
          </cell>
          <cell r="L163" t="str">
            <v>Balance Sheet</v>
          </cell>
          <cell r="M163">
            <v>23</v>
          </cell>
        </row>
        <row r="164">
          <cell r="A164">
            <v>154.21</v>
          </cell>
          <cell r="B164" t="str">
            <v>MATERIALS - GAS HALIFAX</v>
          </cell>
          <cell r="C164">
            <v>0</v>
          </cell>
          <cell r="D164">
            <v>0</v>
          </cell>
          <cell r="E164">
            <v>0</v>
          </cell>
          <cell r="F164">
            <v>0</v>
          </cell>
          <cell r="G164" t="str">
            <v>Asset</v>
          </cell>
          <cell r="I164">
            <v>0</v>
          </cell>
          <cell r="K164" t="str">
            <v>Active</v>
          </cell>
          <cell r="L164" t="str">
            <v>Balance Sheet</v>
          </cell>
          <cell r="M164">
            <v>23</v>
          </cell>
        </row>
        <row r="165">
          <cell r="A165">
            <v>154.30000000000001</v>
          </cell>
          <cell r="B165" t="str">
            <v>MATERIALS - ENT HALIFAX</v>
          </cell>
          <cell r="C165">
            <v>0</v>
          </cell>
          <cell r="D165">
            <v>0</v>
          </cell>
          <cell r="E165">
            <v>0</v>
          </cell>
          <cell r="F165">
            <v>0</v>
          </cell>
          <cell r="G165" t="str">
            <v>Asset</v>
          </cell>
          <cell r="I165">
            <v>0</v>
          </cell>
          <cell r="K165" t="str">
            <v>Active</v>
          </cell>
          <cell r="L165" t="str">
            <v>Balance Sheet</v>
          </cell>
          <cell r="M165">
            <v>23</v>
          </cell>
        </row>
        <row r="166">
          <cell r="A166">
            <v>154.6</v>
          </cell>
          <cell r="B166" t="str">
            <v>MATERIALS - METERING &amp; BLG MAI</v>
          </cell>
          <cell r="C166">
            <v>0</v>
          </cell>
          <cell r="D166">
            <v>0</v>
          </cell>
          <cell r="E166">
            <v>0</v>
          </cell>
          <cell r="F166">
            <v>0</v>
          </cell>
          <cell r="G166" t="str">
            <v>Asset</v>
          </cell>
          <cell r="I166">
            <v>0</v>
          </cell>
          <cell r="K166" t="str">
            <v>Active</v>
          </cell>
          <cell r="L166" t="str">
            <v>Balance Sheet</v>
          </cell>
          <cell r="M166">
            <v>23</v>
          </cell>
        </row>
        <row r="167">
          <cell r="A167">
            <v>154.99</v>
          </cell>
          <cell r="B167" t="str">
            <v>UN-INVOICED MATERIAL</v>
          </cell>
          <cell r="C167">
            <v>296.89999999999998</v>
          </cell>
          <cell r="D167">
            <v>0</v>
          </cell>
          <cell r="E167">
            <v>296.89999999999998</v>
          </cell>
          <cell r="F167">
            <v>0</v>
          </cell>
          <cell r="G167" t="str">
            <v>Asset</v>
          </cell>
          <cell r="I167">
            <v>0</v>
          </cell>
          <cell r="K167" t="str">
            <v>Active</v>
          </cell>
          <cell r="L167" t="str">
            <v>Balance Sheet</v>
          </cell>
          <cell r="M167">
            <v>23</v>
          </cell>
        </row>
        <row r="168">
          <cell r="A168">
            <v>155.1</v>
          </cell>
          <cell r="B168" t="str">
            <v>MERCHANDISE - 3" &amp; 4" PVC ETC</v>
          </cell>
          <cell r="C168">
            <v>0</v>
          </cell>
          <cell r="D168">
            <v>0</v>
          </cell>
          <cell r="E168">
            <v>0</v>
          </cell>
          <cell r="F168">
            <v>0</v>
          </cell>
          <cell r="G168" t="str">
            <v>Asset</v>
          </cell>
          <cell r="I168">
            <v>0</v>
          </cell>
          <cell r="K168" t="str">
            <v>Active</v>
          </cell>
          <cell r="L168" t="str">
            <v>Balance Sheet</v>
          </cell>
          <cell r="M168">
            <v>23</v>
          </cell>
        </row>
        <row r="169">
          <cell r="A169">
            <v>155.13</v>
          </cell>
          <cell r="B169" t="str">
            <v>RESALE MERCHANDISE</v>
          </cell>
          <cell r="C169">
            <v>0</v>
          </cell>
          <cell r="D169">
            <v>0</v>
          </cell>
          <cell r="E169">
            <v>0</v>
          </cell>
          <cell r="F169">
            <v>0</v>
          </cell>
          <cell r="G169" t="str">
            <v>Asset</v>
          </cell>
          <cell r="I169">
            <v>0</v>
          </cell>
          <cell r="K169" t="str">
            <v>Active</v>
          </cell>
          <cell r="L169" t="str">
            <v>Balance Sheet</v>
          </cell>
          <cell r="M169">
            <v>23</v>
          </cell>
        </row>
        <row r="170">
          <cell r="A170">
            <v>155.99</v>
          </cell>
          <cell r="B170" t="str">
            <v>ENERGY CONSERVATION ITEMS</v>
          </cell>
          <cell r="C170">
            <v>0</v>
          </cell>
          <cell r="D170">
            <v>0</v>
          </cell>
          <cell r="E170">
            <v>0</v>
          </cell>
          <cell r="F170">
            <v>0</v>
          </cell>
          <cell r="G170" t="str">
            <v>Asset</v>
          </cell>
          <cell r="I170">
            <v>0</v>
          </cell>
          <cell r="K170" t="str">
            <v>Active</v>
          </cell>
          <cell r="L170" t="str">
            <v>Balance Sheet</v>
          </cell>
          <cell r="M170">
            <v>23</v>
          </cell>
        </row>
        <row r="171">
          <cell r="A171">
            <v>163</v>
          </cell>
          <cell r="B171" t="str">
            <v>STORES EXPENSE - UNDISTRIBUTED</v>
          </cell>
          <cell r="C171">
            <v>11266.29</v>
          </cell>
          <cell r="D171">
            <v>0</v>
          </cell>
          <cell r="E171">
            <v>96786.67</v>
          </cell>
          <cell r="F171">
            <v>0</v>
          </cell>
          <cell r="G171" t="str">
            <v>Asset</v>
          </cell>
          <cell r="I171">
            <v>85520.38</v>
          </cell>
          <cell r="K171" t="str">
            <v>Active</v>
          </cell>
          <cell r="L171" t="str">
            <v>Balance Sheet</v>
          </cell>
          <cell r="M171">
            <v>23</v>
          </cell>
        </row>
        <row r="172">
          <cell r="A172">
            <v>163.01</v>
          </cell>
          <cell r="B172" t="str">
            <v>MINOR MATERIAL</v>
          </cell>
          <cell r="C172">
            <v>0</v>
          </cell>
          <cell r="D172">
            <v>0</v>
          </cell>
          <cell r="E172">
            <v>0</v>
          </cell>
          <cell r="F172">
            <v>0</v>
          </cell>
          <cell r="G172" t="str">
            <v>Asset</v>
          </cell>
          <cell r="I172">
            <v>0</v>
          </cell>
          <cell r="K172" t="str">
            <v>Active</v>
          </cell>
          <cell r="L172" t="str">
            <v>Balance Sheet</v>
          </cell>
          <cell r="M172">
            <v>23</v>
          </cell>
        </row>
        <row r="173">
          <cell r="A173">
            <v>163.02000000000001</v>
          </cell>
          <cell r="B173" t="str">
            <v>INVENTORY ADJMT</v>
          </cell>
          <cell r="C173">
            <v>-5289.01</v>
          </cell>
          <cell r="D173">
            <v>0</v>
          </cell>
          <cell r="E173">
            <v>-154450.35999999999</v>
          </cell>
          <cell r="F173">
            <v>0</v>
          </cell>
          <cell r="G173" t="str">
            <v>Asset</v>
          </cell>
          <cell r="I173">
            <v>-149161.35</v>
          </cell>
          <cell r="K173" t="str">
            <v>Active</v>
          </cell>
          <cell r="L173" t="str">
            <v>Balance Sheet</v>
          </cell>
          <cell r="M173">
            <v>23</v>
          </cell>
        </row>
        <row r="174">
          <cell r="A174">
            <v>163.1</v>
          </cell>
          <cell r="B174" t="str">
            <v>TRANSPORTATION MATERIAL CLEARING</v>
          </cell>
          <cell r="C174">
            <v>0</v>
          </cell>
          <cell r="D174">
            <v>0</v>
          </cell>
          <cell r="E174">
            <v>0</v>
          </cell>
          <cell r="F174">
            <v>0</v>
          </cell>
          <cell r="G174" t="str">
            <v>Asset</v>
          </cell>
          <cell r="I174">
            <v>0</v>
          </cell>
          <cell r="K174" t="str">
            <v>Active</v>
          </cell>
          <cell r="L174" t="str">
            <v>Balance Sheet</v>
          </cell>
          <cell r="M174">
            <v>23</v>
          </cell>
        </row>
        <row r="175">
          <cell r="A175">
            <v>163.11000000000001</v>
          </cell>
          <cell r="B175" t="str">
            <v>MINOR INV ADJ-MAJOR TO MINOR</v>
          </cell>
          <cell r="C175">
            <v>0</v>
          </cell>
          <cell r="D175">
            <v>0</v>
          </cell>
          <cell r="E175">
            <v>0</v>
          </cell>
          <cell r="F175">
            <v>0</v>
          </cell>
          <cell r="G175" t="str">
            <v>Asset</v>
          </cell>
          <cell r="I175">
            <v>0</v>
          </cell>
          <cell r="K175" t="str">
            <v>Active</v>
          </cell>
          <cell r="L175" t="str">
            <v>Balance Sheet</v>
          </cell>
          <cell r="M175">
            <v>23</v>
          </cell>
        </row>
        <row r="176">
          <cell r="A176">
            <v>165.1</v>
          </cell>
          <cell r="B176" t="str">
            <v>OTHER PREPAYMENTS-PROPERTY INS</v>
          </cell>
          <cell r="C176">
            <v>5161.5200000000004</v>
          </cell>
          <cell r="D176">
            <v>0</v>
          </cell>
          <cell r="E176">
            <v>138991.37</v>
          </cell>
          <cell r="F176">
            <v>0</v>
          </cell>
          <cell r="G176" t="str">
            <v>Asset</v>
          </cell>
          <cell r="I176">
            <v>133829.85</v>
          </cell>
          <cell r="K176" t="str">
            <v>Active</v>
          </cell>
          <cell r="L176" t="str">
            <v>Balance Sheet</v>
          </cell>
          <cell r="M176">
            <v>24</v>
          </cell>
        </row>
        <row r="177">
          <cell r="A177">
            <v>165.15</v>
          </cell>
          <cell r="B177" t="str">
            <v>OTHER PREPAYMENTS-HEALTH INSURANCE</v>
          </cell>
          <cell r="C177">
            <v>1155</v>
          </cell>
          <cell r="D177">
            <v>0</v>
          </cell>
          <cell r="E177">
            <v>1155</v>
          </cell>
          <cell r="F177">
            <v>0</v>
          </cell>
          <cell r="G177" t="str">
            <v>Asset</v>
          </cell>
          <cell r="I177">
            <v>0</v>
          </cell>
          <cell r="K177" t="str">
            <v>Active</v>
          </cell>
          <cell r="L177" t="str">
            <v>Balance Sheet</v>
          </cell>
          <cell r="M177">
            <v>24</v>
          </cell>
        </row>
        <row r="178">
          <cell r="A178">
            <v>165.16</v>
          </cell>
          <cell r="B178" t="str">
            <v>OTHER PREPAYMENTS-BENEFITS ADMIN FEES</v>
          </cell>
          <cell r="C178">
            <v>11814.54</v>
          </cell>
          <cell r="D178">
            <v>0</v>
          </cell>
          <cell r="E178">
            <v>11814.54</v>
          </cell>
          <cell r="F178">
            <v>0</v>
          </cell>
          <cell r="G178" t="str">
            <v>Asset</v>
          </cell>
          <cell r="I178">
            <v>0</v>
          </cell>
          <cell r="K178" t="str">
            <v>Active</v>
          </cell>
          <cell r="L178" t="str">
            <v>Balance Sheet</v>
          </cell>
          <cell r="M178">
            <v>24</v>
          </cell>
        </row>
        <row r="179">
          <cell r="A179">
            <v>165.2</v>
          </cell>
          <cell r="B179" t="str">
            <v>OTHER PREPAYMENTS</v>
          </cell>
          <cell r="C179">
            <v>-4132.74</v>
          </cell>
          <cell r="D179">
            <v>0</v>
          </cell>
          <cell r="E179">
            <v>84670.77</v>
          </cell>
          <cell r="F179">
            <v>0</v>
          </cell>
          <cell r="G179" t="str">
            <v>Asset</v>
          </cell>
          <cell r="I179">
            <v>88803.51</v>
          </cell>
          <cell r="K179" t="str">
            <v>Active</v>
          </cell>
          <cell r="L179" t="str">
            <v>Balance Sheet</v>
          </cell>
          <cell r="M179">
            <v>24</v>
          </cell>
        </row>
        <row r="180">
          <cell r="A180">
            <v>165.21</v>
          </cell>
          <cell r="B180" t="str">
            <v>OTHER PREPAYMENTS-VEH. LEASE</v>
          </cell>
          <cell r="C180">
            <v>1874.11</v>
          </cell>
          <cell r="D180">
            <v>0</v>
          </cell>
          <cell r="E180">
            <v>27619.41</v>
          </cell>
          <cell r="F180">
            <v>0</v>
          </cell>
          <cell r="G180" t="str">
            <v>Asset</v>
          </cell>
          <cell r="I180">
            <v>25745.3</v>
          </cell>
          <cell r="K180" t="str">
            <v>Active</v>
          </cell>
          <cell r="L180" t="str">
            <v>Balance Sheet</v>
          </cell>
          <cell r="M180">
            <v>24</v>
          </cell>
        </row>
        <row r="181">
          <cell r="A181">
            <v>165.22</v>
          </cell>
          <cell r="B181" t="str">
            <v>OTHER PREPAYMENTS - POSTAGE</v>
          </cell>
          <cell r="C181">
            <v>0</v>
          </cell>
          <cell r="D181">
            <v>0</v>
          </cell>
          <cell r="E181">
            <v>4500</v>
          </cell>
          <cell r="F181">
            <v>0</v>
          </cell>
          <cell r="G181" t="str">
            <v>Asset</v>
          </cell>
          <cell r="I181">
            <v>4500</v>
          </cell>
          <cell r="K181" t="str">
            <v>Active</v>
          </cell>
          <cell r="L181" t="str">
            <v>Balance Sheet</v>
          </cell>
          <cell r="M181">
            <v>24</v>
          </cell>
        </row>
        <row r="182">
          <cell r="A182">
            <v>165.23</v>
          </cell>
          <cell r="B182" t="str">
            <v>OTHER PREPAYMENTS - DUES</v>
          </cell>
          <cell r="C182">
            <v>-2857</v>
          </cell>
          <cell r="D182">
            <v>0</v>
          </cell>
          <cell r="E182">
            <v>22856</v>
          </cell>
          <cell r="F182">
            <v>0</v>
          </cell>
          <cell r="G182" t="str">
            <v>Asset</v>
          </cell>
          <cell r="I182">
            <v>25713</v>
          </cell>
          <cell r="K182" t="str">
            <v>Active</v>
          </cell>
          <cell r="L182" t="str">
            <v>Balance Sheet</v>
          </cell>
          <cell r="M182">
            <v>24</v>
          </cell>
        </row>
        <row r="183">
          <cell r="A183">
            <v>165.24</v>
          </cell>
          <cell r="B183" t="str">
            <v>OTHER PREPAYMENTS - UNIFORMS</v>
          </cell>
          <cell r="C183">
            <v>-956.1</v>
          </cell>
          <cell r="D183">
            <v>0</v>
          </cell>
          <cell r="E183">
            <v>-9156.23</v>
          </cell>
          <cell r="F183">
            <v>0</v>
          </cell>
          <cell r="G183" t="str">
            <v>Asset</v>
          </cell>
          <cell r="I183">
            <v>-8200.1299999999992</v>
          </cell>
          <cell r="K183" t="str">
            <v>Active</v>
          </cell>
          <cell r="L183" t="str">
            <v>Balance Sheet</v>
          </cell>
          <cell r="M183">
            <v>24</v>
          </cell>
        </row>
        <row r="184">
          <cell r="A184">
            <v>165.25</v>
          </cell>
          <cell r="B184" t="str">
            <v>OTHER PREPAYMENTS-NAS RENTAL DEP</v>
          </cell>
          <cell r="C184">
            <v>0</v>
          </cell>
          <cell r="D184">
            <v>0</v>
          </cell>
          <cell r="E184">
            <v>0</v>
          </cell>
          <cell r="F184">
            <v>0</v>
          </cell>
          <cell r="G184" t="str">
            <v>Asset</v>
          </cell>
          <cell r="I184">
            <v>0</v>
          </cell>
          <cell r="K184" t="str">
            <v>Active</v>
          </cell>
          <cell r="L184" t="str">
            <v>Balance Sheet</v>
          </cell>
          <cell r="M184">
            <v>24</v>
          </cell>
        </row>
        <row r="185">
          <cell r="A185">
            <v>165.3</v>
          </cell>
          <cell r="B185" t="str">
            <v>OTHER PREPAYMENTS - RET</v>
          </cell>
          <cell r="C185">
            <v>-89225.3</v>
          </cell>
          <cell r="D185">
            <v>0</v>
          </cell>
          <cell r="E185">
            <v>-89225.3</v>
          </cell>
          <cell r="F185">
            <v>0</v>
          </cell>
          <cell r="G185" t="str">
            <v>Asset</v>
          </cell>
          <cell r="I185">
            <v>0</v>
          </cell>
          <cell r="K185" t="str">
            <v>Active</v>
          </cell>
          <cell r="L185" t="str">
            <v>Balance Sheet</v>
          </cell>
          <cell r="M185">
            <v>24</v>
          </cell>
        </row>
        <row r="186">
          <cell r="A186">
            <v>165.31</v>
          </cell>
          <cell r="B186" t="str">
            <v>OTHER PREPAYMENTS - RET - EMP</v>
          </cell>
          <cell r="C186">
            <v>0</v>
          </cell>
          <cell r="D186">
            <v>0</v>
          </cell>
          <cell r="E186">
            <v>0</v>
          </cell>
          <cell r="F186">
            <v>0</v>
          </cell>
          <cell r="G186" t="str">
            <v>Asset</v>
          </cell>
          <cell r="I186">
            <v>0</v>
          </cell>
          <cell r="K186" t="str">
            <v>Active</v>
          </cell>
          <cell r="L186" t="str">
            <v>Balance Sheet</v>
          </cell>
          <cell r="M186">
            <v>24</v>
          </cell>
        </row>
        <row r="187">
          <cell r="A187">
            <v>165.32</v>
          </cell>
          <cell r="B187" t="str">
            <v>PREPAYMENT-MANAGER'S ADV BEN</v>
          </cell>
          <cell r="C187">
            <v>0</v>
          </cell>
          <cell r="D187">
            <v>0</v>
          </cell>
          <cell r="E187">
            <v>0</v>
          </cell>
          <cell r="F187">
            <v>0</v>
          </cell>
          <cell r="G187" t="str">
            <v>Asset</v>
          </cell>
          <cell r="I187">
            <v>0</v>
          </cell>
          <cell r="K187" t="str">
            <v>Active</v>
          </cell>
          <cell r="L187" t="str">
            <v>Balance Sheet</v>
          </cell>
          <cell r="M187">
            <v>24</v>
          </cell>
        </row>
        <row r="188">
          <cell r="A188">
            <v>165.33</v>
          </cell>
          <cell r="B188" t="str">
            <v>OTHER REPAYMENTS - PAYROLL 555</v>
          </cell>
          <cell r="C188">
            <v>0</v>
          </cell>
          <cell r="D188">
            <v>0</v>
          </cell>
          <cell r="E188">
            <v>0</v>
          </cell>
          <cell r="F188">
            <v>0</v>
          </cell>
          <cell r="G188" t="str">
            <v>Asset</v>
          </cell>
          <cell r="I188">
            <v>0</v>
          </cell>
          <cell r="K188" t="str">
            <v>Active</v>
          </cell>
          <cell r="L188" t="str">
            <v>Balance Sheet</v>
          </cell>
          <cell r="M188">
            <v>24</v>
          </cell>
        </row>
        <row r="189">
          <cell r="A189">
            <v>165.4</v>
          </cell>
          <cell r="B189" t="str">
            <v>OTHER PREPAYMENTS - LTD</v>
          </cell>
          <cell r="C189">
            <v>78609.509999999995</v>
          </cell>
          <cell r="D189">
            <v>0</v>
          </cell>
          <cell r="E189">
            <v>78609.509999999995</v>
          </cell>
          <cell r="F189">
            <v>0</v>
          </cell>
          <cell r="G189" t="str">
            <v>Asset</v>
          </cell>
          <cell r="I189">
            <v>0</v>
          </cell>
          <cell r="K189" t="str">
            <v>Active</v>
          </cell>
          <cell r="L189" t="str">
            <v>Balance Sheet</v>
          </cell>
          <cell r="M189">
            <v>24</v>
          </cell>
        </row>
        <row r="190">
          <cell r="A190">
            <v>165.5</v>
          </cell>
          <cell r="B190" t="str">
            <v>OTHER PREPAYMENTS - LIFE</v>
          </cell>
          <cell r="C190">
            <v>26292.41</v>
          </cell>
          <cell r="D190">
            <v>0</v>
          </cell>
          <cell r="E190">
            <v>26292.41</v>
          </cell>
          <cell r="F190">
            <v>0</v>
          </cell>
          <cell r="G190" t="str">
            <v>Asset</v>
          </cell>
          <cell r="I190">
            <v>0</v>
          </cell>
          <cell r="K190" t="str">
            <v>Active</v>
          </cell>
          <cell r="L190" t="str">
            <v>Balance Sheet</v>
          </cell>
          <cell r="M190">
            <v>24</v>
          </cell>
        </row>
        <row r="191">
          <cell r="A191">
            <v>165.6</v>
          </cell>
          <cell r="B191" t="str">
            <v>OTHER PREPAYMENTS-EE SUPP LIFE</v>
          </cell>
          <cell r="C191">
            <v>2884.12</v>
          </cell>
          <cell r="D191">
            <v>0</v>
          </cell>
          <cell r="E191">
            <v>2470.7600000000002</v>
          </cell>
          <cell r="F191">
            <v>0</v>
          </cell>
          <cell r="G191" t="str">
            <v>Asset</v>
          </cell>
          <cell r="I191">
            <v>-413.36</v>
          </cell>
          <cell r="K191" t="str">
            <v>Active</v>
          </cell>
          <cell r="L191" t="str">
            <v>Balance Sheet</v>
          </cell>
          <cell r="M191">
            <v>24</v>
          </cell>
        </row>
        <row r="192">
          <cell r="A192">
            <v>165.61</v>
          </cell>
          <cell r="B192" t="str">
            <v>OTHER PREPAYMENTS - CU AGRMT</v>
          </cell>
          <cell r="C192">
            <v>0</v>
          </cell>
          <cell r="D192">
            <v>0</v>
          </cell>
          <cell r="E192">
            <v>0</v>
          </cell>
          <cell r="F192">
            <v>0</v>
          </cell>
          <cell r="G192" t="str">
            <v>Asset</v>
          </cell>
          <cell r="I192">
            <v>0</v>
          </cell>
          <cell r="K192" t="str">
            <v>Active</v>
          </cell>
          <cell r="L192" t="str">
            <v>Balance Sheet</v>
          </cell>
          <cell r="M192">
            <v>24</v>
          </cell>
        </row>
        <row r="193">
          <cell r="A193">
            <v>165.7</v>
          </cell>
          <cell r="B193" t="str">
            <v>OTHER PREPAYMENTS - SAVINGS</v>
          </cell>
          <cell r="C193">
            <v>-125.34</v>
          </cell>
          <cell r="D193">
            <v>0</v>
          </cell>
          <cell r="E193">
            <v>-12437.08</v>
          </cell>
          <cell r="F193">
            <v>0</v>
          </cell>
          <cell r="G193" t="str">
            <v>Asset</v>
          </cell>
          <cell r="I193">
            <v>-12311.74</v>
          </cell>
          <cell r="K193" t="str">
            <v>Active</v>
          </cell>
          <cell r="L193" t="str">
            <v>Balance Sheet</v>
          </cell>
          <cell r="M193">
            <v>24</v>
          </cell>
        </row>
        <row r="194">
          <cell r="A194">
            <v>165.71</v>
          </cell>
          <cell r="B194" t="str">
            <v>OTHER PREPAY.-IBEW PAST SERVICE</v>
          </cell>
          <cell r="C194">
            <v>0</v>
          </cell>
          <cell r="D194">
            <v>0</v>
          </cell>
          <cell r="E194">
            <v>0</v>
          </cell>
          <cell r="F194">
            <v>0</v>
          </cell>
          <cell r="G194" t="str">
            <v>Asset</v>
          </cell>
          <cell r="I194">
            <v>0</v>
          </cell>
          <cell r="K194" t="str">
            <v>Active</v>
          </cell>
          <cell r="L194" t="str">
            <v>Balance Sheet</v>
          </cell>
          <cell r="M194">
            <v>24</v>
          </cell>
        </row>
        <row r="195">
          <cell r="A195">
            <v>165.72</v>
          </cell>
          <cell r="B195" t="str">
            <v>PREPAYMENTS - 8/94 VPEX POWER</v>
          </cell>
          <cell r="C195">
            <v>0</v>
          </cell>
          <cell r="D195">
            <v>0</v>
          </cell>
          <cell r="E195">
            <v>0</v>
          </cell>
          <cell r="F195">
            <v>0</v>
          </cell>
          <cell r="G195" t="str">
            <v>Asset</v>
          </cell>
          <cell r="I195">
            <v>0</v>
          </cell>
          <cell r="K195" t="str">
            <v>Active</v>
          </cell>
          <cell r="L195" t="str">
            <v>Balance Sheet</v>
          </cell>
          <cell r="M195">
            <v>24</v>
          </cell>
        </row>
        <row r="196">
          <cell r="A196">
            <v>165.8</v>
          </cell>
          <cell r="B196" t="str">
            <v>OTHER PREPAYMENTS - LOANS - EM</v>
          </cell>
          <cell r="C196">
            <v>-294.24</v>
          </cell>
          <cell r="D196">
            <v>0</v>
          </cell>
          <cell r="E196">
            <v>-7803.07</v>
          </cell>
          <cell r="F196">
            <v>0</v>
          </cell>
          <cell r="G196" t="str">
            <v>Asset</v>
          </cell>
          <cell r="I196">
            <v>-7508.83</v>
          </cell>
          <cell r="K196" t="str">
            <v>Active</v>
          </cell>
          <cell r="L196" t="str">
            <v>Balance Sheet</v>
          </cell>
          <cell r="M196">
            <v>24</v>
          </cell>
        </row>
        <row r="197">
          <cell r="A197">
            <v>165.9</v>
          </cell>
          <cell r="B197" t="str">
            <v>OTHER PREPAYMENTS - PUR POWER</v>
          </cell>
          <cell r="C197">
            <v>0</v>
          </cell>
          <cell r="D197">
            <v>0</v>
          </cell>
          <cell r="E197">
            <v>0</v>
          </cell>
          <cell r="F197">
            <v>0</v>
          </cell>
          <cell r="G197" t="str">
            <v>Asset</v>
          </cell>
          <cell r="I197">
            <v>0</v>
          </cell>
          <cell r="K197" t="str">
            <v>Active</v>
          </cell>
          <cell r="L197" t="str">
            <v>Balance Sheet</v>
          </cell>
          <cell r="M197">
            <v>24</v>
          </cell>
        </row>
        <row r="198">
          <cell r="A198">
            <v>165.99</v>
          </cell>
          <cell r="B198" t="str">
            <v>OTHER PREPYMT-CZN VELCO STOCK</v>
          </cell>
          <cell r="C198">
            <v>0</v>
          </cell>
          <cell r="D198">
            <v>0</v>
          </cell>
          <cell r="E198">
            <v>0</v>
          </cell>
          <cell r="F198">
            <v>0</v>
          </cell>
          <cell r="G198" t="str">
            <v>Asset</v>
          </cell>
          <cell r="I198">
            <v>0</v>
          </cell>
          <cell r="K198" t="str">
            <v>Active</v>
          </cell>
          <cell r="L198" t="str">
            <v>Balance Sheet</v>
          </cell>
          <cell r="M198">
            <v>24</v>
          </cell>
        </row>
        <row r="199">
          <cell r="A199">
            <v>181.3</v>
          </cell>
          <cell r="B199" t="str">
            <v>BH6 LOAN-LEGAL EXPENSE</v>
          </cell>
          <cell r="C199">
            <v>0</v>
          </cell>
          <cell r="D199">
            <v>0</v>
          </cell>
          <cell r="E199">
            <v>0</v>
          </cell>
          <cell r="F199">
            <v>0</v>
          </cell>
          <cell r="G199" t="str">
            <v>Asset</v>
          </cell>
          <cell r="I199">
            <v>0</v>
          </cell>
          <cell r="K199" t="str">
            <v>Active</v>
          </cell>
          <cell r="L199" t="str">
            <v>Balance Sheet</v>
          </cell>
          <cell r="M199">
            <v>28</v>
          </cell>
        </row>
        <row r="200">
          <cell r="A200">
            <v>181.4</v>
          </cell>
          <cell r="B200" t="str">
            <v>UNAMORTIZED DEBT SERVICE COSTS</v>
          </cell>
          <cell r="C200">
            <v>0</v>
          </cell>
          <cell r="D200">
            <v>0</v>
          </cell>
          <cell r="E200">
            <v>0</v>
          </cell>
          <cell r="F200">
            <v>0</v>
          </cell>
          <cell r="G200" t="str">
            <v>Asset</v>
          </cell>
          <cell r="I200">
            <v>0</v>
          </cell>
          <cell r="K200" t="str">
            <v>Active</v>
          </cell>
          <cell r="L200" t="str">
            <v>Balance Sheet</v>
          </cell>
          <cell r="M200">
            <v>28</v>
          </cell>
        </row>
        <row r="201">
          <cell r="A201">
            <v>181.41</v>
          </cell>
          <cell r="B201" t="str">
            <v>UNAMORT DEBT SER-REF 1997 BONDS</v>
          </cell>
          <cell r="C201">
            <v>-2859</v>
          </cell>
          <cell r="D201">
            <v>0</v>
          </cell>
          <cell r="E201">
            <v>391681.32</v>
          </cell>
          <cell r="F201">
            <v>0</v>
          </cell>
          <cell r="G201" t="str">
            <v>Asset</v>
          </cell>
          <cell r="I201">
            <v>394540.32</v>
          </cell>
          <cell r="K201" t="str">
            <v>Active</v>
          </cell>
          <cell r="L201" t="str">
            <v>Balance Sheet</v>
          </cell>
          <cell r="M201">
            <v>28</v>
          </cell>
        </row>
        <row r="202">
          <cell r="A202">
            <v>182.3</v>
          </cell>
          <cell r="B202" t="str">
            <v>OTHER REGULATORY ASSET-NRECA</v>
          </cell>
          <cell r="C202">
            <v>0</v>
          </cell>
          <cell r="D202">
            <v>0</v>
          </cell>
          <cell r="E202">
            <v>0</v>
          </cell>
          <cell r="F202">
            <v>0</v>
          </cell>
          <cell r="G202" t="str">
            <v>Asset</v>
          </cell>
          <cell r="I202">
            <v>0</v>
          </cell>
          <cell r="K202" t="str">
            <v>Active</v>
          </cell>
          <cell r="L202" t="str">
            <v>Balance Sheet</v>
          </cell>
          <cell r="M202">
            <v>28</v>
          </cell>
        </row>
        <row r="203">
          <cell r="A203">
            <v>182.31</v>
          </cell>
          <cell r="B203" t="str">
            <v>BUSINESS PROCESS REVIEW AUDIT</v>
          </cell>
          <cell r="C203">
            <v>0</v>
          </cell>
          <cell r="D203">
            <v>0</v>
          </cell>
          <cell r="E203">
            <v>0</v>
          </cell>
          <cell r="F203">
            <v>0</v>
          </cell>
          <cell r="G203" t="str">
            <v>Asset</v>
          </cell>
          <cell r="I203">
            <v>0</v>
          </cell>
          <cell r="K203" t="str">
            <v>Active</v>
          </cell>
          <cell r="L203" t="str">
            <v>Balance Sheet</v>
          </cell>
          <cell r="M203">
            <v>28</v>
          </cell>
        </row>
        <row r="204">
          <cell r="A204">
            <v>182.32</v>
          </cell>
          <cell r="B204" t="str">
            <v>IRP-OUTSIDE SERVICES</v>
          </cell>
          <cell r="C204">
            <v>0</v>
          </cell>
          <cell r="D204">
            <v>0</v>
          </cell>
          <cell r="E204">
            <v>0</v>
          </cell>
          <cell r="F204">
            <v>0</v>
          </cell>
          <cell r="G204" t="str">
            <v>Asset</v>
          </cell>
          <cell r="I204">
            <v>0</v>
          </cell>
          <cell r="K204" t="str">
            <v>Active</v>
          </cell>
          <cell r="L204" t="str">
            <v>Balance Sheet</v>
          </cell>
          <cell r="M204">
            <v>28</v>
          </cell>
        </row>
        <row r="205">
          <cell r="A205">
            <v>183.01</v>
          </cell>
          <cell r="B205" t="str">
            <v>REDONA PROJECT-PREL SURVEY</v>
          </cell>
          <cell r="C205">
            <v>0</v>
          </cell>
          <cell r="D205">
            <v>0</v>
          </cell>
          <cell r="E205">
            <v>0</v>
          </cell>
          <cell r="F205">
            <v>0</v>
          </cell>
          <cell r="G205" t="str">
            <v>Asset</v>
          </cell>
          <cell r="I205">
            <v>0</v>
          </cell>
          <cell r="K205" t="str">
            <v>Inactive</v>
          </cell>
          <cell r="L205" t="str">
            <v>Balance Sheet</v>
          </cell>
          <cell r="M205">
            <v>28</v>
          </cell>
        </row>
        <row r="206">
          <cell r="A206">
            <v>183.02</v>
          </cell>
          <cell r="B206" t="str">
            <v>ETHAN ALLEN COGEN. PHASE II</v>
          </cell>
          <cell r="C206">
            <v>0</v>
          </cell>
          <cell r="D206">
            <v>0</v>
          </cell>
          <cell r="E206">
            <v>0</v>
          </cell>
          <cell r="F206">
            <v>0</v>
          </cell>
          <cell r="G206" t="str">
            <v>Asset</v>
          </cell>
          <cell r="I206">
            <v>0</v>
          </cell>
          <cell r="K206" t="str">
            <v>Active</v>
          </cell>
          <cell r="L206" t="str">
            <v>Balance Sheet</v>
          </cell>
          <cell r="M206">
            <v>28</v>
          </cell>
        </row>
        <row r="207">
          <cell r="A207">
            <v>183.03</v>
          </cell>
          <cell r="B207" t="str">
            <v>TERRITORIAL RATIONALIZATION STUDY</v>
          </cell>
          <cell r="C207">
            <v>0</v>
          </cell>
          <cell r="D207">
            <v>0</v>
          </cell>
          <cell r="E207">
            <v>621.52</v>
          </cell>
          <cell r="F207">
            <v>0</v>
          </cell>
          <cell r="G207" t="str">
            <v>Asset</v>
          </cell>
          <cell r="I207">
            <v>621.52</v>
          </cell>
          <cell r="K207" t="str">
            <v>Active</v>
          </cell>
          <cell r="L207" t="str">
            <v>Balance Sheet</v>
          </cell>
          <cell r="M207">
            <v>28</v>
          </cell>
        </row>
        <row r="208">
          <cell r="A208">
            <v>183.04</v>
          </cell>
          <cell r="B208" t="str">
            <v>CAPACITOR BANK-PREL SURVEY</v>
          </cell>
          <cell r="C208">
            <v>0</v>
          </cell>
          <cell r="D208">
            <v>0</v>
          </cell>
          <cell r="E208">
            <v>0</v>
          </cell>
          <cell r="F208">
            <v>0</v>
          </cell>
          <cell r="G208" t="str">
            <v>Asset</v>
          </cell>
          <cell r="I208">
            <v>0</v>
          </cell>
          <cell r="K208" t="str">
            <v>Active</v>
          </cell>
          <cell r="L208" t="str">
            <v>Balance Sheet</v>
          </cell>
          <cell r="M208">
            <v>28</v>
          </cell>
        </row>
        <row r="209">
          <cell r="A209">
            <v>183.05</v>
          </cell>
          <cell r="B209" t="str">
            <v>JAY PEAK TAP FEASIBILITY STUDY</v>
          </cell>
          <cell r="C209">
            <v>0</v>
          </cell>
          <cell r="D209">
            <v>0</v>
          </cell>
          <cell r="E209">
            <v>0</v>
          </cell>
          <cell r="F209">
            <v>0</v>
          </cell>
          <cell r="G209" t="str">
            <v>Asset</v>
          </cell>
          <cell r="I209">
            <v>0</v>
          </cell>
          <cell r="K209" t="str">
            <v>Active</v>
          </cell>
          <cell r="L209" t="str">
            <v>Balance Sheet</v>
          </cell>
          <cell r="M209">
            <v>28</v>
          </cell>
        </row>
        <row r="210">
          <cell r="A210">
            <v>183.06</v>
          </cell>
          <cell r="B210" t="str">
            <v>SEALANDER WATER WORKS-PREL SURVE</v>
          </cell>
          <cell r="C210">
            <v>0</v>
          </cell>
          <cell r="D210">
            <v>0</v>
          </cell>
          <cell r="E210">
            <v>-300</v>
          </cell>
          <cell r="F210">
            <v>0</v>
          </cell>
          <cell r="G210" t="str">
            <v>Asset</v>
          </cell>
          <cell r="I210">
            <v>-300</v>
          </cell>
          <cell r="K210" t="str">
            <v>Active</v>
          </cell>
          <cell r="L210" t="str">
            <v>Balance Sheet</v>
          </cell>
          <cell r="M210">
            <v>28</v>
          </cell>
        </row>
        <row r="211">
          <cell r="A211">
            <v>183.07</v>
          </cell>
          <cell r="B211" t="str">
            <v>SWENSON SOLAR-PRELIMINARY SURVEY</v>
          </cell>
          <cell r="C211">
            <v>-300</v>
          </cell>
          <cell r="D211">
            <v>0</v>
          </cell>
          <cell r="E211">
            <v>-300</v>
          </cell>
          <cell r="F211">
            <v>0</v>
          </cell>
          <cell r="G211" t="str">
            <v>Asset</v>
          </cell>
          <cell r="I211">
            <v>0</v>
          </cell>
          <cell r="K211" t="str">
            <v>Active</v>
          </cell>
          <cell r="L211" t="str">
            <v>Balance Sheet</v>
          </cell>
          <cell r="M211">
            <v>28</v>
          </cell>
        </row>
        <row r="212">
          <cell r="A212">
            <v>183.08</v>
          </cell>
          <cell r="B212" t="str">
            <v>KINGDOM AQUAPONICS BIOMASS-PREL SURVEY</v>
          </cell>
          <cell r="C212">
            <v>11.77</v>
          </cell>
          <cell r="D212">
            <v>0</v>
          </cell>
          <cell r="E212">
            <v>11.77</v>
          </cell>
          <cell r="F212">
            <v>0</v>
          </cell>
          <cell r="G212" t="str">
            <v>Asset</v>
          </cell>
          <cell r="I212">
            <v>0</v>
          </cell>
          <cell r="K212" t="str">
            <v>Active</v>
          </cell>
          <cell r="L212" t="str">
            <v>Balance Sheet</v>
          </cell>
          <cell r="M212">
            <v>28</v>
          </cell>
        </row>
        <row r="213">
          <cell r="A213">
            <v>183.09</v>
          </cell>
          <cell r="B213" t="str">
            <v>GENERATION FACILITY-PREL SURVEY</v>
          </cell>
          <cell r="C213">
            <v>0</v>
          </cell>
          <cell r="D213">
            <v>0</v>
          </cell>
          <cell r="E213">
            <v>0</v>
          </cell>
          <cell r="F213">
            <v>0</v>
          </cell>
          <cell r="G213" t="str">
            <v>Asset</v>
          </cell>
          <cell r="I213">
            <v>0</v>
          </cell>
          <cell r="K213" t="str">
            <v>Active</v>
          </cell>
          <cell r="L213" t="str">
            <v>Balance Sheet</v>
          </cell>
          <cell r="M213">
            <v>28</v>
          </cell>
        </row>
        <row r="214">
          <cell r="A214">
            <v>183.1</v>
          </cell>
          <cell r="B214" t="str">
            <v>HINESBURG WHEELING-PREL SURVEY</v>
          </cell>
          <cell r="C214">
            <v>0</v>
          </cell>
          <cell r="D214">
            <v>0</v>
          </cell>
          <cell r="E214">
            <v>839.91</v>
          </cell>
          <cell r="F214">
            <v>0</v>
          </cell>
          <cell r="G214" t="str">
            <v>Asset</v>
          </cell>
          <cell r="I214">
            <v>839.91</v>
          </cell>
          <cell r="K214" t="str">
            <v>Active</v>
          </cell>
          <cell r="L214" t="str">
            <v>Balance Sheet</v>
          </cell>
          <cell r="M214">
            <v>28</v>
          </cell>
        </row>
        <row r="215">
          <cell r="A215">
            <v>183.11</v>
          </cell>
          <cell r="B215" t="str">
            <v>CHAPUT GENERATION-PREL SURVEY</v>
          </cell>
          <cell r="C215">
            <v>0</v>
          </cell>
          <cell r="D215">
            <v>0</v>
          </cell>
          <cell r="E215">
            <v>0</v>
          </cell>
          <cell r="F215">
            <v>0</v>
          </cell>
          <cell r="G215" t="str">
            <v>Asset</v>
          </cell>
          <cell r="I215">
            <v>0</v>
          </cell>
          <cell r="K215" t="str">
            <v>Active</v>
          </cell>
          <cell r="L215" t="str">
            <v>Balance Sheet</v>
          </cell>
          <cell r="M215">
            <v>28</v>
          </cell>
        </row>
        <row r="216">
          <cell r="A216">
            <v>183.12</v>
          </cell>
          <cell r="B216" t="str">
            <v>AGNORTH BIOPOWER-PREL SURVEY</v>
          </cell>
          <cell r="C216">
            <v>0</v>
          </cell>
          <cell r="D216">
            <v>0</v>
          </cell>
          <cell r="E216">
            <v>294.52999999999997</v>
          </cell>
          <cell r="F216">
            <v>0</v>
          </cell>
          <cell r="G216" t="str">
            <v>Asset</v>
          </cell>
          <cell r="I216">
            <v>294.52999999999997</v>
          </cell>
          <cell r="K216" t="str">
            <v>Active</v>
          </cell>
          <cell r="L216" t="str">
            <v>Balance Sheet</v>
          </cell>
          <cell r="M216">
            <v>28</v>
          </cell>
        </row>
        <row r="217">
          <cell r="A217">
            <v>183.13</v>
          </cell>
          <cell r="B217" t="str">
            <v>NORTHERN ENTERPRISES FIBER PROJ.</v>
          </cell>
          <cell r="C217">
            <v>0</v>
          </cell>
          <cell r="D217">
            <v>0</v>
          </cell>
          <cell r="E217">
            <v>0</v>
          </cell>
          <cell r="F217">
            <v>0</v>
          </cell>
          <cell r="G217" t="str">
            <v>Asset</v>
          </cell>
          <cell r="I217">
            <v>0</v>
          </cell>
          <cell r="K217" t="str">
            <v>Active</v>
          </cell>
          <cell r="L217" t="str">
            <v>Balance Sheet</v>
          </cell>
          <cell r="M217">
            <v>28</v>
          </cell>
        </row>
        <row r="218">
          <cell r="A218">
            <v>183.14</v>
          </cell>
          <cell r="B218" t="str">
            <v>BOUCHER BIOPOWER, LLC-PREL SURVE</v>
          </cell>
          <cell r="C218">
            <v>0</v>
          </cell>
          <cell r="D218">
            <v>0</v>
          </cell>
          <cell r="E218">
            <v>0</v>
          </cell>
          <cell r="F218">
            <v>0</v>
          </cell>
          <cell r="G218" t="str">
            <v>Asset</v>
          </cell>
          <cell r="I218">
            <v>0</v>
          </cell>
          <cell r="K218" t="str">
            <v>Active</v>
          </cell>
          <cell r="L218" t="str">
            <v>Balance Sheet</v>
          </cell>
          <cell r="M218">
            <v>28</v>
          </cell>
        </row>
        <row r="219">
          <cell r="A219">
            <v>183.15</v>
          </cell>
          <cell r="B219" t="str">
            <v>FARM GEN. PROJECT-PREL SURVEY</v>
          </cell>
          <cell r="C219">
            <v>0</v>
          </cell>
          <cell r="D219">
            <v>0</v>
          </cell>
          <cell r="E219">
            <v>0</v>
          </cell>
          <cell r="F219">
            <v>0</v>
          </cell>
          <cell r="G219" t="str">
            <v>Asset</v>
          </cell>
          <cell r="I219">
            <v>0</v>
          </cell>
          <cell r="K219" t="str">
            <v>Active</v>
          </cell>
          <cell r="L219" t="str">
            <v>Balance Sheet</v>
          </cell>
          <cell r="M219">
            <v>28</v>
          </cell>
        </row>
        <row r="220">
          <cell r="A220">
            <v>183.16</v>
          </cell>
          <cell r="B220" t="str">
            <v>HINESBURG ENGR STUDY-PREL SURVEY</v>
          </cell>
          <cell r="C220">
            <v>0</v>
          </cell>
          <cell r="D220">
            <v>0</v>
          </cell>
          <cell r="E220">
            <v>0</v>
          </cell>
          <cell r="F220">
            <v>0</v>
          </cell>
          <cell r="G220" t="str">
            <v>Asset</v>
          </cell>
          <cell r="I220">
            <v>0</v>
          </cell>
          <cell r="K220" t="str">
            <v>Active</v>
          </cell>
          <cell r="L220" t="str">
            <v>Balance Sheet</v>
          </cell>
          <cell r="M220">
            <v>28</v>
          </cell>
        </row>
        <row r="221">
          <cell r="A221">
            <v>183.17</v>
          </cell>
          <cell r="B221" t="str">
            <v>CHARLESTON HYDRO PROJ.-PREL SURV</v>
          </cell>
          <cell r="C221">
            <v>0</v>
          </cell>
          <cell r="D221">
            <v>0</v>
          </cell>
          <cell r="E221">
            <v>0</v>
          </cell>
          <cell r="F221">
            <v>0</v>
          </cell>
          <cell r="G221" t="str">
            <v>Asset</v>
          </cell>
          <cell r="I221">
            <v>0</v>
          </cell>
          <cell r="K221" t="str">
            <v>Active</v>
          </cell>
          <cell r="L221" t="str">
            <v>Balance Sheet</v>
          </cell>
          <cell r="M221">
            <v>28</v>
          </cell>
        </row>
        <row r="222">
          <cell r="A222">
            <v>183.18</v>
          </cell>
          <cell r="B222" t="str">
            <v>MOOSE MTN WIND-FEASIBILITY STUDY</v>
          </cell>
          <cell r="C222">
            <v>0</v>
          </cell>
          <cell r="D222">
            <v>0</v>
          </cell>
          <cell r="E222">
            <v>0</v>
          </cell>
          <cell r="F222">
            <v>0</v>
          </cell>
          <cell r="G222" t="str">
            <v>Asset</v>
          </cell>
          <cell r="I222">
            <v>0</v>
          </cell>
          <cell r="K222" t="str">
            <v>Active</v>
          </cell>
          <cell r="L222" t="str">
            <v>Balance Sheet</v>
          </cell>
          <cell r="M222">
            <v>28</v>
          </cell>
        </row>
        <row r="223">
          <cell r="A223">
            <v>183.19</v>
          </cell>
          <cell r="B223" t="str">
            <v>NEW SERVICE CENTER-PREL SURVEY</v>
          </cell>
          <cell r="C223">
            <v>0</v>
          </cell>
          <cell r="D223">
            <v>0</v>
          </cell>
          <cell r="E223">
            <v>0</v>
          </cell>
          <cell r="F223">
            <v>0</v>
          </cell>
          <cell r="G223" t="str">
            <v>Asset</v>
          </cell>
          <cell r="I223">
            <v>0</v>
          </cell>
          <cell r="K223" t="str">
            <v>Active</v>
          </cell>
          <cell r="L223" t="str">
            <v>Balance Sheet</v>
          </cell>
          <cell r="M223">
            <v>28</v>
          </cell>
        </row>
        <row r="224">
          <cell r="A224">
            <v>183.2</v>
          </cell>
          <cell r="B224" t="str">
            <v>KINGDOM COMM. WIND-PREL SURVEY</v>
          </cell>
          <cell r="C224">
            <v>0</v>
          </cell>
          <cell r="D224">
            <v>0</v>
          </cell>
          <cell r="E224">
            <v>0</v>
          </cell>
          <cell r="F224">
            <v>0</v>
          </cell>
          <cell r="G224" t="str">
            <v>Asset</v>
          </cell>
          <cell r="I224">
            <v>0</v>
          </cell>
          <cell r="K224" t="str">
            <v>Inactive</v>
          </cell>
          <cell r="L224" t="str">
            <v>Balance Sheet</v>
          </cell>
          <cell r="M224">
            <v>28</v>
          </cell>
        </row>
        <row r="225">
          <cell r="A225">
            <v>183.21</v>
          </cell>
          <cell r="B225" t="str">
            <v>ALTERIS WIND POWER-PREL SURVEY</v>
          </cell>
          <cell r="C225">
            <v>0</v>
          </cell>
          <cell r="D225">
            <v>0</v>
          </cell>
          <cell r="E225">
            <v>-732.11</v>
          </cell>
          <cell r="F225">
            <v>0</v>
          </cell>
          <cell r="G225" t="str">
            <v>Asset</v>
          </cell>
          <cell r="I225">
            <v>-732.11</v>
          </cell>
          <cell r="K225" t="str">
            <v>Active</v>
          </cell>
          <cell r="L225" t="str">
            <v>Balance Sheet</v>
          </cell>
          <cell r="M225">
            <v>28</v>
          </cell>
        </row>
        <row r="226">
          <cell r="A226">
            <v>183.22</v>
          </cell>
          <cell r="B226" t="str">
            <v>JONESLAN FARM GEN.-PREL SURVEY</v>
          </cell>
          <cell r="C226">
            <v>0</v>
          </cell>
          <cell r="D226">
            <v>0</v>
          </cell>
          <cell r="E226">
            <v>646.32000000000005</v>
          </cell>
          <cell r="F226">
            <v>0</v>
          </cell>
          <cell r="G226" t="str">
            <v>Asset</v>
          </cell>
          <cell r="I226">
            <v>646.32000000000005</v>
          </cell>
          <cell r="K226" t="str">
            <v>Active</v>
          </cell>
          <cell r="L226" t="str">
            <v>Balance Sheet</v>
          </cell>
          <cell r="M226">
            <v>28</v>
          </cell>
        </row>
        <row r="227">
          <cell r="A227">
            <v>183.23</v>
          </cell>
          <cell r="B227" t="str">
            <v>JAY AREA RELIAB. STUDY-PREL SURV</v>
          </cell>
          <cell r="C227">
            <v>0</v>
          </cell>
          <cell r="D227">
            <v>0</v>
          </cell>
          <cell r="E227">
            <v>0</v>
          </cell>
          <cell r="F227">
            <v>0</v>
          </cell>
          <cell r="G227" t="str">
            <v>Asset</v>
          </cell>
          <cell r="I227">
            <v>0</v>
          </cell>
          <cell r="K227" t="str">
            <v>Inactive</v>
          </cell>
          <cell r="L227" t="str">
            <v>Balance Sheet</v>
          </cell>
          <cell r="M227">
            <v>28</v>
          </cell>
        </row>
        <row r="228">
          <cell r="A228">
            <v>183.24</v>
          </cell>
          <cell r="B228" t="str">
            <v>BNE ENGY BIGELOW BASIN-PREL SURV</v>
          </cell>
          <cell r="C228">
            <v>0</v>
          </cell>
          <cell r="D228">
            <v>0</v>
          </cell>
          <cell r="E228">
            <v>-7661.32</v>
          </cell>
          <cell r="F228">
            <v>0</v>
          </cell>
          <cell r="G228" t="str">
            <v>Asset</v>
          </cell>
          <cell r="I228">
            <v>-7661.32</v>
          </cell>
          <cell r="K228" t="str">
            <v>Active</v>
          </cell>
          <cell r="L228" t="str">
            <v>Balance Sheet</v>
          </cell>
          <cell r="M228">
            <v>28</v>
          </cell>
        </row>
        <row r="229">
          <cell r="A229">
            <v>183.25</v>
          </cell>
          <cell r="B229" t="str">
            <v>FALLING WATERS HYDRO-PREL SURVEY</v>
          </cell>
          <cell r="C229">
            <v>0</v>
          </cell>
          <cell r="D229">
            <v>0</v>
          </cell>
          <cell r="E229">
            <v>-2.4900000000000002</v>
          </cell>
          <cell r="F229">
            <v>0</v>
          </cell>
          <cell r="G229" t="str">
            <v>Asset</v>
          </cell>
          <cell r="I229">
            <v>-2.4900000000000002</v>
          </cell>
          <cell r="K229" t="str">
            <v>Active</v>
          </cell>
          <cell r="L229" t="str">
            <v>Balance Sheet</v>
          </cell>
          <cell r="M229">
            <v>28</v>
          </cell>
        </row>
        <row r="230">
          <cell r="A230">
            <v>183.26</v>
          </cell>
          <cell r="B230" t="str">
            <v>E FRANKLIN COW POWER-PREL SURVEY</v>
          </cell>
          <cell r="C230">
            <v>0</v>
          </cell>
          <cell r="D230">
            <v>0</v>
          </cell>
          <cell r="E230">
            <v>941.52</v>
          </cell>
          <cell r="F230">
            <v>0</v>
          </cell>
          <cell r="G230" t="str">
            <v>Asset</v>
          </cell>
          <cell r="I230">
            <v>941.52</v>
          </cell>
          <cell r="K230" t="str">
            <v>Active</v>
          </cell>
          <cell r="L230" t="str">
            <v>Balance Sheet</v>
          </cell>
          <cell r="M230">
            <v>28</v>
          </cell>
        </row>
        <row r="231">
          <cell r="A231">
            <v>183.27</v>
          </cell>
          <cell r="B231" t="str">
            <v>PARSONS WIND GENERATION-PREL SUR</v>
          </cell>
          <cell r="C231">
            <v>0</v>
          </cell>
          <cell r="D231">
            <v>0</v>
          </cell>
          <cell r="E231">
            <v>-300</v>
          </cell>
          <cell r="F231">
            <v>0</v>
          </cell>
          <cell r="G231" t="str">
            <v>Asset</v>
          </cell>
          <cell r="I231">
            <v>-300</v>
          </cell>
          <cell r="K231" t="str">
            <v>Active</v>
          </cell>
          <cell r="L231" t="str">
            <v>Balance Sheet</v>
          </cell>
          <cell r="M231">
            <v>28</v>
          </cell>
        </row>
        <row r="232">
          <cell r="A232">
            <v>183.28</v>
          </cell>
          <cell r="B232" t="str">
            <v>CHASE FARM/SMUGGLER'S WIND PREL SURVEY</v>
          </cell>
          <cell r="C232">
            <v>0</v>
          </cell>
          <cell r="D232">
            <v>0</v>
          </cell>
          <cell r="E232">
            <v>-42.88</v>
          </cell>
          <cell r="F232">
            <v>0</v>
          </cell>
          <cell r="G232" t="str">
            <v>Asset</v>
          </cell>
          <cell r="I232">
            <v>-42.88</v>
          </cell>
          <cell r="K232" t="str">
            <v>Active</v>
          </cell>
          <cell r="L232" t="str">
            <v>Balance Sheet</v>
          </cell>
          <cell r="M232">
            <v>28</v>
          </cell>
        </row>
        <row r="233">
          <cell r="A233">
            <v>183.29</v>
          </cell>
          <cell r="B233" t="str">
            <v>HVB BREAKER REPAIR PRELIMINARY SURVEY</v>
          </cell>
          <cell r="C233">
            <v>0</v>
          </cell>
          <cell r="D233">
            <v>0</v>
          </cell>
          <cell r="E233">
            <v>0</v>
          </cell>
          <cell r="F233">
            <v>0</v>
          </cell>
          <cell r="G233" t="str">
            <v>Asset</v>
          </cell>
          <cell r="I233">
            <v>0</v>
          </cell>
          <cell r="K233" t="str">
            <v>Active</v>
          </cell>
          <cell r="L233" t="str">
            <v>Balance Sheet</v>
          </cell>
          <cell r="M233">
            <v>28</v>
          </cell>
        </row>
        <row r="234">
          <cell r="A234">
            <v>183.3</v>
          </cell>
          <cell r="B234" t="str">
            <v>EGP SOLAR ONE, LLC PREL SURVEY (SHELDON)</v>
          </cell>
          <cell r="C234">
            <v>0</v>
          </cell>
          <cell r="D234">
            <v>0</v>
          </cell>
          <cell r="E234">
            <v>0</v>
          </cell>
          <cell r="F234">
            <v>0</v>
          </cell>
          <cell r="G234" t="str">
            <v>Asset</v>
          </cell>
          <cell r="I234">
            <v>0</v>
          </cell>
          <cell r="K234" t="str">
            <v>Active</v>
          </cell>
          <cell r="L234" t="str">
            <v>Balance Sheet</v>
          </cell>
          <cell r="M234">
            <v>28</v>
          </cell>
        </row>
        <row r="235">
          <cell r="A235">
            <v>184.01</v>
          </cell>
          <cell r="B235" t="str">
            <v>CLEARING - TRANSPORTATION</v>
          </cell>
          <cell r="C235">
            <v>0</v>
          </cell>
          <cell r="D235">
            <v>0</v>
          </cell>
          <cell r="E235">
            <v>0</v>
          </cell>
          <cell r="F235">
            <v>0</v>
          </cell>
          <cell r="G235" t="str">
            <v>Asset</v>
          </cell>
          <cell r="I235">
            <v>0</v>
          </cell>
          <cell r="K235" t="str">
            <v>Active</v>
          </cell>
          <cell r="L235" t="str">
            <v>Balance Sheet</v>
          </cell>
          <cell r="M235">
            <v>28</v>
          </cell>
        </row>
        <row r="236">
          <cell r="A236">
            <v>184.02</v>
          </cell>
          <cell r="B236" t="str">
            <v>CLEARING - TOOL EXPENSE LINE</v>
          </cell>
          <cell r="C236">
            <v>0</v>
          </cell>
          <cell r="D236">
            <v>0</v>
          </cell>
          <cell r="E236">
            <v>0</v>
          </cell>
          <cell r="F236">
            <v>0</v>
          </cell>
          <cell r="G236" t="str">
            <v>Asset</v>
          </cell>
          <cell r="I236">
            <v>0</v>
          </cell>
          <cell r="K236" t="str">
            <v>Active</v>
          </cell>
          <cell r="L236" t="str">
            <v>Balance Sheet</v>
          </cell>
          <cell r="M236">
            <v>28</v>
          </cell>
        </row>
        <row r="237">
          <cell r="A237">
            <v>184.03</v>
          </cell>
          <cell r="B237" t="str">
            <v>CLEARING-COMMUNICATIONS EXPENSE</v>
          </cell>
          <cell r="C237">
            <v>46.59</v>
          </cell>
          <cell r="D237">
            <v>0</v>
          </cell>
          <cell r="E237">
            <v>1657.43</v>
          </cell>
          <cell r="F237">
            <v>0</v>
          </cell>
          <cell r="G237" t="str">
            <v>Asset</v>
          </cell>
          <cell r="I237">
            <v>1610.84</v>
          </cell>
          <cell r="K237" t="str">
            <v>Active</v>
          </cell>
          <cell r="L237" t="str">
            <v>Balance Sheet</v>
          </cell>
          <cell r="M237">
            <v>28</v>
          </cell>
        </row>
        <row r="238">
          <cell r="A238">
            <v>184.06</v>
          </cell>
          <cell r="B238" t="str">
            <v>CRAWLER EXPENSE - CLEARING</v>
          </cell>
          <cell r="C238">
            <v>0</v>
          </cell>
          <cell r="D238">
            <v>0</v>
          </cell>
          <cell r="E238">
            <v>0</v>
          </cell>
          <cell r="F238">
            <v>0</v>
          </cell>
          <cell r="G238" t="str">
            <v>Asset</v>
          </cell>
          <cell r="I238">
            <v>0</v>
          </cell>
          <cell r="K238" t="str">
            <v>Inactive</v>
          </cell>
          <cell r="L238" t="str">
            <v>Balance Sheet</v>
          </cell>
          <cell r="M238">
            <v>28</v>
          </cell>
        </row>
        <row r="239">
          <cell r="A239">
            <v>184.08</v>
          </cell>
          <cell r="B239" t="str">
            <v>CLEARING - OFFICE SUPPLIES</v>
          </cell>
          <cell r="C239">
            <v>0</v>
          </cell>
          <cell r="D239">
            <v>0</v>
          </cell>
          <cell r="E239">
            <v>0</v>
          </cell>
          <cell r="F239">
            <v>0</v>
          </cell>
          <cell r="G239" t="str">
            <v>Asset</v>
          </cell>
          <cell r="I239">
            <v>0</v>
          </cell>
          <cell r="K239" t="str">
            <v>Active</v>
          </cell>
          <cell r="L239" t="str">
            <v>Balance Sheet</v>
          </cell>
          <cell r="M239">
            <v>28</v>
          </cell>
        </row>
        <row r="240">
          <cell r="A240">
            <v>184.1</v>
          </cell>
          <cell r="B240" t="str">
            <v>COMP-LINDSEY-CLEARING</v>
          </cell>
          <cell r="C240">
            <v>0</v>
          </cell>
          <cell r="D240">
            <v>0</v>
          </cell>
          <cell r="E240">
            <v>0</v>
          </cell>
          <cell r="F240">
            <v>0</v>
          </cell>
          <cell r="G240" t="str">
            <v>Asset</v>
          </cell>
          <cell r="I240">
            <v>0</v>
          </cell>
          <cell r="K240" t="str">
            <v>Inactive</v>
          </cell>
          <cell r="L240" t="str">
            <v>Balance Sheet</v>
          </cell>
          <cell r="M240">
            <v>28</v>
          </cell>
        </row>
        <row r="241">
          <cell r="A241">
            <v>184.11</v>
          </cell>
          <cell r="B241" t="str">
            <v>TOTER EXPENSE - CLEARING</v>
          </cell>
          <cell r="C241">
            <v>0</v>
          </cell>
          <cell r="D241">
            <v>0</v>
          </cell>
          <cell r="E241">
            <v>0</v>
          </cell>
          <cell r="F241">
            <v>0</v>
          </cell>
          <cell r="G241" t="str">
            <v>Asset</v>
          </cell>
          <cell r="I241">
            <v>0</v>
          </cell>
          <cell r="K241" t="str">
            <v>Inactive</v>
          </cell>
          <cell r="L241" t="str">
            <v>Balance Sheet</v>
          </cell>
          <cell r="M241">
            <v>28</v>
          </cell>
        </row>
        <row r="242">
          <cell r="A242">
            <v>184.13</v>
          </cell>
          <cell r="B242" t="str">
            <v>TRANSLATOR - CLEARING</v>
          </cell>
          <cell r="C242">
            <v>0</v>
          </cell>
          <cell r="D242">
            <v>0</v>
          </cell>
          <cell r="E242">
            <v>0</v>
          </cell>
          <cell r="F242">
            <v>0</v>
          </cell>
          <cell r="G242" t="str">
            <v>Asset</v>
          </cell>
          <cell r="I242">
            <v>0</v>
          </cell>
          <cell r="K242" t="str">
            <v>Inactive</v>
          </cell>
          <cell r="L242" t="str">
            <v>Balance Sheet</v>
          </cell>
          <cell r="M242">
            <v>28</v>
          </cell>
        </row>
        <row r="243">
          <cell r="A243">
            <v>184.14</v>
          </cell>
          <cell r="B243" t="str">
            <v>CLEARING - COMPUTER EXPENSE</v>
          </cell>
          <cell r="C243">
            <v>0</v>
          </cell>
          <cell r="D243">
            <v>0</v>
          </cell>
          <cell r="E243">
            <v>0</v>
          </cell>
          <cell r="F243">
            <v>0</v>
          </cell>
          <cell r="G243" t="str">
            <v>Asset</v>
          </cell>
          <cell r="I243">
            <v>0</v>
          </cell>
          <cell r="K243" t="str">
            <v>Active</v>
          </cell>
          <cell r="L243" t="str">
            <v>Balance Sheet</v>
          </cell>
          <cell r="M243">
            <v>28</v>
          </cell>
        </row>
        <row r="244">
          <cell r="A244">
            <v>184.15</v>
          </cell>
          <cell r="B244" t="str">
            <v>SILENT AUCTION - CLEARING</v>
          </cell>
          <cell r="C244">
            <v>0</v>
          </cell>
          <cell r="D244">
            <v>0</v>
          </cell>
          <cell r="E244">
            <v>0</v>
          </cell>
          <cell r="F244">
            <v>0</v>
          </cell>
          <cell r="G244" t="str">
            <v>Asset</v>
          </cell>
          <cell r="I244">
            <v>0</v>
          </cell>
          <cell r="K244" t="str">
            <v>Inactive</v>
          </cell>
          <cell r="L244" t="str">
            <v>Balance Sheet</v>
          </cell>
          <cell r="M244">
            <v>28</v>
          </cell>
        </row>
        <row r="245">
          <cell r="A245">
            <v>184.16</v>
          </cell>
          <cell r="B245" t="str">
            <v>CLEARING - TRUCK EXP UNALLOC</v>
          </cell>
          <cell r="C245">
            <v>0</v>
          </cell>
          <cell r="D245">
            <v>0</v>
          </cell>
          <cell r="E245">
            <v>0</v>
          </cell>
          <cell r="F245">
            <v>0</v>
          </cell>
          <cell r="G245" t="str">
            <v>Asset</v>
          </cell>
          <cell r="I245">
            <v>0</v>
          </cell>
          <cell r="K245" t="str">
            <v>Inactive</v>
          </cell>
          <cell r="L245" t="str">
            <v>Balance Sheet</v>
          </cell>
          <cell r="M245">
            <v>28</v>
          </cell>
        </row>
        <row r="246">
          <cell r="A246">
            <v>184.17</v>
          </cell>
          <cell r="B246" t="str">
            <v>CLEARING - SUB TRANSF REPAIRS</v>
          </cell>
          <cell r="C246">
            <v>0</v>
          </cell>
          <cell r="D246">
            <v>0</v>
          </cell>
          <cell r="E246">
            <v>0</v>
          </cell>
          <cell r="F246">
            <v>0</v>
          </cell>
          <cell r="G246" t="str">
            <v>Asset</v>
          </cell>
          <cell r="I246">
            <v>0</v>
          </cell>
          <cell r="K246" t="str">
            <v>Inactive</v>
          </cell>
          <cell r="L246" t="str">
            <v>Balance Sheet</v>
          </cell>
          <cell r="M246">
            <v>28</v>
          </cell>
        </row>
        <row r="247">
          <cell r="A247">
            <v>184.18</v>
          </cell>
          <cell r="B247" t="str">
            <v>CLEARING, TRAILER 20 REPAIRS</v>
          </cell>
          <cell r="C247">
            <v>0</v>
          </cell>
          <cell r="D247">
            <v>0</v>
          </cell>
          <cell r="E247">
            <v>0</v>
          </cell>
          <cell r="F247">
            <v>0</v>
          </cell>
          <cell r="G247" t="str">
            <v>Asset</v>
          </cell>
          <cell r="I247">
            <v>0</v>
          </cell>
          <cell r="K247" t="str">
            <v>Inactive</v>
          </cell>
          <cell r="L247" t="str">
            <v>Balance Sheet</v>
          </cell>
          <cell r="M247">
            <v>28</v>
          </cell>
        </row>
        <row r="248">
          <cell r="A248">
            <v>184.2</v>
          </cell>
          <cell r="B248" t="str">
            <v>CLEARING-AMI METER INSTALL</v>
          </cell>
          <cell r="C248">
            <v>0</v>
          </cell>
          <cell r="D248">
            <v>0</v>
          </cell>
          <cell r="E248">
            <v>0</v>
          </cell>
          <cell r="F248">
            <v>0</v>
          </cell>
          <cell r="G248" t="str">
            <v>Asset</v>
          </cell>
          <cell r="I248">
            <v>0</v>
          </cell>
          <cell r="K248" t="str">
            <v>Inactive</v>
          </cell>
          <cell r="L248" t="str">
            <v>Balance Sheet</v>
          </cell>
          <cell r="M248">
            <v>28</v>
          </cell>
        </row>
        <row r="249">
          <cell r="A249">
            <v>184.21</v>
          </cell>
          <cell r="B249" t="str">
            <v>CLEARING-AMI SUBSTATION INSTALL</v>
          </cell>
          <cell r="C249">
            <v>0</v>
          </cell>
          <cell r="D249">
            <v>0</v>
          </cell>
          <cell r="E249">
            <v>0</v>
          </cell>
          <cell r="F249">
            <v>0</v>
          </cell>
          <cell r="G249" t="str">
            <v>Asset</v>
          </cell>
          <cell r="I249">
            <v>0</v>
          </cell>
          <cell r="K249" t="str">
            <v>Inactive</v>
          </cell>
          <cell r="L249" t="str">
            <v>Balance Sheet</v>
          </cell>
          <cell r="M249">
            <v>28</v>
          </cell>
        </row>
        <row r="250">
          <cell r="A250">
            <v>184.22</v>
          </cell>
          <cell r="B250" t="str">
            <v>CLEARING-AMI RETROFITS</v>
          </cell>
          <cell r="C250">
            <v>0</v>
          </cell>
          <cell r="D250">
            <v>0</v>
          </cell>
          <cell r="E250">
            <v>0</v>
          </cell>
          <cell r="F250">
            <v>0</v>
          </cell>
          <cell r="G250" t="str">
            <v>Asset</v>
          </cell>
          <cell r="I250">
            <v>0</v>
          </cell>
          <cell r="K250" t="str">
            <v>Inactive</v>
          </cell>
          <cell r="L250" t="str">
            <v>Balance Sheet</v>
          </cell>
          <cell r="M250">
            <v>28</v>
          </cell>
        </row>
        <row r="251">
          <cell r="A251">
            <v>184.3</v>
          </cell>
          <cell r="B251" t="str">
            <v>CLEARING-SMART GRID PROJECT ADM.</v>
          </cell>
          <cell r="C251">
            <v>0</v>
          </cell>
          <cell r="D251">
            <v>0</v>
          </cell>
          <cell r="E251">
            <v>0</v>
          </cell>
          <cell r="F251">
            <v>0</v>
          </cell>
          <cell r="G251" t="str">
            <v>Asset</v>
          </cell>
          <cell r="I251">
            <v>0</v>
          </cell>
          <cell r="K251" t="str">
            <v>Active</v>
          </cell>
          <cell r="L251" t="str">
            <v>Balance Sheet</v>
          </cell>
          <cell r="M251">
            <v>28</v>
          </cell>
        </row>
        <row r="252">
          <cell r="A252">
            <v>184.92</v>
          </cell>
          <cell r="B252" t="str">
            <v>DEF DR-G&amp;T EXPENSE - CLEARING</v>
          </cell>
          <cell r="C252">
            <v>0</v>
          </cell>
          <cell r="D252">
            <v>0</v>
          </cell>
          <cell r="E252">
            <v>0</v>
          </cell>
          <cell r="F252">
            <v>0</v>
          </cell>
          <cell r="G252" t="str">
            <v>Asset</v>
          </cell>
          <cell r="I252">
            <v>0</v>
          </cell>
          <cell r="K252" t="str">
            <v>Inactive</v>
          </cell>
          <cell r="L252" t="str">
            <v>Balance Sheet</v>
          </cell>
          <cell r="M252">
            <v>28</v>
          </cell>
        </row>
        <row r="253">
          <cell r="A253">
            <v>184.99</v>
          </cell>
          <cell r="B253" t="str">
            <v>EMPLOYEE BENEFIT CLEARING</v>
          </cell>
          <cell r="C253">
            <v>0</v>
          </cell>
          <cell r="D253">
            <v>0</v>
          </cell>
          <cell r="E253">
            <v>0</v>
          </cell>
          <cell r="F253">
            <v>0</v>
          </cell>
          <cell r="G253" t="str">
            <v>Asset</v>
          </cell>
          <cell r="I253">
            <v>0</v>
          </cell>
          <cell r="K253" t="str">
            <v>Active</v>
          </cell>
          <cell r="L253" t="str">
            <v>Balance Sheet</v>
          </cell>
          <cell r="M253">
            <v>28</v>
          </cell>
        </row>
        <row r="254">
          <cell r="A254">
            <v>186.01</v>
          </cell>
          <cell r="B254" t="str">
            <v>DEF DR-ETHAN ALLEN DISPOSAL</v>
          </cell>
          <cell r="C254">
            <v>0</v>
          </cell>
          <cell r="D254">
            <v>0</v>
          </cell>
          <cell r="E254">
            <v>0</v>
          </cell>
          <cell r="F254">
            <v>0</v>
          </cell>
          <cell r="G254" t="str">
            <v>Asset</v>
          </cell>
          <cell r="I254">
            <v>0</v>
          </cell>
          <cell r="K254" t="str">
            <v>Active</v>
          </cell>
          <cell r="L254" t="str">
            <v>Balance Sheet</v>
          </cell>
          <cell r="M254">
            <v>28</v>
          </cell>
        </row>
        <row r="255">
          <cell r="A255">
            <v>186.02</v>
          </cell>
          <cell r="B255" t="str">
            <v>DEF DEBIT-READSBORO TAX SALE</v>
          </cell>
          <cell r="C255">
            <v>0</v>
          </cell>
          <cell r="D255">
            <v>0</v>
          </cell>
          <cell r="E255">
            <v>0</v>
          </cell>
          <cell r="F255">
            <v>0</v>
          </cell>
          <cell r="G255" t="str">
            <v>Asset</v>
          </cell>
          <cell r="I255">
            <v>0</v>
          </cell>
          <cell r="K255" t="str">
            <v>Inactive</v>
          </cell>
          <cell r="L255" t="str">
            <v>Balance Sheet</v>
          </cell>
          <cell r="M255">
            <v>28</v>
          </cell>
        </row>
        <row r="256">
          <cell r="A256">
            <v>186.04</v>
          </cell>
          <cell r="B256" t="str">
            <v>DEF DR-INTEGRATED RESOURCE PLAN</v>
          </cell>
          <cell r="C256">
            <v>0</v>
          </cell>
          <cell r="D256">
            <v>0</v>
          </cell>
          <cell r="E256">
            <v>0</v>
          </cell>
          <cell r="F256">
            <v>0</v>
          </cell>
          <cell r="G256" t="str">
            <v>Asset</v>
          </cell>
          <cell r="I256">
            <v>0</v>
          </cell>
          <cell r="K256" t="str">
            <v>Active</v>
          </cell>
          <cell r="L256" t="str">
            <v>Balance Sheet</v>
          </cell>
          <cell r="M256">
            <v>28</v>
          </cell>
        </row>
        <row r="257">
          <cell r="A257">
            <v>186.05</v>
          </cell>
          <cell r="B257" t="str">
            <v>DEF DR-WINDHAM PROJECT</v>
          </cell>
          <cell r="C257">
            <v>0</v>
          </cell>
          <cell r="D257">
            <v>0</v>
          </cell>
          <cell r="E257">
            <v>0</v>
          </cell>
          <cell r="F257">
            <v>0</v>
          </cell>
          <cell r="G257" t="str">
            <v>Asset</v>
          </cell>
          <cell r="I257">
            <v>0</v>
          </cell>
          <cell r="K257" t="str">
            <v>Active</v>
          </cell>
          <cell r="L257" t="str">
            <v>Balance Sheet</v>
          </cell>
          <cell r="M257">
            <v>28</v>
          </cell>
        </row>
        <row r="258">
          <cell r="A258">
            <v>186.15</v>
          </cell>
          <cell r="B258" t="str">
            <v>DEF DR-HYDRO QUEBEC DISALLOWANCE</v>
          </cell>
          <cell r="C258">
            <v>14861</v>
          </cell>
          <cell r="D258">
            <v>0</v>
          </cell>
          <cell r="E258">
            <v>-461640</v>
          </cell>
          <cell r="F258">
            <v>0</v>
          </cell>
          <cell r="G258" t="str">
            <v>Asset</v>
          </cell>
          <cell r="I258">
            <v>-476501</v>
          </cell>
          <cell r="K258" t="str">
            <v>Active</v>
          </cell>
          <cell r="L258" t="str">
            <v>Balance Sheet</v>
          </cell>
          <cell r="M258">
            <v>28</v>
          </cell>
        </row>
        <row r="259">
          <cell r="A259">
            <v>186.16</v>
          </cell>
          <cell r="B259" t="str">
            <v>DEF DR-2 YEAR WORK PLAN</v>
          </cell>
          <cell r="C259">
            <v>0</v>
          </cell>
          <cell r="D259">
            <v>0</v>
          </cell>
          <cell r="E259">
            <v>0</v>
          </cell>
          <cell r="F259">
            <v>0</v>
          </cell>
          <cell r="G259" t="str">
            <v>Asset</v>
          </cell>
          <cell r="I259">
            <v>0</v>
          </cell>
          <cell r="K259" t="str">
            <v>Active</v>
          </cell>
          <cell r="L259" t="str">
            <v>Balance Sheet</v>
          </cell>
          <cell r="M259">
            <v>28</v>
          </cell>
        </row>
        <row r="260">
          <cell r="A260">
            <v>186.17</v>
          </cell>
          <cell r="B260" t="str">
            <v>DEF DR-DEMAND SIDE MAN</v>
          </cell>
          <cell r="C260">
            <v>0</v>
          </cell>
          <cell r="D260">
            <v>0</v>
          </cell>
          <cell r="E260">
            <v>0</v>
          </cell>
          <cell r="F260">
            <v>0</v>
          </cell>
          <cell r="G260" t="str">
            <v>Asset</v>
          </cell>
          <cell r="I260">
            <v>0</v>
          </cell>
          <cell r="K260" t="str">
            <v>Active</v>
          </cell>
          <cell r="L260" t="str">
            <v>Balance Sheet</v>
          </cell>
          <cell r="M260">
            <v>28</v>
          </cell>
        </row>
        <row r="261">
          <cell r="A261">
            <v>186.18</v>
          </cell>
          <cell r="B261" t="str">
            <v>DEF DR-MAJOR STORM 3/20</v>
          </cell>
          <cell r="C261">
            <v>0</v>
          </cell>
          <cell r="D261">
            <v>0</v>
          </cell>
          <cell r="E261">
            <v>0</v>
          </cell>
          <cell r="F261">
            <v>0</v>
          </cell>
          <cell r="G261" t="str">
            <v>Asset</v>
          </cell>
          <cell r="I261">
            <v>0</v>
          </cell>
          <cell r="K261" t="str">
            <v>Active</v>
          </cell>
          <cell r="L261" t="str">
            <v>Balance Sheet</v>
          </cell>
          <cell r="M261">
            <v>28</v>
          </cell>
        </row>
        <row r="262">
          <cell r="A262">
            <v>186.19</v>
          </cell>
          <cell r="B262" t="str">
            <v>DEF DR-90-91 RATE CASE</v>
          </cell>
          <cell r="C262">
            <v>0</v>
          </cell>
          <cell r="D262">
            <v>0</v>
          </cell>
          <cell r="E262">
            <v>0</v>
          </cell>
          <cell r="F262">
            <v>0</v>
          </cell>
          <cell r="G262" t="str">
            <v>Asset</v>
          </cell>
          <cell r="I262">
            <v>0</v>
          </cell>
          <cell r="K262" t="str">
            <v>Active</v>
          </cell>
          <cell r="L262" t="str">
            <v>Balance Sheet</v>
          </cell>
          <cell r="M262">
            <v>28</v>
          </cell>
        </row>
        <row r="263">
          <cell r="A263">
            <v>186.2</v>
          </cell>
          <cell r="B263" t="str">
            <v>DEF DR-AMR OPERATING LEASE</v>
          </cell>
          <cell r="C263">
            <v>0</v>
          </cell>
          <cell r="D263">
            <v>0</v>
          </cell>
          <cell r="E263">
            <v>0</v>
          </cell>
          <cell r="F263">
            <v>0</v>
          </cell>
          <cell r="G263" t="str">
            <v>Asset</v>
          </cell>
          <cell r="I263">
            <v>0</v>
          </cell>
          <cell r="K263" t="str">
            <v>Inactive</v>
          </cell>
          <cell r="L263" t="str">
            <v>Balance Sheet</v>
          </cell>
          <cell r="M263">
            <v>28</v>
          </cell>
        </row>
        <row r="264">
          <cell r="A264">
            <v>186.21</v>
          </cell>
          <cell r="B264" t="str">
            <v>DEF DR-MAJOR STORM, 11/90 NORT</v>
          </cell>
          <cell r="C264">
            <v>0</v>
          </cell>
          <cell r="D264">
            <v>0</v>
          </cell>
          <cell r="E264">
            <v>0</v>
          </cell>
          <cell r="F264">
            <v>0</v>
          </cell>
          <cell r="G264" t="str">
            <v>Asset</v>
          </cell>
          <cell r="I264">
            <v>0</v>
          </cell>
          <cell r="K264" t="str">
            <v>Active</v>
          </cell>
          <cell r="L264" t="str">
            <v>Balance Sheet</v>
          </cell>
          <cell r="M264">
            <v>28</v>
          </cell>
        </row>
        <row r="265">
          <cell r="A265">
            <v>186.22</v>
          </cell>
          <cell r="B265" t="str">
            <v>DEF DR-LINE SPLICES</v>
          </cell>
          <cell r="C265">
            <v>0</v>
          </cell>
          <cell r="D265">
            <v>0</v>
          </cell>
          <cell r="E265">
            <v>0</v>
          </cell>
          <cell r="F265">
            <v>0</v>
          </cell>
          <cell r="G265" t="str">
            <v>Asset</v>
          </cell>
          <cell r="I265">
            <v>0</v>
          </cell>
          <cell r="K265" t="str">
            <v>Active</v>
          </cell>
          <cell r="L265" t="str">
            <v>Balance Sheet</v>
          </cell>
          <cell r="M265">
            <v>28</v>
          </cell>
        </row>
        <row r="266">
          <cell r="A266">
            <v>186.23</v>
          </cell>
          <cell r="B266" t="str">
            <v>DEF DR-ADV VEC DEBT SERVICE</v>
          </cell>
          <cell r="C266">
            <v>0</v>
          </cell>
          <cell r="D266">
            <v>0</v>
          </cell>
          <cell r="E266">
            <v>0</v>
          </cell>
          <cell r="F266">
            <v>0</v>
          </cell>
          <cell r="G266" t="str">
            <v>Asset</v>
          </cell>
          <cell r="I266">
            <v>0</v>
          </cell>
          <cell r="K266" t="str">
            <v>Active</v>
          </cell>
          <cell r="L266" t="str">
            <v>Balance Sheet</v>
          </cell>
          <cell r="M266">
            <v>28</v>
          </cell>
        </row>
        <row r="267">
          <cell r="A267">
            <v>186.24</v>
          </cell>
          <cell r="B267" t="str">
            <v>DEF DR-LOSS ON SALE TKS 65</v>
          </cell>
          <cell r="C267">
            <v>0</v>
          </cell>
          <cell r="D267">
            <v>0</v>
          </cell>
          <cell r="E267">
            <v>0</v>
          </cell>
          <cell r="F267">
            <v>0</v>
          </cell>
          <cell r="G267" t="str">
            <v>Asset</v>
          </cell>
          <cell r="I267">
            <v>0</v>
          </cell>
          <cell r="K267" t="str">
            <v>Active</v>
          </cell>
          <cell r="L267" t="str">
            <v>Balance Sheet</v>
          </cell>
          <cell r="M267">
            <v>28</v>
          </cell>
        </row>
        <row r="268">
          <cell r="A268">
            <v>186.25</v>
          </cell>
          <cell r="B268" t="str">
            <v>DEF DR-92 RATE CASE</v>
          </cell>
          <cell r="C268">
            <v>0</v>
          </cell>
          <cell r="D268">
            <v>0</v>
          </cell>
          <cell r="E268">
            <v>0</v>
          </cell>
          <cell r="F268">
            <v>0</v>
          </cell>
          <cell r="G268" t="str">
            <v>Asset</v>
          </cell>
          <cell r="I268">
            <v>0</v>
          </cell>
          <cell r="K268" t="str">
            <v>Active</v>
          </cell>
          <cell r="L268" t="str">
            <v>Balance Sheet</v>
          </cell>
          <cell r="M268">
            <v>28</v>
          </cell>
        </row>
        <row r="269">
          <cell r="A269">
            <v>186.26</v>
          </cell>
          <cell r="B269" t="str">
            <v>DEF DR-94 RATE CASE</v>
          </cell>
          <cell r="C269">
            <v>0</v>
          </cell>
          <cell r="D269">
            <v>0</v>
          </cell>
          <cell r="E269">
            <v>0</v>
          </cell>
          <cell r="F269">
            <v>0</v>
          </cell>
          <cell r="G269" t="str">
            <v>Asset</v>
          </cell>
          <cell r="I269">
            <v>0</v>
          </cell>
          <cell r="K269" t="str">
            <v>Active</v>
          </cell>
          <cell r="L269" t="str">
            <v>Balance Sheet</v>
          </cell>
          <cell r="M269">
            <v>28</v>
          </cell>
        </row>
        <row r="270">
          <cell r="A270">
            <v>186.27</v>
          </cell>
          <cell r="B270" t="str">
            <v>DEF DR PRE-PETITION EXP</v>
          </cell>
          <cell r="C270">
            <v>0</v>
          </cell>
          <cell r="D270">
            <v>0</v>
          </cell>
          <cell r="E270">
            <v>0</v>
          </cell>
          <cell r="F270">
            <v>0</v>
          </cell>
          <cell r="G270" t="str">
            <v>Asset</v>
          </cell>
          <cell r="I270">
            <v>0</v>
          </cell>
          <cell r="K270" t="str">
            <v>Active</v>
          </cell>
          <cell r="L270" t="str">
            <v>Balance Sheet</v>
          </cell>
          <cell r="M270">
            <v>28</v>
          </cell>
        </row>
        <row r="271">
          <cell r="A271">
            <v>186.28</v>
          </cell>
          <cell r="B271" t="str">
            <v>DEF DR TK 108 ACCIDENT</v>
          </cell>
          <cell r="C271">
            <v>0</v>
          </cell>
          <cell r="D271">
            <v>0</v>
          </cell>
          <cell r="E271">
            <v>0</v>
          </cell>
          <cell r="F271">
            <v>0</v>
          </cell>
          <cell r="G271" t="str">
            <v>Asset</v>
          </cell>
          <cell r="I271">
            <v>0</v>
          </cell>
          <cell r="K271" t="str">
            <v>Active</v>
          </cell>
          <cell r="L271" t="str">
            <v>Balance Sheet</v>
          </cell>
          <cell r="M271">
            <v>28</v>
          </cell>
        </row>
        <row r="272">
          <cell r="A272">
            <v>186.29</v>
          </cell>
          <cell r="B272" t="str">
            <v>DEF DR ATTACHMENT REVENUES</v>
          </cell>
          <cell r="C272">
            <v>0</v>
          </cell>
          <cell r="D272">
            <v>0</v>
          </cell>
          <cell r="E272">
            <v>0</v>
          </cell>
          <cell r="F272">
            <v>0</v>
          </cell>
          <cell r="G272" t="str">
            <v>Asset</v>
          </cell>
          <cell r="I272">
            <v>0</v>
          </cell>
          <cell r="K272" t="str">
            <v>Active</v>
          </cell>
          <cell r="L272" t="str">
            <v>Balance Sheet</v>
          </cell>
          <cell r="M272">
            <v>28</v>
          </cell>
        </row>
        <row r="273">
          <cell r="A273">
            <v>186.3</v>
          </cell>
          <cell r="B273" t="str">
            <v>DEF DEBIT - UNBUNDLING</v>
          </cell>
          <cell r="C273">
            <v>0</v>
          </cell>
          <cell r="D273">
            <v>0</v>
          </cell>
          <cell r="E273">
            <v>0</v>
          </cell>
          <cell r="F273">
            <v>0</v>
          </cell>
          <cell r="G273" t="str">
            <v>Asset</v>
          </cell>
          <cell r="I273">
            <v>0</v>
          </cell>
          <cell r="K273" t="str">
            <v>Inactive</v>
          </cell>
          <cell r="L273" t="str">
            <v>Balance Sheet</v>
          </cell>
          <cell r="M273">
            <v>28</v>
          </cell>
        </row>
        <row r="274">
          <cell r="A274">
            <v>186.31</v>
          </cell>
          <cell r="B274" t="str">
            <v>DEF DR - HR DEVELOPMENT</v>
          </cell>
          <cell r="C274">
            <v>0</v>
          </cell>
          <cell r="D274">
            <v>0</v>
          </cell>
          <cell r="E274">
            <v>0</v>
          </cell>
          <cell r="F274">
            <v>0</v>
          </cell>
          <cell r="G274" t="str">
            <v>Asset</v>
          </cell>
          <cell r="I274">
            <v>0</v>
          </cell>
          <cell r="K274" t="str">
            <v>Inactive</v>
          </cell>
          <cell r="L274" t="str">
            <v>Balance Sheet</v>
          </cell>
          <cell r="M274">
            <v>28</v>
          </cell>
        </row>
        <row r="275">
          <cell r="A275">
            <v>186.32</v>
          </cell>
          <cell r="B275" t="str">
            <v>DEF DR - COOP PROCESS ENG</v>
          </cell>
          <cell r="C275">
            <v>0</v>
          </cell>
          <cell r="D275">
            <v>0</v>
          </cell>
          <cell r="E275">
            <v>0</v>
          </cell>
          <cell r="F275">
            <v>0</v>
          </cell>
          <cell r="G275" t="str">
            <v>Asset</v>
          </cell>
          <cell r="I275">
            <v>0</v>
          </cell>
          <cell r="K275" t="str">
            <v>Inactive</v>
          </cell>
          <cell r="L275" t="str">
            <v>Balance Sheet</v>
          </cell>
          <cell r="M275">
            <v>28</v>
          </cell>
        </row>
        <row r="276">
          <cell r="A276">
            <v>186.33</v>
          </cell>
          <cell r="B276" t="str">
            <v>DEF DR-10 YR BASE CASE FORECAST</v>
          </cell>
          <cell r="C276">
            <v>0</v>
          </cell>
          <cell r="D276">
            <v>0</v>
          </cell>
          <cell r="E276">
            <v>0</v>
          </cell>
          <cell r="F276">
            <v>0</v>
          </cell>
          <cell r="G276" t="str">
            <v>Asset</v>
          </cell>
          <cell r="I276">
            <v>0</v>
          </cell>
          <cell r="K276" t="str">
            <v>Active</v>
          </cell>
          <cell r="L276" t="str">
            <v>Balance Sheet</v>
          </cell>
          <cell r="M276">
            <v>28</v>
          </cell>
        </row>
        <row r="277">
          <cell r="A277">
            <v>186.34</v>
          </cell>
          <cell r="B277" t="str">
            <v>DEF DR WEC SWAP</v>
          </cell>
          <cell r="C277">
            <v>0</v>
          </cell>
          <cell r="D277">
            <v>0</v>
          </cell>
          <cell r="E277">
            <v>0</v>
          </cell>
          <cell r="F277">
            <v>0</v>
          </cell>
          <cell r="G277" t="str">
            <v>Asset</v>
          </cell>
          <cell r="I277">
            <v>0</v>
          </cell>
          <cell r="K277" t="str">
            <v>Active</v>
          </cell>
          <cell r="L277" t="str">
            <v>Balance Sheet</v>
          </cell>
          <cell r="M277">
            <v>28</v>
          </cell>
        </row>
        <row r="278">
          <cell r="A278">
            <v>186.35</v>
          </cell>
          <cell r="B278" t="str">
            <v>DEF DR-CUSTOMER SERVICE SYSTEM C</v>
          </cell>
          <cell r="C278">
            <v>0</v>
          </cell>
          <cell r="D278">
            <v>0</v>
          </cell>
          <cell r="E278">
            <v>0</v>
          </cell>
          <cell r="F278">
            <v>0</v>
          </cell>
          <cell r="G278" t="str">
            <v>Asset</v>
          </cell>
          <cell r="I278">
            <v>0</v>
          </cell>
          <cell r="K278" t="str">
            <v>Inactive</v>
          </cell>
          <cell r="L278" t="str">
            <v>Balance Sheet</v>
          </cell>
          <cell r="M278">
            <v>28</v>
          </cell>
        </row>
        <row r="279">
          <cell r="A279">
            <v>186.36</v>
          </cell>
          <cell r="B279" t="str">
            <v>DEF DR-VED FINANCIAL SYSTEM CONV</v>
          </cell>
          <cell r="C279">
            <v>0</v>
          </cell>
          <cell r="D279">
            <v>0</v>
          </cell>
          <cell r="E279">
            <v>0</v>
          </cell>
          <cell r="F279">
            <v>0</v>
          </cell>
          <cell r="G279" t="str">
            <v>Asset</v>
          </cell>
          <cell r="I279">
            <v>0</v>
          </cell>
          <cell r="K279" t="str">
            <v>Active</v>
          </cell>
          <cell r="L279" t="str">
            <v>Balance Sheet</v>
          </cell>
          <cell r="M279">
            <v>28</v>
          </cell>
        </row>
        <row r="280">
          <cell r="A280">
            <v>186.37</v>
          </cell>
          <cell r="B280" t="str">
            <v>DEF DR CITIZENS BID</v>
          </cell>
          <cell r="C280">
            <v>0</v>
          </cell>
          <cell r="D280">
            <v>0</v>
          </cell>
          <cell r="E280">
            <v>0</v>
          </cell>
          <cell r="F280">
            <v>0</v>
          </cell>
          <cell r="G280" t="str">
            <v>Asset</v>
          </cell>
          <cell r="I280">
            <v>0</v>
          </cell>
          <cell r="K280" t="str">
            <v>Active</v>
          </cell>
          <cell r="L280" t="str">
            <v>Balance Sheet</v>
          </cell>
          <cell r="M280">
            <v>28</v>
          </cell>
        </row>
        <row r="281">
          <cell r="A281">
            <v>186.38</v>
          </cell>
          <cell r="B281" t="str">
            <v>DEF DR - SAFETY TRAINING LINE -</v>
          </cell>
          <cell r="C281">
            <v>0</v>
          </cell>
          <cell r="D281">
            <v>0</v>
          </cell>
          <cell r="E281">
            <v>0</v>
          </cell>
          <cell r="F281">
            <v>0</v>
          </cell>
          <cell r="G281" t="str">
            <v>Asset</v>
          </cell>
          <cell r="I281">
            <v>0</v>
          </cell>
          <cell r="K281" t="str">
            <v>Inactive</v>
          </cell>
          <cell r="L281" t="str">
            <v>Balance Sheet</v>
          </cell>
          <cell r="M281">
            <v>28</v>
          </cell>
        </row>
        <row r="282">
          <cell r="A282">
            <v>186.39</v>
          </cell>
          <cell r="B282" t="str">
            <v>DEF DR-TELECOM</v>
          </cell>
          <cell r="C282">
            <v>0</v>
          </cell>
          <cell r="D282">
            <v>0</v>
          </cell>
          <cell r="E282">
            <v>0</v>
          </cell>
          <cell r="F282">
            <v>0</v>
          </cell>
          <cell r="G282" t="str">
            <v>Asset</v>
          </cell>
          <cell r="I282">
            <v>0</v>
          </cell>
          <cell r="K282" t="str">
            <v>Active</v>
          </cell>
          <cell r="L282" t="str">
            <v>Balance Sheet</v>
          </cell>
          <cell r="M282">
            <v>28</v>
          </cell>
        </row>
        <row r="283">
          <cell r="A283">
            <v>186.4</v>
          </cell>
          <cell r="B283" t="str">
            <v>DEF DR-ROCHESTER ELECTRIC ACQUIS</v>
          </cell>
          <cell r="C283">
            <v>0</v>
          </cell>
          <cell r="D283">
            <v>0</v>
          </cell>
          <cell r="E283">
            <v>0</v>
          </cell>
          <cell r="F283">
            <v>0</v>
          </cell>
          <cell r="G283" t="str">
            <v>Asset</v>
          </cell>
          <cell r="I283">
            <v>0</v>
          </cell>
          <cell r="K283" t="str">
            <v>Active</v>
          </cell>
          <cell r="L283" t="str">
            <v>Balance Sheet</v>
          </cell>
          <cell r="M283">
            <v>28</v>
          </cell>
        </row>
        <row r="284">
          <cell r="A284">
            <v>186.41</v>
          </cell>
          <cell r="B284" t="str">
            <v>DEF DR-STOWE ACQUISITION</v>
          </cell>
          <cell r="C284">
            <v>0</v>
          </cell>
          <cell r="D284">
            <v>0</v>
          </cell>
          <cell r="E284">
            <v>0</v>
          </cell>
          <cell r="F284">
            <v>0</v>
          </cell>
          <cell r="G284" t="str">
            <v>Asset</v>
          </cell>
          <cell r="I284">
            <v>0</v>
          </cell>
          <cell r="K284" t="str">
            <v>Inactive</v>
          </cell>
          <cell r="L284" t="str">
            <v>Balance Sheet</v>
          </cell>
          <cell r="M284">
            <v>28</v>
          </cell>
        </row>
        <row r="285">
          <cell r="A285">
            <v>186.42</v>
          </cell>
          <cell r="B285" t="str">
            <v>DEF DR ETHAN ALLEN CO-GENERATION</v>
          </cell>
          <cell r="C285">
            <v>0</v>
          </cell>
          <cell r="D285">
            <v>0</v>
          </cell>
          <cell r="E285">
            <v>0</v>
          </cell>
          <cell r="F285">
            <v>0</v>
          </cell>
          <cell r="G285" t="str">
            <v>Asset</v>
          </cell>
          <cell r="I285">
            <v>0</v>
          </cell>
          <cell r="K285" t="str">
            <v>Inactive</v>
          </cell>
          <cell r="L285" t="str">
            <v>Balance Sheet</v>
          </cell>
          <cell r="M285">
            <v>28</v>
          </cell>
        </row>
        <row r="286">
          <cell r="A286">
            <v>186.43</v>
          </cell>
          <cell r="B286" t="str">
            <v>DEF DR-CZN DSM-RATE APPR 7/15/02</v>
          </cell>
          <cell r="C286">
            <v>0</v>
          </cell>
          <cell r="D286">
            <v>0</v>
          </cell>
          <cell r="E286">
            <v>0</v>
          </cell>
          <cell r="F286">
            <v>0</v>
          </cell>
          <cell r="G286" t="str">
            <v>Asset</v>
          </cell>
          <cell r="I286">
            <v>0</v>
          </cell>
          <cell r="K286" t="str">
            <v>Active</v>
          </cell>
          <cell r="L286" t="str">
            <v>Balance Sheet</v>
          </cell>
          <cell r="M286">
            <v>28</v>
          </cell>
        </row>
        <row r="287">
          <cell r="A287">
            <v>186.44</v>
          </cell>
          <cell r="B287" t="str">
            <v>DEF DR-CZN POST AUDIT ADJ</v>
          </cell>
          <cell r="C287">
            <v>0</v>
          </cell>
          <cell r="D287">
            <v>0</v>
          </cell>
          <cell r="E287">
            <v>0</v>
          </cell>
          <cell r="F287">
            <v>0</v>
          </cell>
          <cell r="G287" t="str">
            <v>Asset</v>
          </cell>
          <cell r="I287">
            <v>0</v>
          </cell>
          <cell r="K287" t="str">
            <v>Inactive</v>
          </cell>
          <cell r="L287" t="str">
            <v>Balance Sheet</v>
          </cell>
          <cell r="M287">
            <v>28</v>
          </cell>
        </row>
        <row r="288">
          <cell r="A288">
            <v>186.45</v>
          </cell>
          <cell r="B288" t="str">
            <v>DEF DR-ACQ. OF CVPS TERRITORY</v>
          </cell>
          <cell r="C288">
            <v>0</v>
          </cell>
          <cell r="D288">
            <v>0</v>
          </cell>
          <cell r="E288">
            <v>0</v>
          </cell>
          <cell r="F288">
            <v>0</v>
          </cell>
          <cell r="G288" t="str">
            <v>Asset</v>
          </cell>
          <cell r="I288">
            <v>0</v>
          </cell>
          <cell r="K288" t="str">
            <v>Inactive</v>
          </cell>
          <cell r="L288" t="str">
            <v>Balance Sheet</v>
          </cell>
          <cell r="M288">
            <v>28</v>
          </cell>
        </row>
        <row r="289">
          <cell r="A289">
            <v>200.1</v>
          </cell>
          <cell r="B289" t="str">
            <v>MEMBERSHIPS ISSUED</v>
          </cell>
          <cell r="C289">
            <v>0</v>
          </cell>
          <cell r="D289">
            <v>0</v>
          </cell>
          <cell r="E289">
            <v>0</v>
          </cell>
          <cell r="F289">
            <v>0</v>
          </cell>
          <cell r="G289" t="str">
            <v>Liability</v>
          </cell>
          <cell r="I289">
            <v>0</v>
          </cell>
          <cell r="K289" t="str">
            <v>Active</v>
          </cell>
          <cell r="L289" t="str">
            <v>Balance Sheet</v>
          </cell>
          <cell r="M289">
            <v>30</v>
          </cell>
        </row>
        <row r="290">
          <cell r="A290">
            <v>200.2</v>
          </cell>
          <cell r="B290" t="str">
            <v>MEMBERSHIPS SUBSCRIBED</v>
          </cell>
          <cell r="C290">
            <v>0</v>
          </cell>
          <cell r="D290">
            <v>0</v>
          </cell>
          <cell r="E290">
            <v>0</v>
          </cell>
          <cell r="F290">
            <v>0</v>
          </cell>
          <cell r="G290" t="str">
            <v>Liability</v>
          </cell>
          <cell r="I290">
            <v>0</v>
          </cell>
          <cell r="K290" t="str">
            <v>Active</v>
          </cell>
          <cell r="L290" t="str">
            <v>Balance Sheet</v>
          </cell>
          <cell r="M290">
            <v>30</v>
          </cell>
        </row>
        <row r="291">
          <cell r="A291">
            <v>201.1</v>
          </cell>
          <cell r="B291" t="str">
            <v>PATRONS CAP CR ASSIGNED 1968</v>
          </cell>
          <cell r="C291">
            <v>0</v>
          </cell>
          <cell r="D291">
            <v>0</v>
          </cell>
          <cell r="E291">
            <v>0</v>
          </cell>
          <cell r="F291">
            <v>0</v>
          </cell>
          <cell r="G291" t="str">
            <v>Liability</v>
          </cell>
          <cell r="I291">
            <v>0</v>
          </cell>
          <cell r="K291" t="str">
            <v>Active</v>
          </cell>
          <cell r="L291" t="str">
            <v>Balance Sheet</v>
          </cell>
          <cell r="M291">
            <v>31</v>
          </cell>
        </row>
        <row r="292">
          <cell r="A292">
            <v>201.11</v>
          </cell>
          <cell r="B292" t="str">
            <v>PAT CAP CR - LINE EXT</v>
          </cell>
          <cell r="C292">
            <v>0</v>
          </cell>
          <cell r="D292">
            <v>0</v>
          </cell>
          <cell r="E292">
            <v>0</v>
          </cell>
          <cell r="F292">
            <v>0</v>
          </cell>
          <cell r="G292" t="str">
            <v>Liability</v>
          </cell>
          <cell r="I292">
            <v>0</v>
          </cell>
          <cell r="K292" t="str">
            <v>Active</v>
          </cell>
          <cell r="L292" t="str">
            <v>Balance Sheet</v>
          </cell>
          <cell r="M292">
            <v>31</v>
          </cell>
        </row>
        <row r="293">
          <cell r="A293">
            <v>201.2</v>
          </cell>
          <cell r="B293" t="str">
            <v>PATRONAGE CAPITAL ASSIGNABLE</v>
          </cell>
          <cell r="C293">
            <v>0</v>
          </cell>
          <cell r="D293">
            <v>0</v>
          </cell>
          <cell r="E293">
            <v>-47050643.859999999</v>
          </cell>
          <cell r="F293">
            <v>0</v>
          </cell>
          <cell r="G293" t="str">
            <v>Liability</v>
          </cell>
          <cell r="I293">
            <v>-47050643.859999999</v>
          </cell>
          <cell r="K293" t="str">
            <v>Active</v>
          </cell>
          <cell r="L293" t="str">
            <v>Balance Sheet</v>
          </cell>
          <cell r="M293">
            <v>31</v>
          </cell>
        </row>
        <row r="294">
          <cell r="A294">
            <v>201.21</v>
          </cell>
          <cell r="B294" t="str">
            <v>PATRONAGE  CAP CR HALIFAX</v>
          </cell>
          <cell r="C294">
            <v>0</v>
          </cell>
          <cell r="D294">
            <v>0</v>
          </cell>
          <cell r="E294">
            <v>0</v>
          </cell>
          <cell r="F294">
            <v>0</v>
          </cell>
          <cell r="G294" t="str">
            <v>Liability</v>
          </cell>
          <cell r="I294">
            <v>0</v>
          </cell>
          <cell r="K294" t="str">
            <v>Active</v>
          </cell>
          <cell r="L294" t="str">
            <v>Balance Sheet</v>
          </cell>
          <cell r="M294">
            <v>31</v>
          </cell>
        </row>
        <row r="295">
          <cell r="A295">
            <v>208</v>
          </cell>
          <cell r="B295" t="str">
            <v>DONATED CAPITAL</v>
          </cell>
          <cell r="C295">
            <v>-1.1299999999999999</v>
          </cell>
          <cell r="D295">
            <v>0</v>
          </cell>
          <cell r="E295">
            <v>-214475.64</v>
          </cell>
          <cell r="F295">
            <v>0</v>
          </cell>
          <cell r="G295" t="str">
            <v>Liability</v>
          </cell>
          <cell r="I295">
            <v>-214474.51</v>
          </cell>
          <cell r="K295" t="str">
            <v>Active</v>
          </cell>
          <cell r="L295" t="str">
            <v>Balance Sheet</v>
          </cell>
          <cell r="M295">
            <v>35</v>
          </cell>
        </row>
        <row r="296">
          <cell r="A296">
            <v>208.1</v>
          </cell>
          <cell r="B296" t="str">
            <v>ABANDONED PROPERTY  SEE 253.50</v>
          </cell>
          <cell r="C296">
            <v>0</v>
          </cell>
          <cell r="D296">
            <v>0</v>
          </cell>
          <cell r="E296">
            <v>0</v>
          </cell>
          <cell r="F296">
            <v>0</v>
          </cell>
          <cell r="G296" t="str">
            <v>Liability</v>
          </cell>
          <cell r="I296">
            <v>0</v>
          </cell>
          <cell r="K296" t="str">
            <v>Active</v>
          </cell>
          <cell r="L296" t="str">
            <v>Balance Sheet</v>
          </cell>
          <cell r="M296">
            <v>31</v>
          </cell>
        </row>
        <row r="297">
          <cell r="A297">
            <v>215</v>
          </cell>
          <cell r="B297" t="str">
            <v>CHANGE IN NET ASSETS-FAS 158</v>
          </cell>
          <cell r="C297">
            <v>0</v>
          </cell>
          <cell r="D297">
            <v>0</v>
          </cell>
          <cell r="E297">
            <v>-73949.679999999993</v>
          </cell>
          <cell r="F297">
            <v>0</v>
          </cell>
          <cell r="G297" t="str">
            <v>Liability</v>
          </cell>
          <cell r="I297">
            <v>-73949.679999999993</v>
          </cell>
          <cell r="K297" t="str">
            <v>Active</v>
          </cell>
          <cell r="L297" t="str">
            <v>Balance Sheet</v>
          </cell>
          <cell r="M297">
            <v>35</v>
          </cell>
        </row>
        <row r="298">
          <cell r="A298">
            <v>218</v>
          </cell>
          <cell r="B298" t="str">
            <v>CAPITAL GAINS &amp; LOSSES</v>
          </cell>
          <cell r="C298">
            <v>0</v>
          </cell>
          <cell r="D298">
            <v>0</v>
          </cell>
          <cell r="E298">
            <v>0</v>
          </cell>
          <cell r="F298">
            <v>0</v>
          </cell>
          <cell r="G298" t="str">
            <v>Liability</v>
          </cell>
          <cell r="I298">
            <v>0</v>
          </cell>
          <cell r="K298" t="str">
            <v>Active</v>
          </cell>
          <cell r="L298" t="str">
            <v>Balance Sheet</v>
          </cell>
          <cell r="M298">
            <v>35</v>
          </cell>
        </row>
        <row r="299">
          <cell r="A299">
            <v>219</v>
          </cell>
          <cell r="B299" t="str">
            <v>OPER MARGINS-CURRENT YR</v>
          </cell>
          <cell r="C299">
            <v>0</v>
          </cell>
          <cell r="D299">
            <v>0</v>
          </cell>
          <cell r="E299">
            <v>0</v>
          </cell>
          <cell r="F299">
            <v>0</v>
          </cell>
          <cell r="G299" t="str">
            <v>Liability</v>
          </cell>
          <cell r="I299">
            <v>0</v>
          </cell>
          <cell r="K299" t="str">
            <v>Active</v>
          </cell>
          <cell r="L299" t="str">
            <v>Balance Sheet</v>
          </cell>
          <cell r="M299">
            <v>31</v>
          </cell>
        </row>
        <row r="300">
          <cell r="A300">
            <v>219.1</v>
          </cell>
          <cell r="B300" t="str">
            <v>OPERATING MARGINS - NON CURRENT</v>
          </cell>
          <cell r="C300">
            <v>0</v>
          </cell>
          <cell r="D300">
            <v>0</v>
          </cell>
          <cell r="E300">
            <v>53347742.950000003</v>
          </cell>
          <cell r="F300">
            <v>0</v>
          </cell>
          <cell r="G300" t="str">
            <v>Liability</v>
          </cell>
          <cell r="I300">
            <v>53347742.950000003</v>
          </cell>
          <cell r="K300" t="str">
            <v>Active</v>
          </cell>
          <cell r="L300" t="str">
            <v>Balance Sheet</v>
          </cell>
          <cell r="M300">
            <v>32</v>
          </cell>
        </row>
        <row r="301">
          <cell r="A301">
            <v>219.11</v>
          </cell>
          <cell r="B301" t="str">
            <v>NON OPER. MARGINS-CURRENT YEAR</v>
          </cell>
          <cell r="C301">
            <v>0</v>
          </cell>
          <cell r="D301">
            <v>0</v>
          </cell>
          <cell r="E301">
            <v>0</v>
          </cell>
          <cell r="F301">
            <v>0</v>
          </cell>
          <cell r="G301" t="str">
            <v>Liability</v>
          </cell>
          <cell r="I301">
            <v>0</v>
          </cell>
          <cell r="K301" t="str">
            <v>Active</v>
          </cell>
          <cell r="L301" t="str">
            <v>Balance Sheet</v>
          </cell>
          <cell r="M301">
            <v>31</v>
          </cell>
        </row>
        <row r="302">
          <cell r="A302">
            <v>219.2</v>
          </cell>
          <cell r="B302" t="str">
            <v>NON OPER. MARGINS-NON CURRENT</v>
          </cell>
          <cell r="C302">
            <v>0</v>
          </cell>
          <cell r="D302">
            <v>0</v>
          </cell>
          <cell r="E302">
            <v>-55610785.75</v>
          </cell>
          <cell r="F302">
            <v>0</v>
          </cell>
          <cell r="G302" t="str">
            <v>Liability</v>
          </cell>
          <cell r="I302">
            <v>-55610785.75</v>
          </cell>
          <cell r="K302" t="str">
            <v>Active</v>
          </cell>
          <cell r="L302" t="str">
            <v>Balance Sheet</v>
          </cell>
          <cell r="M302">
            <v>32</v>
          </cell>
        </row>
        <row r="303">
          <cell r="A303">
            <v>221</v>
          </cell>
          <cell r="B303" t="str">
            <v>LTD - 1997 &amp; 2008 SERIES A BONDS</v>
          </cell>
          <cell r="C303">
            <v>0</v>
          </cell>
          <cell r="D303">
            <v>0</v>
          </cell>
          <cell r="E303">
            <v>-7111125</v>
          </cell>
          <cell r="F303">
            <v>0</v>
          </cell>
          <cell r="G303" t="str">
            <v>Liability</v>
          </cell>
          <cell r="I303">
            <v>-7111125</v>
          </cell>
          <cell r="K303" t="str">
            <v>Active</v>
          </cell>
          <cell r="L303" t="str">
            <v>Balance Sheet</v>
          </cell>
          <cell r="M303">
            <v>39</v>
          </cell>
        </row>
        <row r="304">
          <cell r="A304">
            <v>221.01</v>
          </cell>
          <cell r="B304" t="str">
            <v>LTD - 2010 SERIES A BOND</v>
          </cell>
          <cell r="C304">
            <v>0</v>
          </cell>
          <cell r="D304">
            <v>0</v>
          </cell>
          <cell r="E304">
            <v>-8436381.6799999997</v>
          </cell>
          <cell r="F304">
            <v>0</v>
          </cell>
          <cell r="G304" t="str">
            <v>Liability</v>
          </cell>
          <cell r="I304">
            <v>-8436381.6799999997</v>
          </cell>
          <cell r="K304" t="str">
            <v>Active</v>
          </cell>
          <cell r="L304" t="str">
            <v>Balance Sheet</v>
          </cell>
          <cell r="M304">
            <v>39</v>
          </cell>
        </row>
        <row r="305">
          <cell r="A305">
            <v>221.02</v>
          </cell>
          <cell r="B305" t="str">
            <v>LTD - 2012 SERIES A BOND</v>
          </cell>
          <cell r="C305">
            <v>0</v>
          </cell>
          <cell r="D305">
            <v>0</v>
          </cell>
          <cell r="E305">
            <v>0</v>
          </cell>
          <cell r="F305">
            <v>0</v>
          </cell>
          <cell r="G305" t="str">
            <v>Liability</v>
          </cell>
          <cell r="I305">
            <v>0</v>
          </cell>
          <cell r="K305" t="str">
            <v>Active</v>
          </cell>
          <cell r="L305" t="str">
            <v>Balance Sheet</v>
          </cell>
          <cell r="M305">
            <v>39</v>
          </cell>
        </row>
        <row r="306">
          <cell r="A306">
            <v>221.1</v>
          </cell>
          <cell r="B306" t="str">
            <v>LTD - 2000 SERIES A BONDS</v>
          </cell>
          <cell r="C306">
            <v>0</v>
          </cell>
          <cell r="D306">
            <v>0</v>
          </cell>
          <cell r="E306">
            <v>0</v>
          </cell>
          <cell r="F306">
            <v>0</v>
          </cell>
          <cell r="G306" t="str">
            <v>Liability</v>
          </cell>
          <cell r="I306">
            <v>0</v>
          </cell>
          <cell r="K306" t="str">
            <v>Inactive</v>
          </cell>
          <cell r="L306" t="str">
            <v>Balance Sheet</v>
          </cell>
          <cell r="M306">
            <v>39</v>
          </cell>
        </row>
        <row r="307">
          <cell r="A307">
            <v>221.11</v>
          </cell>
          <cell r="B307" t="str">
            <v>LTD - 2001 SERIES A BONDS</v>
          </cell>
          <cell r="C307">
            <v>0</v>
          </cell>
          <cell r="D307">
            <v>0</v>
          </cell>
          <cell r="E307">
            <v>0</v>
          </cell>
          <cell r="F307">
            <v>0</v>
          </cell>
          <cell r="G307" t="str">
            <v>Liability</v>
          </cell>
          <cell r="I307">
            <v>0</v>
          </cell>
          <cell r="K307" t="str">
            <v>Active</v>
          </cell>
          <cell r="L307" t="str">
            <v>Balance Sheet</v>
          </cell>
          <cell r="M307">
            <v>39</v>
          </cell>
        </row>
        <row r="308">
          <cell r="A308">
            <v>221.12</v>
          </cell>
          <cell r="B308" t="str">
            <v>LTD - 2002 SERIES A BONDS</v>
          </cell>
          <cell r="C308">
            <v>0</v>
          </cell>
          <cell r="D308">
            <v>0</v>
          </cell>
          <cell r="E308">
            <v>-1375679.08</v>
          </cell>
          <cell r="F308">
            <v>0</v>
          </cell>
          <cell r="G308" t="str">
            <v>Liability</v>
          </cell>
          <cell r="I308">
            <v>-1375679.08</v>
          </cell>
          <cell r="K308" t="str">
            <v>Active</v>
          </cell>
          <cell r="L308" t="str">
            <v>Balance Sheet</v>
          </cell>
          <cell r="M308">
            <v>39</v>
          </cell>
        </row>
        <row r="309">
          <cell r="A309">
            <v>221.13</v>
          </cell>
          <cell r="B309" t="str">
            <v>LTD - 2003 SERIES A BONDS</v>
          </cell>
          <cell r="C309">
            <v>0</v>
          </cell>
          <cell r="D309">
            <v>0</v>
          </cell>
          <cell r="E309">
            <v>-1178786.6599999999</v>
          </cell>
          <cell r="F309">
            <v>0</v>
          </cell>
          <cell r="G309" t="str">
            <v>Liability</v>
          </cell>
          <cell r="I309">
            <v>-1178786.6599999999</v>
          </cell>
          <cell r="K309" t="str">
            <v>Active</v>
          </cell>
          <cell r="L309" t="str">
            <v>Balance Sheet</v>
          </cell>
          <cell r="M309">
            <v>39</v>
          </cell>
        </row>
        <row r="310">
          <cell r="A310">
            <v>221.14</v>
          </cell>
          <cell r="B310" t="str">
            <v>LTD - 2003 SERIES B BONDS</v>
          </cell>
          <cell r="C310">
            <v>0</v>
          </cell>
          <cell r="D310">
            <v>0</v>
          </cell>
          <cell r="E310">
            <v>-317098.63</v>
          </cell>
          <cell r="F310">
            <v>0</v>
          </cell>
          <cell r="G310" t="str">
            <v>Liability</v>
          </cell>
          <cell r="I310">
            <v>-317098.63</v>
          </cell>
          <cell r="K310" t="str">
            <v>Active</v>
          </cell>
          <cell r="L310" t="str">
            <v>Balance Sheet</v>
          </cell>
          <cell r="M310">
            <v>39</v>
          </cell>
        </row>
        <row r="311">
          <cell r="A311">
            <v>221.15</v>
          </cell>
          <cell r="B311" t="str">
            <v>LTD - 2004 SERIES A BONDS</v>
          </cell>
          <cell r="C311">
            <v>0</v>
          </cell>
          <cell r="D311">
            <v>0</v>
          </cell>
          <cell r="E311">
            <v>-18549270.23</v>
          </cell>
          <cell r="F311">
            <v>0</v>
          </cell>
          <cell r="G311" t="str">
            <v>Liability</v>
          </cell>
          <cell r="I311">
            <v>-18549270.23</v>
          </cell>
          <cell r="K311" t="str">
            <v>Active</v>
          </cell>
          <cell r="L311" t="str">
            <v>Balance Sheet</v>
          </cell>
          <cell r="M311">
            <v>39</v>
          </cell>
        </row>
        <row r="312">
          <cell r="A312">
            <v>221.16</v>
          </cell>
          <cell r="B312" t="str">
            <v>LTD - 2005 SERIES A BONDS</v>
          </cell>
          <cell r="C312">
            <v>0</v>
          </cell>
          <cell r="D312">
            <v>0</v>
          </cell>
          <cell r="E312">
            <v>-2926682.72</v>
          </cell>
          <cell r="F312">
            <v>0</v>
          </cell>
          <cell r="G312" t="str">
            <v>Liability</v>
          </cell>
          <cell r="I312">
            <v>-2926682.72</v>
          </cell>
          <cell r="K312" t="str">
            <v>Active</v>
          </cell>
          <cell r="L312" t="str">
            <v>Balance Sheet</v>
          </cell>
          <cell r="M312">
            <v>39</v>
          </cell>
        </row>
        <row r="313">
          <cell r="A313">
            <v>221.17</v>
          </cell>
          <cell r="B313" t="str">
            <v>LTD - 2006 SERIES A BONDS</v>
          </cell>
          <cell r="C313">
            <v>0</v>
          </cell>
          <cell r="D313">
            <v>0</v>
          </cell>
          <cell r="E313">
            <v>-3854688.86</v>
          </cell>
          <cell r="F313">
            <v>0</v>
          </cell>
          <cell r="G313" t="str">
            <v>Liability</v>
          </cell>
          <cell r="I313">
            <v>-3854688.86</v>
          </cell>
          <cell r="K313" t="str">
            <v>Active</v>
          </cell>
          <cell r="L313" t="str">
            <v>Balance Sheet</v>
          </cell>
          <cell r="M313">
            <v>39</v>
          </cell>
        </row>
        <row r="314">
          <cell r="A314">
            <v>221.18</v>
          </cell>
          <cell r="B314" t="str">
            <v>LTD - 2008 SERIES B BONDS</v>
          </cell>
          <cell r="C314">
            <v>0</v>
          </cell>
          <cell r="D314">
            <v>0</v>
          </cell>
          <cell r="E314">
            <v>-3894957.92</v>
          </cell>
          <cell r="F314">
            <v>0</v>
          </cell>
          <cell r="G314" t="str">
            <v>Liability</v>
          </cell>
          <cell r="I314">
            <v>-3894957.92</v>
          </cell>
          <cell r="K314" t="str">
            <v>Active</v>
          </cell>
          <cell r="L314" t="str">
            <v>Balance Sheet</v>
          </cell>
          <cell r="M314">
            <v>39</v>
          </cell>
        </row>
        <row r="315">
          <cell r="A315">
            <v>221.19</v>
          </cell>
          <cell r="B315" t="str">
            <v>LTD - 2009 SERIES A BOND</v>
          </cell>
          <cell r="C315">
            <v>27500.31</v>
          </cell>
          <cell r="D315">
            <v>0</v>
          </cell>
          <cell r="E315">
            <v>-5650736.1600000001</v>
          </cell>
          <cell r="F315">
            <v>0</v>
          </cell>
          <cell r="G315" t="str">
            <v>Liability</v>
          </cell>
          <cell r="I315">
            <v>-5678236.4699999997</v>
          </cell>
          <cell r="K315" t="str">
            <v>Active</v>
          </cell>
          <cell r="L315" t="str">
            <v>Balance Sheet</v>
          </cell>
          <cell r="M315">
            <v>39</v>
          </cell>
        </row>
        <row r="316">
          <cell r="A316">
            <v>224.12</v>
          </cell>
          <cell r="B316" t="str">
            <v>OTHER LONG TERM DEBT - COBANK</v>
          </cell>
          <cell r="C316">
            <v>0</v>
          </cell>
          <cell r="D316">
            <v>0</v>
          </cell>
          <cell r="E316">
            <v>0</v>
          </cell>
          <cell r="F316">
            <v>0</v>
          </cell>
          <cell r="G316" t="str">
            <v>Liability</v>
          </cell>
          <cell r="I316">
            <v>0</v>
          </cell>
          <cell r="K316" t="str">
            <v>Active</v>
          </cell>
          <cell r="L316" t="str">
            <v>Balance Sheet</v>
          </cell>
          <cell r="M316">
            <v>40</v>
          </cell>
        </row>
        <row r="317">
          <cell r="A317">
            <v>224.13</v>
          </cell>
          <cell r="B317" t="str">
            <v>OTHER LTD-CFC REFINANCE NRECA</v>
          </cell>
          <cell r="C317">
            <v>0</v>
          </cell>
          <cell r="D317">
            <v>0</v>
          </cell>
          <cell r="E317">
            <v>-315853.78999999998</v>
          </cell>
          <cell r="F317">
            <v>0</v>
          </cell>
          <cell r="G317" t="str">
            <v>Liability</v>
          </cell>
          <cell r="I317">
            <v>-315853.78999999998</v>
          </cell>
          <cell r="K317" t="str">
            <v>Active</v>
          </cell>
          <cell r="L317" t="str">
            <v>Balance Sheet</v>
          </cell>
          <cell r="M317">
            <v>40</v>
          </cell>
        </row>
        <row r="318">
          <cell r="A318">
            <v>224.14</v>
          </cell>
          <cell r="B318" t="str">
            <v>CONTINGENT LIABILITY - TPB</v>
          </cell>
          <cell r="C318">
            <v>0</v>
          </cell>
          <cell r="D318">
            <v>0</v>
          </cell>
          <cell r="E318">
            <v>0</v>
          </cell>
          <cell r="F318">
            <v>0</v>
          </cell>
          <cell r="G318" t="str">
            <v>Liability</v>
          </cell>
          <cell r="I318">
            <v>0</v>
          </cell>
          <cell r="K318" t="str">
            <v>Active</v>
          </cell>
          <cell r="L318" t="str">
            <v>Balance Sheet</v>
          </cell>
          <cell r="M318">
            <v>40</v>
          </cell>
        </row>
        <row r="319">
          <cell r="A319">
            <v>224.3</v>
          </cell>
          <cell r="B319" t="str">
            <v>LTD - REA CONST NOTES</v>
          </cell>
          <cell r="C319">
            <v>0</v>
          </cell>
          <cell r="D319">
            <v>0</v>
          </cell>
          <cell r="E319">
            <v>0</v>
          </cell>
          <cell r="F319">
            <v>0</v>
          </cell>
          <cell r="G319" t="str">
            <v>Liability</v>
          </cell>
          <cell r="I319">
            <v>0</v>
          </cell>
          <cell r="K319" t="str">
            <v>Active</v>
          </cell>
          <cell r="L319" t="str">
            <v>Balance Sheet</v>
          </cell>
          <cell r="M319">
            <v>37</v>
          </cell>
        </row>
        <row r="320">
          <cell r="A320">
            <v>224.4</v>
          </cell>
          <cell r="B320" t="str">
            <v>REA NOTES EXECUTED - DR</v>
          </cell>
          <cell r="C320">
            <v>0</v>
          </cell>
          <cell r="D320">
            <v>0</v>
          </cell>
          <cell r="E320">
            <v>0</v>
          </cell>
          <cell r="F320">
            <v>0</v>
          </cell>
          <cell r="G320" t="str">
            <v>Liability</v>
          </cell>
          <cell r="I320">
            <v>0</v>
          </cell>
          <cell r="K320" t="str">
            <v>Active</v>
          </cell>
          <cell r="L320" t="str">
            <v>Balance Sheet</v>
          </cell>
          <cell r="M320">
            <v>37</v>
          </cell>
        </row>
        <row r="321">
          <cell r="A321">
            <v>224.5</v>
          </cell>
          <cell r="B321" t="str">
            <v>INT ACC - DEF - REA CONST</v>
          </cell>
          <cell r="C321">
            <v>0</v>
          </cell>
          <cell r="D321">
            <v>0</v>
          </cell>
          <cell r="E321">
            <v>0</v>
          </cell>
          <cell r="F321">
            <v>0</v>
          </cell>
          <cell r="G321" t="str">
            <v>Liability</v>
          </cell>
          <cell r="I321">
            <v>0</v>
          </cell>
          <cell r="K321" t="str">
            <v>Active</v>
          </cell>
          <cell r="L321" t="str">
            <v>Balance Sheet</v>
          </cell>
          <cell r="M321">
            <v>37</v>
          </cell>
        </row>
        <row r="322">
          <cell r="A322">
            <v>227</v>
          </cell>
          <cell r="B322" t="str">
            <v>CAPITAL LEASES - NON CURRENT</v>
          </cell>
          <cell r="C322">
            <v>0</v>
          </cell>
          <cell r="D322">
            <v>0</v>
          </cell>
          <cell r="E322">
            <v>0</v>
          </cell>
          <cell r="F322">
            <v>0</v>
          </cell>
          <cell r="G322" t="str">
            <v>Liability</v>
          </cell>
          <cell r="I322">
            <v>0</v>
          </cell>
          <cell r="K322" t="str">
            <v>Active</v>
          </cell>
          <cell r="L322" t="str">
            <v>Balance Sheet</v>
          </cell>
          <cell r="M322">
            <v>44</v>
          </cell>
        </row>
        <row r="323">
          <cell r="A323">
            <v>227.07</v>
          </cell>
          <cell r="B323" t="str">
            <v>CAPITAL LEASE-NON CURRENT-DERBY</v>
          </cell>
          <cell r="C323">
            <v>1126.93</v>
          </cell>
          <cell r="D323">
            <v>0</v>
          </cell>
          <cell r="E323">
            <v>-280570.65000000002</v>
          </cell>
          <cell r="F323">
            <v>0</v>
          </cell>
          <cell r="G323" t="str">
            <v>Liability</v>
          </cell>
          <cell r="I323">
            <v>-281697.58</v>
          </cell>
          <cell r="K323" t="str">
            <v>Active</v>
          </cell>
          <cell r="L323" t="str">
            <v>Balance Sheet</v>
          </cell>
          <cell r="M323">
            <v>44</v>
          </cell>
        </row>
        <row r="324">
          <cell r="A324">
            <v>229</v>
          </cell>
          <cell r="B324" t="str">
            <v>ACCUM PROV FOR RATE REFUNDS</v>
          </cell>
          <cell r="C324">
            <v>0</v>
          </cell>
          <cell r="D324">
            <v>0</v>
          </cell>
          <cell r="E324">
            <v>0</v>
          </cell>
          <cell r="F324">
            <v>0</v>
          </cell>
          <cell r="G324" t="str">
            <v>Liability</v>
          </cell>
          <cell r="I324">
            <v>0</v>
          </cell>
          <cell r="K324" t="str">
            <v>Active</v>
          </cell>
          <cell r="L324" t="str">
            <v>Balance Sheet</v>
          </cell>
          <cell r="M324">
            <v>48</v>
          </cell>
        </row>
        <row r="325">
          <cell r="A325">
            <v>231</v>
          </cell>
          <cell r="B325" t="str">
            <v>CURRENT-1997 &amp; 2008 SERIE A BOND</v>
          </cell>
          <cell r="C325">
            <v>0</v>
          </cell>
          <cell r="D325">
            <v>0</v>
          </cell>
          <cell r="E325">
            <v>-677250</v>
          </cell>
          <cell r="F325">
            <v>0</v>
          </cell>
          <cell r="G325" t="str">
            <v>Liability</v>
          </cell>
          <cell r="I325">
            <v>-677250</v>
          </cell>
          <cell r="K325" t="str">
            <v>Active</v>
          </cell>
          <cell r="L325" t="str">
            <v>Balance Sheet</v>
          </cell>
          <cell r="M325">
            <v>47</v>
          </cell>
        </row>
        <row r="326">
          <cell r="A326">
            <v>231.01</v>
          </cell>
          <cell r="B326" t="str">
            <v>CURRENT - 2010 SERIES A BONDS</v>
          </cell>
          <cell r="C326">
            <v>0</v>
          </cell>
          <cell r="D326">
            <v>0</v>
          </cell>
          <cell r="E326">
            <v>-378610.94</v>
          </cell>
          <cell r="F326">
            <v>0</v>
          </cell>
          <cell r="G326" t="str">
            <v>Liability</v>
          </cell>
          <cell r="I326">
            <v>-378610.94</v>
          </cell>
          <cell r="K326" t="str">
            <v>Active</v>
          </cell>
          <cell r="L326" t="str">
            <v>Balance Sheet</v>
          </cell>
          <cell r="M326">
            <v>47</v>
          </cell>
        </row>
        <row r="327">
          <cell r="A327">
            <v>231.02</v>
          </cell>
          <cell r="B327" t="str">
            <v>CURRENT - 2012 SERIES A BONDS</v>
          </cell>
          <cell r="C327">
            <v>0</v>
          </cell>
          <cell r="D327">
            <v>0</v>
          </cell>
          <cell r="E327">
            <v>0</v>
          </cell>
          <cell r="F327">
            <v>0</v>
          </cell>
          <cell r="G327" t="str">
            <v>Liability</v>
          </cell>
          <cell r="I327">
            <v>0</v>
          </cell>
          <cell r="K327" t="str">
            <v>Active</v>
          </cell>
          <cell r="L327" t="str">
            <v>Balance Sheet</v>
          </cell>
          <cell r="M327">
            <v>47</v>
          </cell>
        </row>
        <row r="328">
          <cell r="A328">
            <v>231.1</v>
          </cell>
          <cell r="B328" t="str">
            <v>CURRENT - 2000 SERIES A BONDS</v>
          </cell>
          <cell r="C328">
            <v>0</v>
          </cell>
          <cell r="D328">
            <v>0</v>
          </cell>
          <cell r="E328">
            <v>0</v>
          </cell>
          <cell r="F328">
            <v>0</v>
          </cell>
          <cell r="G328" t="str">
            <v>Liability</v>
          </cell>
          <cell r="I328">
            <v>0</v>
          </cell>
          <cell r="K328" t="str">
            <v>Inactive</v>
          </cell>
          <cell r="L328" t="str">
            <v>Balance Sheet</v>
          </cell>
          <cell r="M328">
            <v>47</v>
          </cell>
        </row>
        <row r="329">
          <cell r="A329">
            <v>231.11</v>
          </cell>
          <cell r="B329" t="str">
            <v>CURRENT - 2001 SERIES A BONDS</v>
          </cell>
          <cell r="C329">
            <v>0</v>
          </cell>
          <cell r="D329">
            <v>0</v>
          </cell>
          <cell r="E329">
            <v>0</v>
          </cell>
          <cell r="F329">
            <v>0</v>
          </cell>
          <cell r="G329" t="str">
            <v>Liability</v>
          </cell>
          <cell r="I329">
            <v>0</v>
          </cell>
          <cell r="K329" t="str">
            <v>Active</v>
          </cell>
          <cell r="L329" t="str">
            <v>Balance Sheet</v>
          </cell>
          <cell r="M329">
            <v>47</v>
          </cell>
        </row>
        <row r="330">
          <cell r="A330">
            <v>231.12</v>
          </cell>
          <cell r="B330" t="str">
            <v>CURRENT - 2002 SERIES A BONDS</v>
          </cell>
          <cell r="C330">
            <v>0</v>
          </cell>
          <cell r="D330">
            <v>0</v>
          </cell>
          <cell r="E330">
            <v>-63027.42</v>
          </cell>
          <cell r="F330">
            <v>0</v>
          </cell>
          <cell r="G330" t="str">
            <v>Liability</v>
          </cell>
          <cell r="I330">
            <v>-63027.42</v>
          </cell>
          <cell r="K330" t="str">
            <v>Active</v>
          </cell>
          <cell r="L330" t="str">
            <v>Balance Sheet</v>
          </cell>
          <cell r="M330">
            <v>47</v>
          </cell>
        </row>
        <row r="331">
          <cell r="A331">
            <v>231.13</v>
          </cell>
          <cell r="B331" t="str">
            <v>CURRENT-OTHER LTD CFC REF. NRECA</v>
          </cell>
          <cell r="C331">
            <v>0</v>
          </cell>
          <cell r="D331">
            <v>0</v>
          </cell>
          <cell r="E331">
            <v>-101755.14</v>
          </cell>
          <cell r="F331">
            <v>0</v>
          </cell>
          <cell r="G331" t="str">
            <v>Liability</v>
          </cell>
          <cell r="I331">
            <v>-101755.14</v>
          </cell>
          <cell r="K331" t="str">
            <v>Active</v>
          </cell>
          <cell r="L331" t="str">
            <v>Balance Sheet</v>
          </cell>
          <cell r="M331">
            <v>47</v>
          </cell>
        </row>
        <row r="332">
          <cell r="A332">
            <v>231.14</v>
          </cell>
          <cell r="B332" t="str">
            <v>CURRENT - 2003 SERIES B BONDS</v>
          </cell>
          <cell r="C332">
            <v>0</v>
          </cell>
          <cell r="D332">
            <v>0</v>
          </cell>
          <cell r="E332">
            <v>-23171.62</v>
          </cell>
          <cell r="F332">
            <v>0</v>
          </cell>
          <cell r="G332" t="str">
            <v>Liability</v>
          </cell>
          <cell r="I332">
            <v>-23171.62</v>
          </cell>
          <cell r="K332" t="str">
            <v>Active</v>
          </cell>
          <cell r="L332" t="str">
            <v>Balance Sheet</v>
          </cell>
          <cell r="M332">
            <v>47</v>
          </cell>
        </row>
        <row r="333">
          <cell r="A333">
            <v>231.15</v>
          </cell>
          <cell r="B333" t="str">
            <v>CURRENT - 2004 SERIES A BONDS</v>
          </cell>
          <cell r="C333">
            <v>0</v>
          </cell>
          <cell r="D333">
            <v>0</v>
          </cell>
          <cell r="E333">
            <v>-397677.98</v>
          </cell>
          <cell r="F333">
            <v>0</v>
          </cell>
          <cell r="G333" t="str">
            <v>Liability</v>
          </cell>
          <cell r="I333">
            <v>-397677.98</v>
          </cell>
          <cell r="K333" t="str">
            <v>Active</v>
          </cell>
          <cell r="L333" t="str">
            <v>Balance Sheet</v>
          </cell>
          <cell r="M333">
            <v>47</v>
          </cell>
        </row>
        <row r="334">
          <cell r="A334">
            <v>231.16</v>
          </cell>
          <cell r="B334" t="str">
            <v>CURRENT - 2005 SERIES A BONDS</v>
          </cell>
          <cell r="C334">
            <v>0</v>
          </cell>
          <cell r="D334">
            <v>0</v>
          </cell>
          <cell r="E334">
            <v>-154746.26</v>
          </cell>
          <cell r="F334">
            <v>0</v>
          </cell>
          <cell r="G334" t="str">
            <v>Liability</v>
          </cell>
          <cell r="I334">
            <v>-154746.26</v>
          </cell>
          <cell r="K334" t="str">
            <v>Active</v>
          </cell>
          <cell r="L334" t="str">
            <v>Balance Sheet</v>
          </cell>
          <cell r="M334">
            <v>47</v>
          </cell>
        </row>
        <row r="335">
          <cell r="A335">
            <v>231.17</v>
          </cell>
          <cell r="B335" t="str">
            <v>CURRENT - 2006 SERIES A BONDS</v>
          </cell>
          <cell r="C335">
            <v>0</v>
          </cell>
          <cell r="D335">
            <v>0</v>
          </cell>
          <cell r="E335">
            <v>-70279.39</v>
          </cell>
          <cell r="F335">
            <v>0</v>
          </cell>
          <cell r="G335" t="str">
            <v>Liability</v>
          </cell>
          <cell r="I335">
            <v>-70279.39</v>
          </cell>
          <cell r="K335" t="str">
            <v>Active</v>
          </cell>
          <cell r="L335" t="str">
            <v>Balance Sheet</v>
          </cell>
          <cell r="M335">
            <v>47</v>
          </cell>
        </row>
        <row r="336">
          <cell r="A336">
            <v>231.18</v>
          </cell>
          <cell r="B336" t="str">
            <v>CURRENT - 2008 SERIES B BOND</v>
          </cell>
          <cell r="C336">
            <v>0</v>
          </cell>
          <cell r="D336">
            <v>0</v>
          </cell>
          <cell r="E336">
            <v>-151260.51999999999</v>
          </cell>
          <cell r="F336">
            <v>0</v>
          </cell>
          <cell r="G336" t="str">
            <v>Liability</v>
          </cell>
          <cell r="I336">
            <v>-151260.51999999999</v>
          </cell>
          <cell r="K336" t="str">
            <v>Active</v>
          </cell>
          <cell r="L336" t="str">
            <v>Balance Sheet</v>
          </cell>
          <cell r="M336">
            <v>47</v>
          </cell>
        </row>
        <row r="337">
          <cell r="A337">
            <v>231.19</v>
          </cell>
          <cell r="B337" t="str">
            <v>CURRENT - 2009 SERIES A BOND</v>
          </cell>
          <cell r="C337">
            <v>0</v>
          </cell>
          <cell r="D337">
            <v>0</v>
          </cell>
          <cell r="E337">
            <v>-111733.34</v>
          </cell>
          <cell r="F337">
            <v>0</v>
          </cell>
          <cell r="G337" t="str">
            <v>Liability</v>
          </cell>
          <cell r="I337">
            <v>-111733.34</v>
          </cell>
          <cell r="K337" t="str">
            <v>Active</v>
          </cell>
          <cell r="L337" t="str">
            <v>Balance Sheet</v>
          </cell>
          <cell r="M337">
            <v>47</v>
          </cell>
        </row>
        <row r="338">
          <cell r="A338">
            <v>231.2</v>
          </cell>
          <cell r="B338" t="str">
            <v>REVOLVING DEBT - COBANK</v>
          </cell>
          <cell r="C338">
            <v>700000</v>
          </cell>
          <cell r="D338">
            <v>0</v>
          </cell>
          <cell r="E338">
            <v>-3800000</v>
          </cell>
          <cell r="F338">
            <v>0</v>
          </cell>
          <cell r="G338" t="str">
            <v>Liability</v>
          </cell>
          <cell r="I338">
            <v>-4500000</v>
          </cell>
          <cell r="K338" t="str">
            <v>Active</v>
          </cell>
          <cell r="L338" t="str">
            <v>Balance Sheet</v>
          </cell>
          <cell r="M338">
            <v>47</v>
          </cell>
        </row>
        <row r="339">
          <cell r="A339">
            <v>231.21</v>
          </cell>
          <cell r="B339" t="str">
            <v>REVOLVING DEBT - CFC</v>
          </cell>
          <cell r="C339">
            <v>0</v>
          </cell>
          <cell r="D339">
            <v>0</v>
          </cell>
          <cell r="E339">
            <v>0</v>
          </cell>
          <cell r="F339">
            <v>0</v>
          </cell>
          <cell r="G339" t="str">
            <v>Liability</v>
          </cell>
          <cell r="I339">
            <v>0</v>
          </cell>
          <cell r="K339" t="str">
            <v>Active</v>
          </cell>
          <cell r="L339" t="str">
            <v>Balance Sheet</v>
          </cell>
          <cell r="M339">
            <v>47</v>
          </cell>
        </row>
        <row r="340">
          <cell r="A340">
            <v>231.23</v>
          </cell>
          <cell r="B340" t="str">
            <v>CURRENT - 2003 SERIES A BONDS</v>
          </cell>
          <cell r="C340">
            <v>0</v>
          </cell>
          <cell r="D340">
            <v>0</v>
          </cell>
          <cell r="E340">
            <v>-52714.04</v>
          </cell>
          <cell r="F340">
            <v>0</v>
          </cell>
          <cell r="G340" t="str">
            <v>Liability</v>
          </cell>
          <cell r="I340">
            <v>-52714.04</v>
          </cell>
          <cell r="K340" t="str">
            <v>Active</v>
          </cell>
          <cell r="L340" t="str">
            <v>Balance Sheet</v>
          </cell>
          <cell r="M340">
            <v>47</v>
          </cell>
        </row>
        <row r="341">
          <cell r="A341">
            <v>232.1</v>
          </cell>
          <cell r="B341" t="str">
            <v>A/P GENERAL SYSTEM</v>
          </cell>
          <cell r="C341">
            <v>136653.18</v>
          </cell>
          <cell r="D341">
            <v>0</v>
          </cell>
          <cell r="E341">
            <v>-3027121.98</v>
          </cell>
          <cell r="F341">
            <v>0</v>
          </cell>
          <cell r="G341" t="str">
            <v>Liability</v>
          </cell>
          <cell r="I341">
            <v>-3163775.16</v>
          </cell>
          <cell r="K341" t="str">
            <v>Active</v>
          </cell>
          <cell r="L341" t="str">
            <v>Balance Sheet</v>
          </cell>
          <cell r="M341">
            <v>48</v>
          </cell>
        </row>
        <row r="342">
          <cell r="A342">
            <v>232.11</v>
          </cell>
          <cell r="B342" t="str">
            <v>A/P PRE PETITION DPS/PSB</v>
          </cell>
          <cell r="C342">
            <v>0</v>
          </cell>
          <cell r="D342">
            <v>0</v>
          </cell>
          <cell r="E342">
            <v>0</v>
          </cell>
          <cell r="F342">
            <v>0</v>
          </cell>
          <cell r="G342" t="str">
            <v>Liability</v>
          </cell>
          <cell r="I342">
            <v>0</v>
          </cell>
          <cell r="K342" t="str">
            <v>Active</v>
          </cell>
          <cell r="L342" t="str">
            <v>Balance Sheet</v>
          </cell>
          <cell r="M342">
            <v>48</v>
          </cell>
        </row>
        <row r="343">
          <cell r="A343">
            <v>232.12</v>
          </cell>
          <cell r="B343" t="str">
            <v>CZN PAYROLL OPENING BALANCE</v>
          </cell>
          <cell r="C343">
            <v>0</v>
          </cell>
          <cell r="D343">
            <v>0</v>
          </cell>
          <cell r="E343">
            <v>0</v>
          </cell>
          <cell r="F343">
            <v>0</v>
          </cell>
          <cell r="G343" t="str">
            <v>Liability</v>
          </cell>
          <cell r="I343">
            <v>0</v>
          </cell>
          <cell r="K343" t="str">
            <v>Active</v>
          </cell>
          <cell r="L343" t="str">
            <v>Balance Sheet</v>
          </cell>
          <cell r="M343">
            <v>48</v>
          </cell>
        </row>
        <row r="344">
          <cell r="A344">
            <v>232.13</v>
          </cell>
          <cell r="B344" t="str">
            <v>CZN A/P OPENING BALANCE</v>
          </cell>
          <cell r="C344">
            <v>0</v>
          </cell>
          <cell r="D344">
            <v>0</v>
          </cell>
          <cell r="E344">
            <v>0</v>
          </cell>
          <cell r="F344">
            <v>0</v>
          </cell>
          <cell r="G344" t="str">
            <v>Liability</v>
          </cell>
          <cell r="I344">
            <v>0</v>
          </cell>
          <cell r="K344" t="str">
            <v>Inactive</v>
          </cell>
          <cell r="L344" t="str">
            <v>Balance Sheet</v>
          </cell>
          <cell r="M344">
            <v>48</v>
          </cell>
        </row>
        <row r="345">
          <cell r="A345">
            <v>232.14</v>
          </cell>
          <cell r="B345" t="str">
            <v>A/P PRE PETITION TAXES</v>
          </cell>
          <cell r="C345">
            <v>0</v>
          </cell>
          <cell r="D345">
            <v>0</v>
          </cell>
          <cell r="E345">
            <v>0</v>
          </cell>
          <cell r="F345">
            <v>0</v>
          </cell>
          <cell r="G345" t="str">
            <v>Liability</v>
          </cell>
          <cell r="I345">
            <v>0</v>
          </cell>
          <cell r="K345" t="str">
            <v>Active</v>
          </cell>
          <cell r="L345" t="str">
            <v>Balance Sheet</v>
          </cell>
          <cell r="M345">
            <v>48</v>
          </cell>
        </row>
        <row r="346">
          <cell r="A346">
            <v>232.15</v>
          </cell>
          <cell r="B346" t="str">
            <v>A/P PRE PETITION UNPAID CHECKS</v>
          </cell>
          <cell r="C346">
            <v>0</v>
          </cell>
          <cell r="D346">
            <v>0</v>
          </cell>
          <cell r="E346">
            <v>0</v>
          </cell>
          <cell r="F346">
            <v>0</v>
          </cell>
          <cell r="G346" t="str">
            <v>Liability</v>
          </cell>
          <cell r="I346">
            <v>0</v>
          </cell>
          <cell r="K346" t="str">
            <v>Active</v>
          </cell>
          <cell r="L346" t="str">
            <v>Balance Sheet</v>
          </cell>
          <cell r="M346">
            <v>48</v>
          </cell>
        </row>
        <row r="347">
          <cell r="A347">
            <v>232.16</v>
          </cell>
          <cell r="B347" t="str">
            <v>A/P PURCHASED POWER CLEARING</v>
          </cell>
          <cell r="C347">
            <v>-66377.149999999994</v>
          </cell>
          <cell r="D347">
            <v>0</v>
          </cell>
          <cell r="E347">
            <v>-4146256.69</v>
          </cell>
          <cell r="F347">
            <v>0</v>
          </cell>
          <cell r="G347" t="str">
            <v>Liability</v>
          </cell>
          <cell r="I347">
            <v>-4079879.54</v>
          </cell>
          <cell r="K347" t="str">
            <v>Active</v>
          </cell>
          <cell r="L347" t="str">
            <v>Balance Sheet</v>
          </cell>
          <cell r="M347">
            <v>48</v>
          </cell>
        </row>
        <row r="348">
          <cell r="A348">
            <v>232.17</v>
          </cell>
          <cell r="B348" t="str">
            <v>A/P PENDING COURT APPROVAL</v>
          </cell>
          <cell r="C348">
            <v>0</v>
          </cell>
          <cell r="D348">
            <v>0</v>
          </cell>
          <cell r="E348">
            <v>0</v>
          </cell>
          <cell r="F348">
            <v>0</v>
          </cell>
          <cell r="G348" t="str">
            <v>Liability</v>
          </cell>
          <cell r="I348">
            <v>0</v>
          </cell>
          <cell r="K348" t="str">
            <v>Active</v>
          </cell>
          <cell r="L348" t="str">
            <v>Balance Sheet</v>
          </cell>
          <cell r="M348">
            <v>48</v>
          </cell>
        </row>
        <row r="349">
          <cell r="A349">
            <v>232.18</v>
          </cell>
          <cell r="B349" t="str">
            <v>CZN INVENTORY OPENING BALANCE</v>
          </cell>
          <cell r="C349">
            <v>0</v>
          </cell>
          <cell r="D349">
            <v>0</v>
          </cell>
          <cell r="E349">
            <v>0</v>
          </cell>
          <cell r="F349">
            <v>0</v>
          </cell>
          <cell r="G349" t="str">
            <v>Liability</v>
          </cell>
          <cell r="I349">
            <v>0</v>
          </cell>
          <cell r="K349" t="str">
            <v>Inactive</v>
          </cell>
          <cell r="L349" t="str">
            <v>Balance Sheet</v>
          </cell>
          <cell r="M349">
            <v>48</v>
          </cell>
        </row>
        <row r="350">
          <cell r="A350">
            <v>232.2</v>
          </cell>
          <cell r="B350" t="str">
            <v>RETAINAGE PAYABLE, BEMIS</v>
          </cell>
          <cell r="C350">
            <v>0</v>
          </cell>
          <cell r="D350">
            <v>0</v>
          </cell>
          <cell r="E350">
            <v>0</v>
          </cell>
          <cell r="F350">
            <v>0</v>
          </cell>
          <cell r="G350" t="str">
            <v>Liability</v>
          </cell>
          <cell r="I350">
            <v>0</v>
          </cell>
          <cell r="K350" t="str">
            <v>Active</v>
          </cell>
          <cell r="L350" t="str">
            <v>Balance Sheet</v>
          </cell>
          <cell r="M350">
            <v>48</v>
          </cell>
        </row>
        <row r="351">
          <cell r="A351">
            <v>232.21</v>
          </cell>
          <cell r="B351" t="str">
            <v>A/P - POST PETITION DPS/PSB</v>
          </cell>
          <cell r="C351">
            <v>0</v>
          </cell>
          <cell r="D351">
            <v>0</v>
          </cell>
          <cell r="E351">
            <v>0</v>
          </cell>
          <cell r="F351">
            <v>0</v>
          </cell>
          <cell r="G351" t="str">
            <v>Liability</v>
          </cell>
          <cell r="I351">
            <v>0</v>
          </cell>
          <cell r="K351" t="str">
            <v>Active</v>
          </cell>
          <cell r="L351" t="str">
            <v>Balance Sheet</v>
          </cell>
          <cell r="M351">
            <v>48</v>
          </cell>
        </row>
        <row r="352">
          <cell r="A352">
            <v>232.3</v>
          </cell>
          <cell r="B352" t="str">
            <v>A/P RETAINAGE UTIL. SERV. OF VT</v>
          </cell>
          <cell r="C352">
            <v>0</v>
          </cell>
          <cell r="D352">
            <v>0</v>
          </cell>
          <cell r="E352">
            <v>0</v>
          </cell>
          <cell r="F352">
            <v>0</v>
          </cell>
          <cell r="G352" t="str">
            <v>Liability</v>
          </cell>
          <cell r="I352">
            <v>0</v>
          </cell>
          <cell r="K352" t="str">
            <v>Active</v>
          </cell>
          <cell r="L352" t="str">
            <v>Balance Sheet</v>
          </cell>
          <cell r="M352">
            <v>48</v>
          </cell>
        </row>
        <row r="353">
          <cell r="A353">
            <v>232.4</v>
          </cell>
          <cell r="B353" t="str">
            <v>A/P RETAINAGE - EASTERN</v>
          </cell>
          <cell r="C353">
            <v>0</v>
          </cell>
          <cell r="D353">
            <v>0</v>
          </cell>
          <cell r="E353">
            <v>0</v>
          </cell>
          <cell r="F353">
            <v>0</v>
          </cell>
          <cell r="G353" t="str">
            <v>Liability</v>
          </cell>
          <cell r="I353">
            <v>0</v>
          </cell>
          <cell r="K353" t="str">
            <v>Active</v>
          </cell>
          <cell r="L353" t="str">
            <v>Balance Sheet</v>
          </cell>
          <cell r="M353">
            <v>48</v>
          </cell>
        </row>
        <row r="354">
          <cell r="A354">
            <v>234</v>
          </cell>
          <cell r="B354" t="str">
            <v>A/P TO ASSOCIATED COMPANIES</v>
          </cell>
          <cell r="C354">
            <v>0</v>
          </cell>
          <cell r="D354">
            <v>0</v>
          </cell>
          <cell r="E354">
            <v>0</v>
          </cell>
          <cell r="F354">
            <v>0</v>
          </cell>
          <cell r="G354" t="str">
            <v>Liability</v>
          </cell>
          <cell r="I354">
            <v>0</v>
          </cell>
          <cell r="K354" t="str">
            <v>Active</v>
          </cell>
          <cell r="L354" t="str">
            <v>Balance Sheet</v>
          </cell>
          <cell r="M354">
            <v>48</v>
          </cell>
        </row>
        <row r="355">
          <cell r="A355">
            <v>235</v>
          </cell>
          <cell r="B355" t="str">
            <v>CUSTOMER DEPOSITS</v>
          </cell>
          <cell r="C355">
            <v>-5419.35</v>
          </cell>
          <cell r="D355">
            <v>0</v>
          </cell>
          <cell r="E355">
            <v>-512997.12</v>
          </cell>
          <cell r="F355">
            <v>0</v>
          </cell>
          <cell r="G355" t="str">
            <v>Liability</v>
          </cell>
          <cell r="I355">
            <v>-507577.77</v>
          </cell>
          <cell r="K355" t="str">
            <v>Active</v>
          </cell>
          <cell r="L355" t="str">
            <v>Balance Sheet</v>
          </cell>
          <cell r="M355">
            <v>49</v>
          </cell>
        </row>
        <row r="356">
          <cell r="A356">
            <v>235.01</v>
          </cell>
          <cell r="B356" t="str">
            <v>OTHER DEPOSIT-ACT 45 GENERATION</v>
          </cell>
          <cell r="C356">
            <v>0</v>
          </cell>
          <cell r="D356">
            <v>0</v>
          </cell>
          <cell r="E356">
            <v>0</v>
          </cell>
          <cell r="F356">
            <v>0</v>
          </cell>
          <cell r="G356" t="str">
            <v>Liability</v>
          </cell>
          <cell r="I356">
            <v>0</v>
          </cell>
          <cell r="K356" t="str">
            <v>Active</v>
          </cell>
          <cell r="L356" t="str">
            <v>Balance Sheet</v>
          </cell>
          <cell r="M356">
            <v>49</v>
          </cell>
        </row>
        <row r="357">
          <cell r="A357">
            <v>235.1</v>
          </cell>
          <cell r="B357" t="str">
            <v>CUST DEP ENG &amp; TS FEES</v>
          </cell>
          <cell r="C357">
            <v>0</v>
          </cell>
          <cell r="D357">
            <v>0</v>
          </cell>
          <cell r="E357">
            <v>-240</v>
          </cell>
          <cell r="F357">
            <v>0</v>
          </cell>
          <cell r="G357" t="str">
            <v>Liability</v>
          </cell>
          <cell r="I357">
            <v>-240</v>
          </cell>
          <cell r="K357" t="str">
            <v>Active</v>
          </cell>
          <cell r="L357" t="str">
            <v>Balance Sheet</v>
          </cell>
          <cell r="M357">
            <v>49</v>
          </cell>
        </row>
        <row r="358">
          <cell r="A358">
            <v>236.1</v>
          </cell>
          <cell r="B358" t="str">
            <v>ACCRUED PROPERTY TAXES</v>
          </cell>
          <cell r="C358">
            <v>-198341</v>
          </cell>
          <cell r="D358">
            <v>0</v>
          </cell>
          <cell r="E358">
            <v>-198341</v>
          </cell>
          <cell r="F358">
            <v>0</v>
          </cell>
          <cell r="G358" t="str">
            <v>Liability</v>
          </cell>
          <cell r="I358">
            <v>0</v>
          </cell>
          <cell r="K358" t="str">
            <v>Active</v>
          </cell>
          <cell r="L358" t="str">
            <v>Balance Sheet</v>
          </cell>
          <cell r="M358">
            <v>53</v>
          </cell>
        </row>
        <row r="359">
          <cell r="A359">
            <v>236.2</v>
          </cell>
          <cell r="B359" t="str">
            <v>ACCRUED US UNEMP TAX</v>
          </cell>
          <cell r="C359">
            <v>-3529.36</v>
          </cell>
          <cell r="D359">
            <v>0</v>
          </cell>
          <cell r="E359">
            <v>-3618.31</v>
          </cell>
          <cell r="F359">
            <v>0</v>
          </cell>
          <cell r="G359" t="str">
            <v>Liability</v>
          </cell>
          <cell r="I359">
            <v>-88.95</v>
          </cell>
          <cell r="K359" t="str">
            <v>Active</v>
          </cell>
          <cell r="L359" t="str">
            <v>Balance Sheet</v>
          </cell>
          <cell r="M359">
            <v>53</v>
          </cell>
        </row>
        <row r="360">
          <cell r="A360">
            <v>236.3</v>
          </cell>
          <cell r="B360" t="str">
            <v>ACCRUED FICA TAX</v>
          </cell>
          <cell r="C360">
            <v>-12812.8</v>
          </cell>
          <cell r="D360">
            <v>0</v>
          </cell>
          <cell r="E360">
            <v>-43740.73</v>
          </cell>
          <cell r="F360">
            <v>0</v>
          </cell>
          <cell r="G360" t="str">
            <v>Liability</v>
          </cell>
          <cell r="I360">
            <v>-30927.93</v>
          </cell>
          <cell r="K360" t="str">
            <v>Active</v>
          </cell>
          <cell r="L360" t="str">
            <v>Balance Sheet</v>
          </cell>
          <cell r="M360">
            <v>53</v>
          </cell>
        </row>
        <row r="361">
          <cell r="A361">
            <v>236.4</v>
          </cell>
          <cell r="B361" t="str">
            <v>ACCRUED STATE UNEMP TAX</v>
          </cell>
          <cell r="C361">
            <v>-35094.86</v>
          </cell>
          <cell r="D361">
            <v>0</v>
          </cell>
          <cell r="E361">
            <v>-36628.19</v>
          </cell>
          <cell r="F361">
            <v>0</v>
          </cell>
          <cell r="G361" t="str">
            <v>Liability</v>
          </cell>
          <cell r="I361">
            <v>-1533.33</v>
          </cell>
          <cell r="K361" t="str">
            <v>Active</v>
          </cell>
          <cell r="L361" t="str">
            <v>Balance Sheet</v>
          </cell>
          <cell r="M361">
            <v>53</v>
          </cell>
        </row>
        <row r="362">
          <cell r="A362">
            <v>236.5</v>
          </cell>
          <cell r="B362" t="str">
            <v>ACCRUED STATE SALES TAX</v>
          </cell>
          <cell r="C362">
            <v>-2454.92</v>
          </cell>
          <cell r="D362">
            <v>0</v>
          </cell>
          <cell r="E362">
            <v>-73233.17</v>
          </cell>
          <cell r="F362">
            <v>0</v>
          </cell>
          <cell r="G362" t="str">
            <v>Liability</v>
          </cell>
          <cell r="I362">
            <v>-70778.25</v>
          </cell>
          <cell r="K362" t="str">
            <v>Active</v>
          </cell>
          <cell r="L362" t="str">
            <v>Balance Sheet</v>
          </cell>
          <cell r="M362">
            <v>53</v>
          </cell>
        </row>
        <row r="363">
          <cell r="A363">
            <v>236.51</v>
          </cell>
          <cell r="B363" t="str">
            <v>ACCRUED STATE SALES TAX - MS</v>
          </cell>
          <cell r="C363">
            <v>0</v>
          </cell>
          <cell r="D363">
            <v>0</v>
          </cell>
          <cell r="E363">
            <v>0</v>
          </cell>
          <cell r="F363">
            <v>0</v>
          </cell>
          <cell r="G363" t="str">
            <v>Liability</v>
          </cell>
          <cell r="I363">
            <v>0</v>
          </cell>
          <cell r="K363" t="str">
            <v>Active</v>
          </cell>
          <cell r="L363" t="str">
            <v>Balance Sheet</v>
          </cell>
          <cell r="M363">
            <v>53</v>
          </cell>
        </row>
        <row r="364">
          <cell r="A364">
            <v>236.52</v>
          </cell>
          <cell r="B364" t="str">
            <v>ACCRUED STATE SALES/USE TAX-AUDIT ADJ.</v>
          </cell>
          <cell r="C364">
            <v>1945.99</v>
          </cell>
          <cell r="D364">
            <v>0</v>
          </cell>
          <cell r="E364">
            <v>-14480.89</v>
          </cell>
          <cell r="F364">
            <v>0</v>
          </cell>
          <cell r="G364" t="str">
            <v>Liability</v>
          </cell>
          <cell r="I364">
            <v>-16426.88</v>
          </cell>
          <cell r="K364" t="str">
            <v>Active</v>
          </cell>
          <cell r="L364" t="str">
            <v>Balance Sheet</v>
          </cell>
          <cell r="M364">
            <v>53</v>
          </cell>
        </row>
        <row r="365">
          <cell r="A365">
            <v>236.53</v>
          </cell>
          <cell r="B365" t="str">
            <v>ACCRUED WILLISTON SALES TAX 1%</v>
          </cell>
          <cell r="C365">
            <v>-3.8</v>
          </cell>
          <cell r="D365">
            <v>0</v>
          </cell>
          <cell r="E365">
            <v>-575.54999999999995</v>
          </cell>
          <cell r="F365">
            <v>0</v>
          </cell>
          <cell r="G365" t="str">
            <v>Liability</v>
          </cell>
          <cell r="I365">
            <v>-571.75</v>
          </cell>
          <cell r="K365" t="str">
            <v>Active</v>
          </cell>
          <cell r="L365" t="str">
            <v>Balance Sheet</v>
          </cell>
          <cell r="M365">
            <v>53</v>
          </cell>
        </row>
        <row r="366">
          <cell r="A366">
            <v>236.6</v>
          </cell>
          <cell r="B366" t="str">
            <v>ACCRUED GROSS REVENUE TAX</v>
          </cell>
          <cell r="C366">
            <v>-32984.28</v>
          </cell>
          <cell r="D366">
            <v>0</v>
          </cell>
          <cell r="E366">
            <v>-391366.71</v>
          </cell>
          <cell r="F366">
            <v>0</v>
          </cell>
          <cell r="G366" t="str">
            <v>Liability</v>
          </cell>
          <cell r="I366">
            <v>-358382.43</v>
          </cell>
          <cell r="K366" t="str">
            <v>Active</v>
          </cell>
          <cell r="L366" t="str">
            <v>Balance Sheet</v>
          </cell>
          <cell r="M366">
            <v>53</v>
          </cell>
        </row>
        <row r="367">
          <cell r="A367">
            <v>236.61</v>
          </cell>
          <cell r="B367" t="str">
            <v>ACCRUED FUEL GROSS RECEIPTS TA</v>
          </cell>
          <cell r="C367">
            <v>51166.12</v>
          </cell>
          <cell r="D367">
            <v>0</v>
          </cell>
          <cell r="E367">
            <v>-32250.07</v>
          </cell>
          <cell r="F367">
            <v>0</v>
          </cell>
          <cell r="G367" t="str">
            <v>Liability</v>
          </cell>
          <cell r="I367">
            <v>-83416.19</v>
          </cell>
          <cell r="K367" t="str">
            <v>Active</v>
          </cell>
          <cell r="L367" t="str">
            <v>Balance Sheet</v>
          </cell>
          <cell r="M367">
            <v>53</v>
          </cell>
        </row>
        <row r="368">
          <cell r="A368">
            <v>236.7</v>
          </cell>
          <cell r="B368" t="str">
            <v>ACCRUED LIAB - EEU CHARGE</v>
          </cell>
          <cell r="C368">
            <v>-36543.339999999997</v>
          </cell>
          <cell r="D368">
            <v>0</v>
          </cell>
          <cell r="E368">
            <v>-333624.69</v>
          </cell>
          <cell r="F368">
            <v>0</v>
          </cell>
          <cell r="G368" t="str">
            <v>Liability</v>
          </cell>
          <cell r="I368">
            <v>-297081.34999999998</v>
          </cell>
          <cell r="K368" t="str">
            <v>Active</v>
          </cell>
          <cell r="L368" t="str">
            <v>Balance Sheet</v>
          </cell>
          <cell r="M368">
            <v>53</v>
          </cell>
        </row>
        <row r="369">
          <cell r="A369">
            <v>236.75</v>
          </cell>
          <cell r="B369" t="str">
            <v>ACCRUED LIAB-RENEWABLE ENERGY PROGRAM</v>
          </cell>
          <cell r="C369">
            <v>-22.5</v>
          </cell>
          <cell r="D369">
            <v>0</v>
          </cell>
          <cell r="E369">
            <v>-45</v>
          </cell>
          <cell r="F369">
            <v>0</v>
          </cell>
          <cell r="G369" t="str">
            <v>Liability</v>
          </cell>
          <cell r="I369">
            <v>-22.5</v>
          </cell>
          <cell r="K369" t="str">
            <v>Active</v>
          </cell>
          <cell r="L369" t="str">
            <v>Balance Sheet</v>
          </cell>
          <cell r="M369">
            <v>53</v>
          </cell>
        </row>
        <row r="370">
          <cell r="A370">
            <v>237.01</v>
          </cell>
          <cell r="B370" t="str">
            <v>INTEREST ACCR-2010 A BOND</v>
          </cell>
          <cell r="C370">
            <v>-20602.18</v>
          </cell>
          <cell r="D370">
            <v>0</v>
          </cell>
          <cell r="E370">
            <v>-122343.71</v>
          </cell>
          <cell r="F370">
            <v>0</v>
          </cell>
          <cell r="G370" t="str">
            <v>Liability</v>
          </cell>
          <cell r="I370">
            <v>-101741.53</v>
          </cell>
          <cell r="K370" t="str">
            <v>Active</v>
          </cell>
          <cell r="L370" t="str">
            <v>Balance Sheet</v>
          </cell>
          <cell r="M370">
            <v>53</v>
          </cell>
        </row>
        <row r="371">
          <cell r="A371">
            <v>237.02</v>
          </cell>
          <cell r="B371" t="str">
            <v>INTEREST ACCR-2012 A BOND</v>
          </cell>
          <cell r="C371">
            <v>0</v>
          </cell>
          <cell r="D371">
            <v>0</v>
          </cell>
          <cell r="E371">
            <v>0</v>
          </cell>
          <cell r="F371">
            <v>0</v>
          </cell>
          <cell r="G371" t="str">
            <v>Liability</v>
          </cell>
          <cell r="I371">
            <v>0</v>
          </cell>
          <cell r="K371" t="str">
            <v>Active</v>
          </cell>
          <cell r="L371" t="str">
            <v>Balance Sheet</v>
          </cell>
          <cell r="M371">
            <v>53</v>
          </cell>
        </row>
        <row r="372">
          <cell r="A372">
            <v>237.1</v>
          </cell>
          <cell r="B372" t="str">
            <v>INTEREST ACCRUED-REA CONST</v>
          </cell>
          <cell r="C372">
            <v>0</v>
          </cell>
          <cell r="D372">
            <v>0</v>
          </cell>
          <cell r="E372">
            <v>0</v>
          </cell>
          <cell r="F372">
            <v>0</v>
          </cell>
          <cell r="G372" t="str">
            <v>Liability</v>
          </cell>
          <cell r="I372">
            <v>0</v>
          </cell>
          <cell r="K372" t="str">
            <v>Active</v>
          </cell>
          <cell r="L372" t="str">
            <v>Balance Sheet</v>
          </cell>
          <cell r="M372">
            <v>53</v>
          </cell>
        </row>
        <row r="373">
          <cell r="A373">
            <v>237.2</v>
          </cell>
          <cell r="B373" t="str">
            <v>INTEREST ACCRUED-SHORT TERM</v>
          </cell>
          <cell r="C373">
            <v>0</v>
          </cell>
          <cell r="D373">
            <v>0</v>
          </cell>
          <cell r="E373">
            <v>0</v>
          </cell>
          <cell r="F373">
            <v>0</v>
          </cell>
          <cell r="G373" t="str">
            <v>Liability</v>
          </cell>
          <cell r="I373">
            <v>0</v>
          </cell>
          <cell r="K373" t="str">
            <v>Active</v>
          </cell>
          <cell r="L373" t="str">
            <v>Balance Sheet</v>
          </cell>
          <cell r="M373">
            <v>53</v>
          </cell>
        </row>
        <row r="374">
          <cell r="A374">
            <v>237.22</v>
          </cell>
          <cell r="B374" t="str">
            <v>INT ACC CFC LOC#9901</v>
          </cell>
          <cell r="C374">
            <v>0</v>
          </cell>
          <cell r="D374">
            <v>0</v>
          </cell>
          <cell r="E374">
            <v>0</v>
          </cell>
          <cell r="F374">
            <v>0</v>
          </cell>
          <cell r="G374" t="str">
            <v>Liability</v>
          </cell>
          <cell r="I374">
            <v>0</v>
          </cell>
          <cell r="K374" t="str">
            <v>Active</v>
          </cell>
          <cell r="L374" t="str">
            <v>Balance Sheet</v>
          </cell>
          <cell r="M374">
            <v>53</v>
          </cell>
        </row>
        <row r="375">
          <cell r="A375">
            <v>237.3</v>
          </cell>
          <cell r="B375" t="str">
            <v>INTEREST ACCR-COBANK-2000 BOND</v>
          </cell>
          <cell r="C375">
            <v>0</v>
          </cell>
          <cell r="D375">
            <v>0</v>
          </cell>
          <cell r="E375">
            <v>0</v>
          </cell>
          <cell r="F375">
            <v>0</v>
          </cell>
          <cell r="G375" t="str">
            <v>Liability</v>
          </cell>
          <cell r="I375">
            <v>0</v>
          </cell>
          <cell r="K375" t="str">
            <v>Active</v>
          </cell>
          <cell r="L375" t="str">
            <v>Balance Sheet</v>
          </cell>
          <cell r="M375">
            <v>53</v>
          </cell>
        </row>
        <row r="376">
          <cell r="A376">
            <v>237.31</v>
          </cell>
          <cell r="B376" t="str">
            <v>INTEREST ACCR-COBANK-2001 BOND</v>
          </cell>
          <cell r="C376">
            <v>0</v>
          </cell>
          <cell r="D376">
            <v>0</v>
          </cell>
          <cell r="E376">
            <v>0</v>
          </cell>
          <cell r="F376">
            <v>0</v>
          </cell>
          <cell r="G376" t="str">
            <v>Liability</v>
          </cell>
          <cell r="I376">
            <v>0</v>
          </cell>
          <cell r="K376" t="str">
            <v>Active</v>
          </cell>
          <cell r="L376" t="str">
            <v>Balance Sheet</v>
          </cell>
          <cell r="M376">
            <v>53</v>
          </cell>
        </row>
        <row r="377">
          <cell r="A377">
            <v>237.32</v>
          </cell>
          <cell r="B377" t="str">
            <v>INTEREST ACCR-COBANK-2002 BOND</v>
          </cell>
          <cell r="C377">
            <v>0</v>
          </cell>
          <cell r="D377">
            <v>0</v>
          </cell>
          <cell r="E377">
            <v>0</v>
          </cell>
          <cell r="F377">
            <v>0</v>
          </cell>
          <cell r="G377" t="str">
            <v>Liability</v>
          </cell>
          <cell r="I377">
            <v>0</v>
          </cell>
          <cell r="K377" t="str">
            <v>Active</v>
          </cell>
          <cell r="L377" t="str">
            <v>Balance Sheet</v>
          </cell>
          <cell r="M377">
            <v>53</v>
          </cell>
        </row>
        <row r="378">
          <cell r="A378">
            <v>237.33</v>
          </cell>
          <cell r="B378" t="str">
            <v>INTEREST ACCR-COBANK-2003 A BOND</v>
          </cell>
          <cell r="C378">
            <v>-7084.05</v>
          </cell>
          <cell r="D378">
            <v>0</v>
          </cell>
          <cell r="E378">
            <v>-7084.05</v>
          </cell>
          <cell r="F378">
            <v>0</v>
          </cell>
          <cell r="G378" t="str">
            <v>Liability</v>
          </cell>
          <cell r="I378">
            <v>0</v>
          </cell>
          <cell r="K378" t="str">
            <v>Active</v>
          </cell>
          <cell r="L378" t="str">
            <v>Balance Sheet</v>
          </cell>
          <cell r="M378">
            <v>53</v>
          </cell>
        </row>
        <row r="379">
          <cell r="A379">
            <v>237.34</v>
          </cell>
          <cell r="B379" t="str">
            <v>INTEREST ACCR-COBANK-2003 B BOND</v>
          </cell>
          <cell r="C379">
            <v>-1952.52</v>
          </cell>
          <cell r="D379">
            <v>0</v>
          </cell>
          <cell r="E379">
            <v>-1952.52</v>
          </cell>
          <cell r="F379">
            <v>0</v>
          </cell>
          <cell r="G379" t="str">
            <v>Liability</v>
          </cell>
          <cell r="I379">
            <v>0</v>
          </cell>
          <cell r="K379" t="str">
            <v>Active</v>
          </cell>
          <cell r="L379" t="str">
            <v>Balance Sheet</v>
          </cell>
          <cell r="M379">
            <v>53</v>
          </cell>
        </row>
        <row r="380">
          <cell r="A380">
            <v>237.35</v>
          </cell>
          <cell r="B380" t="str">
            <v>INTEREST ACCR-CFC-2004 A BOND</v>
          </cell>
          <cell r="C380">
            <v>-97692.98</v>
          </cell>
          <cell r="D380">
            <v>0</v>
          </cell>
          <cell r="E380">
            <v>-176680.73</v>
          </cell>
          <cell r="F380">
            <v>0</v>
          </cell>
          <cell r="G380" t="str">
            <v>Liability</v>
          </cell>
          <cell r="I380">
            <v>-78987.75</v>
          </cell>
          <cell r="K380" t="str">
            <v>Active</v>
          </cell>
          <cell r="L380" t="str">
            <v>Balance Sheet</v>
          </cell>
          <cell r="M380">
            <v>53</v>
          </cell>
        </row>
        <row r="381">
          <cell r="A381">
            <v>237.36</v>
          </cell>
          <cell r="B381" t="str">
            <v>INTEREST ACCR-CFC-2005 A BOND</v>
          </cell>
          <cell r="C381">
            <v>-16380.13</v>
          </cell>
          <cell r="D381">
            <v>0</v>
          </cell>
          <cell r="E381">
            <v>-26755.67</v>
          </cell>
          <cell r="F381">
            <v>0</v>
          </cell>
          <cell r="G381" t="str">
            <v>Liability</v>
          </cell>
          <cell r="I381">
            <v>-10375.540000000001</v>
          </cell>
          <cell r="K381" t="str">
            <v>Active</v>
          </cell>
          <cell r="L381" t="str">
            <v>Balance Sheet</v>
          </cell>
          <cell r="M381">
            <v>53</v>
          </cell>
        </row>
        <row r="382">
          <cell r="A382">
            <v>237.37</v>
          </cell>
          <cell r="B382" t="str">
            <v>INTEREST ACCR-CFC-2006 A BOND</v>
          </cell>
          <cell r="C382">
            <v>-21867.63</v>
          </cell>
          <cell r="D382">
            <v>0</v>
          </cell>
          <cell r="E382">
            <v>-21867.63</v>
          </cell>
          <cell r="F382">
            <v>0</v>
          </cell>
          <cell r="G382" t="str">
            <v>Liability</v>
          </cell>
          <cell r="I382">
            <v>0</v>
          </cell>
          <cell r="K382" t="str">
            <v>Active</v>
          </cell>
          <cell r="L382" t="str">
            <v>Balance Sheet</v>
          </cell>
          <cell r="M382">
            <v>53</v>
          </cell>
        </row>
        <row r="383">
          <cell r="A383">
            <v>237.38</v>
          </cell>
          <cell r="B383" t="str">
            <v>INTEREST ACCR-COBANK 2008 B BOND</v>
          </cell>
          <cell r="C383">
            <v>-20696.41</v>
          </cell>
          <cell r="D383">
            <v>0</v>
          </cell>
          <cell r="E383">
            <v>-41511.370000000003</v>
          </cell>
          <cell r="F383">
            <v>0</v>
          </cell>
          <cell r="G383" t="str">
            <v>Liability</v>
          </cell>
          <cell r="I383">
            <v>-20814.96</v>
          </cell>
          <cell r="K383" t="str">
            <v>Active</v>
          </cell>
          <cell r="L383" t="str">
            <v>Balance Sheet</v>
          </cell>
          <cell r="M383">
            <v>53</v>
          </cell>
        </row>
        <row r="384">
          <cell r="A384">
            <v>237.39</v>
          </cell>
          <cell r="B384" t="str">
            <v>INTEREST ACCRUED-2009 A BOND</v>
          </cell>
          <cell r="C384">
            <v>40964.550000000003</v>
          </cell>
          <cell r="D384">
            <v>0</v>
          </cell>
          <cell r="E384">
            <v>0</v>
          </cell>
          <cell r="F384">
            <v>0</v>
          </cell>
          <cell r="G384" t="str">
            <v>Liability</v>
          </cell>
          <cell r="I384">
            <v>-40964.550000000003</v>
          </cell>
          <cell r="K384" t="str">
            <v>Active</v>
          </cell>
          <cell r="L384" t="str">
            <v>Balance Sheet</v>
          </cell>
          <cell r="M384">
            <v>53</v>
          </cell>
        </row>
        <row r="385">
          <cell r="A385">
            <v>237.4</v>
          </cell>
          <cell r="B385" t="str">
            <v>INTEREST ACCRUED DEPOSITS</v>
          </cell>
          <cell r="C385">
            <v>-371.53</v>
          </cell>
          <cell r="D385">
            <v>0</v>
          </cell>
          <cell r="E385">
            <v>-10862.55</v>
          </cell>
          <cell r="F385">
            <v>0</v>
          </cell>
          <cell r="G385" t="str">
            <v>Liability</v>
          </cell>
          <cell r="I385">
            <v>-10491.02</v>
          </cell>
          <cell r="K385" t="str">
            <v>Active</v>
          </cell>
          <cell r="L385" t="str">
            <v>Balance Sheet</v>
          </cell>
          <cell r="M385">
            <v>53</v>
          </cell>
        </row>
        <row r="386">
          <cell r="A386">
            <v>237.5</v>
          </cell>
          <cell r="B386" t="str">
            <v>INTEREST ACCRUED BOND</v>
          </cell>
          <cell r="C386">
            <v>-30991.06</v>
          </cell>
          <cell r="D386">
            <v>0</v>
          </cell>
          <cell r="E386">
            <v>-62395.03</v>
          </cell>
          <cell r="F386">
            <v>0</v>
          </cell>
          <cell r="G386" t="str">
            <v>Liability</v>
          </cell>
          <cell r="I386">
            <v>-31403.97</v>
          </cell>
          <cell r="K386" t="str">
            <v>Active</v>
          </cell>
          <cell r="L386" t="str">
            <v>Balance Sheet</v>
          </cell>
          <cell r="M386">
            <v>53</v>
          </cell>
        </row>
        <row r="387">
          <cell r="A387">
            <v>239.1</v>
          </cell>
          <cell r="B387" t="str">
            <v>OVERDUE LTD REA</v>
          </cell>
          <cell r="C387">
            <v>0</v>
          </cell>
          <cell r="D387">
            <v>0</v>
          </cell>
          <cell r="E387">
            <v>0</v>
          </cell>
          <cell r="F387">
            <v>0</v>
          </cell>
          <cell r="G387" t="str">
            <v>Liability</v>
          </cell>
          <cell r="I387">
            <v>0</v>
          </cell>
          <cell r="K387" t="str">
            <v>Active</v>
          </cell>
          <cell r="L387" t="str">
            <v>Balance Sheet</v>
          </cell>
          <cell r="M387">
            <v>53</v>
          </cell>
        </row>
        <row r="388">
          <cell r="A388">
            <v>239.2</v>
          </cell>
          <cell r="B388" t="str">
            <v>OVERDUE LTD CFC</v>
          </cell>
          <cell r="C388">
            <v>0</v>
          </cell>
          <cell r="D388">
            <v>0</v>
          </cell>
          <cell r="E388">
            <v>0</v>
          </cell>
          <cell r="F388">
            <v>0</v>
          </cell>
          <cell r="G388" t="str">
            <v>Liability</v>
          </cell>
          <cell r="I388">
            <v>0</v>
          </cell>
          <cell r="K388" t="str">
            <v>Active</v>
          </cell>
          <cell r="L388" t="str">
            <v>Balance Sheet</v>
          </cell>
          <cell r="M388">
            <v>53</v>
          </cell>
        </row>
        <row r="389">
          <cell r="A389">
            <v>240.1</v>
          </cell>
          <cell r="B389" t="str">
            <v>OVERDUE INT LTD REA</v>
          </cell>
          <cell r="C389">
            <v>0</v>
          </cell>
          <cell r="D389">
            <v>0</v>
          </cell>
          <cell r="E389">
            <v>0</v>
          </cell>
          <cell r="F389">
            <v>0</v>
          </cell>
          <cell r="G389" t="str">
            <v>Liability</v>
          </cell>
          <cell r="I389">
            <v>0</v>
          </cell>
          <cell r="K389" t="str">
            <v>Active</v>
          </cell>
          <cell r="L389" t="str">
            <v>Balance Sheet</v>
          </cell>
          <cell r="M389">
            <v>53</v>
          </cell>
        </row>
        <row r="390">
          <cell r="A390">
            <v>240.11</v>
          </cell>
          <cell r="B390" t="str">
            <v>OVERDUE INT REA ACCUM</v>
          </cell>
          <cell r="C390">
            <v>0</v>
          </cell>
          <cell r="D390">
            <v>0</v>
          </cell>
          <cell r="E390">
            <v>0</v>
          </cell>
          <cell r="F390">
            <v>0</v>
          </cell>
          <cell r="G390" t="str">
            <v>Liability</v>
          </cell>
          <cell r="I390">
            <v>0</v>
          </cell>
          <cell r="K390" t="str">
            <v>Active</v>
          </cell>
          <cell r="L390" t="str">
            <v>Balance Sheet</v>
          </cell>
          <cell r="M390">
            <v>53</v>
          </cell>
        </row>
        <row r="391">
          <cell r="A391">
            <v>240.2</v>
          </cell>
          <cell r="B391" t="str">
            <v>OVERDUE INT LTD CFC</v>
          </cell>
          <cell r="C391">
            <v>0</v>
          </cell>
          <cell r="D391">
            <v>0</v>
          </cell>
          <cell r="E391">
            <v>0</v>
          </cell>
          <cell r="F391">
            <v>0</v>
          </cell>
          <cell r="G391" t="str">
            <v>Liability</v>
          </cell>
          <cell r="I391">
            <v>0</v>
          </cell>
          <cell r="K391" t="str">
            <v>Active</v>
          </cell>
          <cell r="L391" t="str">
            <v>Balance Sheet</v>
          </cell>
          <cell r="M391">
            <v>53</v>
          </cell>
        </row>
        <row r="392">
          <cell r="A392">
            <v>241</v>
          </cell>
          <cell r="B392" t="str">
            <v>TAX COLLECTIONS PAYABLE</v>
          </cell>
          <cell r="C392">
            <v>-4628.41</v>
          </cell>
          <cell r="D392">
            <v>0</v>
          </cell>
          <cell r="E392">
            <v>-45771.28</v>
          </cell>
          <cell r="F392">
            <v>0</v>
          </cell>
          <cell r="G392" t="str">
            <v>Liability</v>
          </cell>
          <cell r="I392">
            <v>-41142.870000000003</v>
          </cell>
          <cell r="K392" t="str">
            <v>Active</v>
          </cell>
          <cell r="L392" t="str">
            <v>Balance Sheet</v>
          </cell>
          <cell r="M392">
            <v>53</v>
          </cell>
        </row>
        <row r="393">
          <cell r="A393">
            <v>241.1</v>
          </cell>
          <cell r="B393" t="str">
            <v>TAX COLLECTIONS PAYABLE STATE</v>
          </cell>
          <cell r="C393">
            <v>-1375.78</v>
          </cell>
          <cell r="D393">
            <v>0</v>
          </cell>
          <cell r="E393">
            <v>-12700.46</v>
          </cell>
          <cell r="F393">
            <v>0</v>
          </cell>
          <cell r="G393" t="str">
            <v>Liability</v>
          </cell>
          <cell r="I393">
            <v>-11324.68</v>
          </cell>
          <cell r="K393" t="str">
            <v>Active</v>
          </cell>
          <cell r="L393" t="str">
            <v>Balance Sheet</v>
          </cell>
          <cell r="M393">
            <v>53</v>
          </cell>
        </row>
        <row r="394">
          <cell r="A394">
            <v>242.28</v>
          </cell>
          <cell r="B394" t="str">
            <v>ACC LIAB EMPLOYEE BUYOUT/SEVER</v>
          </cell>
          <cell r="C394">
            <v>1152</v>
          </cell>
          <cell r="D394">
            <v>0</v>
          </cell>
          <cell r="E394">
            <v>-25007.5</v>
          </cell>
          <cell r="F394">
            <v>0</v>
          </cell>
          <cell r="G394" t="str">
            <v>Liability</v>
          </cell>
          <cell r="I394">
            <v>-26159.5</v>
          </cell>
          <cell r="K394" t="str">
            <v>Active</v>
          </cell>
          <cell r="L394" t="str">
            <v>Balance Sheet</v>
          </cell>
          <cell r="M394">
            <v>53</v>
          </cell>
        </row>
        <row r="395">
          <cell r="A395">
            <v>242.29</v>
          </cell>
          <cell r="B395" t="str">
            <v>ACC POST RETIREMENT HEALTH CARE</v>
          </cell>
          <cell r="C395">
            <v>0</v>
          </cell>
          <cell r="D395">
            <v>0</v>
          </cell>
          <cell r="E395">
            <v>0</v>
          </cell>
          <cell r="F395">
            <v>0</v>
          </cell>
          <cell r="G395" t="str">
            <v>Liability</v>
          </cell>
          <cell r="I395">
            <v>0</v>
          </cell>
          <cell r="K395" t="str">
            <v>Inactive</v>
          </cell>
          <cell r="L395" t="str">
            <v>Balance Sheet</v>
          </cell>
          <cell r="M395">
            <v>53</v>
          </cell>
        </row>
        <row r="396">
          <cell r="A396">
            <v>242.3</v>
          </cell>
          <cell r="B396" t="str">
            <v>ACC EMPLOYEES CTO</v>
          </cell>
          <cell r="C396">
            <v>-4625.07</v>
          </cell>
          <cell r="D396">
            <v>0</v>
          </cell>
          <cell r="E396">
            <v>-88376.36</v>
          </cell>
          <cell r="F396">
            <v>0</v>
          </cell>
          <cell r="G396" t="str">
            <v>Liability</v>
          </cell>
          <cell r="I396">
            <v>-83751.289999999994</v>
          </cell>
          <cell r="K396" t="str">
            <v>Active</v>
          </cell>
          <cell r="L396" t="str">
            <v>Balance Sheet</v>
          </cell>
          <cell r="M396">
            <v>53</v>
          </cell>
        </row>
        <row r="397">
          <cell r="A397">
            <v>242.31</v>
          </cell>
          <cell r="B397" t="str">
            <v>ACC EMPLOYEES SICK LEAVE</v>
          </cell>
          <cell r="C397">
            <v>165.48</v>
          </cell>
          <cell r="D397">
            <v>0</v>
          </cell>
          <cell r="E397">
            <v>-806115.19</v>
          </cell>
          <cell r="F397">
            <v>0</v>
          </cell>
          <cell r="G397" t="str">
            <v>Liability</v>
          </cell>
          <cell r="I397">
            <v>-806280.67</v>
          </cell>
          <cell r="K397" t="str">
            <v>Active</v>
          </cell>
          <cell r="L397" t="str">
            <v>Balance Sheet</v>
          </cell>
          <cell r="M397">
            <v>53</v>
          </cell>
        </row>
        <row r="398">
          <cell r="A398">
            <v>242.32</v>
          </cell>
          <cell r="B398" t="str">
            <v>ACC EMPLOYEES HOLIDAY</v>
          </cell>
          <cell r="C398">
            <v>6049.31</v>
          </cell>
          <cell r="D398">
            <v>0</v>
          </cell>
          <cell r="E398">
            <v>3791.63</v>
          </cell>
          <cell r="F398">
            <v>0</v>
          </cell>
          <cell r="G398" t="str">
            <v>Liability</v>
          </cell>
          <cell r="I398">
            <v>-2257.6799999999998</v>
          </cell>
          <cell r="K398" t="str">
            <v>Active</v>
          </cell>
          <cell r="L398" t="str">
            <v>Balance Sheet</v>
          </cell>
          <cell r="M398">
            <v>53</v>
          </cell>
        </row>
        <row r="399">
          <cell r="A399">
            <v>242.33</v>
          </cell>
          <cell r="B399" t="str">
            <v>ACC EMPLOYEES VACATION</v>
          </cell>
          <cell r="C399">
            <v>0</v>
          </cell>
          <cell r="D399">
            <v>0</v>
          </cell>
          <cell r="E399">
            <v>0</v>
          </cell>
          <cell r="F399">
            <v>0</v>
          </cell>
          <cell r="G399" t="str">
            <v>Liability</v>
          </cell>
          <cell r="I399">
            <v>0</v>
          </cell>
          <cell r="K399" t="str">
            <v>Inactive</v>
          </cell>
          <cell r="L399" t="str">
            <v>Balance Sheet</v>
          </cell>
          <cell r="M399">
            <v>53</v>
          </cell>
        </row>
        <row r="400">
          <cell r="A400">
            <v>242.34</v>
          </cell>
          <cell r="B400" t="str">
            <v>ACC EMPLOYEES CTO-SICK</v>
          </cell>
          <cell r="C400">
            <v>0</v>
          </cell>
          <cell r="D400">
            <v>0</v>
          </cell>
          <cell r="E400">
            <v>0</v>
          </cell>
          <cell r="F400">
            <v>0</v>
          </cell>
          <cell r="G400" t="str">
            <v>Liability</v>
          </cell>
          <cell r="I400">
            <v>0</v>
          </cell>
          <cell r="K400" t="str">
            <v>Inactive</v>
          </cell>
          <cell r="L400" t="str">
            <v>Balance Sheet</v>
          </cell>
          <cell r="M400">
            <v>53</v>
          </cell>
        </row>
        <row r="401">
          <cell r="A401">
            <v>242.35</v>
          </cell>
          <cell r="B401" t="str">
            <v>ACC EMPLOYEES PERSONAL TIME</v>
          </cell>
          <cell r="C401">
            <v>0</v>
          </cell>
          <cell r="D401">
            <v>0</v>
          </cell>
          <cell r="E401">
            <v>0</v>
          </cell>
          <cell r="F401">
            <v>0</v>
          </cell>
          <cell r="G401" t="str">
            <v>Liability</v>
          </cell>
          <cell r="I401">
            <v>0</v>
          </cell>
          <cell r="K401" t="str">
            <v>Inactive</v>
          </cell>
          <cell r="L401" t="str">
            <v>Balance Sheet</v>
          </cell>
          <cell r="M401">
            <v>53</v>
          </cell>
        </row>
        <row r="402">
          <cell r="A402">
            <v>242.36</v>
          </cell>
          <cell r="B402" t="str">
            <v>ACC EMPLOYEES FLOATING HOLIDAY</v>
          </cell>
          <cell r="C402">
            <v>0</v>
          </cell>
          <cell r="D402">
            <v>0</v>
          </cell>
          <cell r="E402">
            <v>0</v>
          </cell>
          <cell r="F402">
            <v>0</v>
          </cell>
          <cell r="G402" t="str">
            <v>Liability</v>
          </cell>
          <cell r="I402">
            <v>0</v>
          </cell>
          <cell r="K402" t="str">
            <v>Inactive</v>
          </cell>
          <cell r="L402" t="str">
            <v>Balance Sheet</v>
          </cell>
          <cell r="M402">
            <v>53</v>
          </cell>
        </row>
        <row r="403">
          <cell r="A403">
            <v>242.4</v>
          </cell>
          <cell r="B403" t="str">
            <v>ACCRUED INSURANCE-BENEFITS</v>
          </cell>
          <cell r="C403">
            <v>116713.98</v>
          </cell>
          <cell r="D403">
            <v>0</v>
          </cell>
          <cell r="E403">
            <v>116713.98</v>
          </cell>
          <cell r="F403">
            <v>0</v>
          </cell>
          <cell r="G403" t="str">
            <v>Liability</v>
          </cell>
          <cell r="I403">
            <v>0</v>
          </cell>
          <cell r="K403" t="str">
            <v>Active</v>
          </cell>
          <cell r="L403" t="str">
            <v>Balance Sheet</v>
          </cell>
          <cell r="M403">
            <v>53</v>
          </cell>
        </row>
        <row r="404">
          <cell r="A404">
            <v>242.41</v>
          </cell>
          <cell r="B404" t="str">
            <v>ACCRUED INSURANCE-RETIREE BENEFIT</v>
          </cell>
          <cell r="C404">
            <v>3500</v>
          </cell>
          <cell r="D404">
            <v>0</v>
          </cell>
          <cell r="E404">
            <v>0</v>
          </cell>
          <cell r="F404">
            <v>0</v>
          </cell>
          <cell r="G404" t="str">
            <v>Liability</v>
          </cell>
          <cell r="I404">
            <v>-3500</v>
          </cell>
          <cell r="K404" t="str">
            <v>Active</v>
          </cell>
          <cell r="L404" t="str">
            <v>Balance Sheet</v>
          </cell>
          <cell r="M404">
            <v>53</v>
          </cell>
        </row>
        <row r="405">
          <cell r="A405">
            <v>242.5</v>
          </cell>
          <cell r="B405" t="str">
            <v>ACCRUED POST RET HEALTH &amp; LIFE</v>
          </cell>
          <cell r="C405">
            <v>9638.93</v>
          </cell>
          <cell r="D405">
            <v>0</v>
          </cell>
          <cell r="E405">
            <v>-346403.21</v>
          </cell>
          <cell r="F405">
            <v>0</v>
          </cell>
          <cell r="G405" t="str">
            <v>Liability</v>
          </cell>
          <cell r="I405">
            <v>-356042.14</v>
          </cell>
          <cell r="K405" t="str">
            <v>Active</v>
          </cell>
          <cell r="L405" t="str">
            <v>Balance Sheet</v>
          </cell>
          <cell r="M405">
            <v>53</v>
          </cell>
        </row>
        <row r="406">
          <cell r="A406">
            <v>242.51</v>
          </cell>
          <cell r="B406" t="str">
            <v>OTHER LIAB - EMP 401K SAVINGS</v>
          </cell>
          <cell r="C406">
            <v>-5008.96</v>
          </cell>
          <cell r="D406">
            <v>0</v>
          </cell>
          <cell r="E406">
            <v>-27055.32</v>
          </cell>
          <cell r="F406">
            <v>0</v>
          </cell>
          <cell r="G406" t="str">
            <v>Liability</v>
          </cell>
          <cell r="I406">
            <v>-22046.36</v>
          </cell>
          <cell r="K406" t="str">
            <v>Active</v>
          </cell>
          <cell r="L406" t="str">
            <v>Balance Sheet</v>
          </cell>
          <cell r="M406">
            <v>53</v>
          </cell>
        </row>
        <row r="407">
          <cell r="A407">
            <v>242.52</v>
          </cell>
          <cell r="B407" t="str">
            <v>ACCRUED LIAB - MIP</v>
          </cell>
          <cell r="C407">
            <v>0</v>
          </cell>
          <cell r="D407">
            <v>0</v>
          </cell>
          <cell r="E407">
            <v>0</v>
          </cell>
          <cell r="F407">
            <v>0</v>
          </cell>
          <cell r="G407" t="str">
            <v>Liability</v>
          </cell>
          <cell r="I407">
            <v>0</v>
          </cell>
          <cell r="K407" t="str">
            <v>Active</v>
          </cell>
          <cell r="L407" t="str">
            <v>Balance Sheet</v>
          </cell>
          <cell r="M407">
            <v>53</v>
          </cell>
        </row>
        <row r="408">
          <cell r="A408">
            <v>242.53</v>
          </cell>
          <cell r="B408" t="str">
            <v>ACCRUED LIAB - TREE MITIGATION</v>
          </cell>
          <cell r="C408">
            <v>0</v>
          </cell>
          <cell r="D408">
            <v>0</v>
          </cell>
          <cell r="E408">
            <v>-113600</v>
          </cell>
          <cell r="F408">
            <v>0</v>
          </cell>
          <cell r="G408" t="str">
            <v>Liability</v>
          </cell>
          <cell r="I408">
            <v>-113600</v>
          </cell>
          <cell r="K408" t="str">
            <v>Active</v>
          </cell>
          <cell r="L408" t="str">
            <v>Balance Sheet</v>
          </cell>
          <cell r="M408">
            <v>53</v>
          </cell>
        </row>
        <row r="409">
          <cell r="A409">
            <v>242.54</v>
          </cell>
          <cell r="B409" t="str">
            <v>ACCRUED LIAB - RIGHT OF WAY</v>
          </cell>
          <cell r="C409">
            <v>0</v>
          </cell>
          <cell r="D409">
            <v>0</v>
          </cell>
          <cell r="E409">
            <v>0</v>
          </cell>
          <cell r="F409">
            <v>0</v>
          </cell>
          <cell r="G409" t="str">
            <v>Liability</v>
          </cell>
          <cell r="I409">
            <v>0</v>
          </cell>
          <cell r="K409" t="str">
            <v>Active</v>
          </cell>
          <cell r="L409" t="str">
            <v>Balance Sheet</v>
          </cell>
          <cell r="M409">
            <v>53</v>
          </cell>
        </row>
        <row r="410">
          <cell r="A410">
            <v>242.55</v>
          </cell>
          <cell r="B410" t="str">
            <v>ACCRUED LIAB - MISCELLANEOUS</v>
          </cell>
          <cell r="C410">
            <v>56690.96</v>
          </cell>
          <cell r="D410">
            <v>0</v>
          </cell>
          <cell r="E410">
            <v>-266895.46000000002</v>
          </cell>
          <cell r="F410">
            <v>0</v>
          </cell>
          <cell r="G410" t="str">
            <v>Liability</v>
          </cell>
          <cell r="I410">
            <v>-323586.42</v>
          </cell>
          <cell r="K410" t="str">
            <v>Active</v>
          </cell>
          <cell r="L410" t="str">
            <v>Balance Sheet</v>
          </cell>
          <cell r="M410">
            <v>53</v>
          </cell>
        </row>
        <row r="411">
          <cell r="A411">
            <v>242.56</v>
          </cell>
          <cell r="B411" t="str">
            <v>ACCRUED LIAB-ABANDON PROPERTY</v>
          </cell>
          <cell r="C411">
            <v>-548.99</v>
          </cell>
          <cell r="D411">
            <v>0</v>
          </cell>
          <cell r="E411">
            <v>-2376.87</v>
          </cell>
          <cell r="F411">
            <v>0</v>
          </cell>
          <cell r="G411" t="str">
            <v>Liability</v>
          </cell>
          <cell r="I411">
            <v>-1827.88</v>
          </cell>
          <cell r="K411" t="str">
            <v>Active</v>
          </cell>
          <cell r="L411" t="str">
            <v>Balance Sheet</v>
          </cell>
          <cell r="M411">
            <v>53</v>
          </cell>
        </row>
        <row r="412">
          <cell r="A412">
            <v>242.57</v>
          </cell>
          <cell r="B412" t="str">
            <v>ACCRUED LIAB-FAIRPOINT J/O POLES</v>
          </cell>
          <cell r="C412">
            <v>0</v>
          </cell>
          <cell r="D412">
            <v>0</v>
          </cell>
          <cell r="E412">
            <v>0</v>
          </cell>
          <cell r="F412">
            <v>0</v>
          </cell>
          <cell r="G412" t="str">
            <v>Liability</v>
          </cell>
          <cell r="I412">
            <v>0</v>
          </cell>
          <cell r="K412" t="str">
            <v>Active</v>
          </cell>
          <cell r="L412" t="str">
            <v>Balance Sheet</v>
          </cell>
          <cell r="M412">
            <v>53</v>
          </cell>
        </row>
        <row r="413">
          <cell r="A413">
            <v>242.6</v>
          </cell>
          <cell r="B413" t="str">
            <v>PAYROLL DEDUCTION CLEARING</v>
          </cell>
          <cell r="C413">
            <v>133.66999999999999</v>
          </cell>
          <cell r="D413">
            <v>0</v>
          </cell>
          <cell r="E413">
            <v>-366.33</v>
          </cell>
          <cell r="F413">
            <v>0</v>
          </cell>
          <cell r="G413" t="str">
            <v>Liability</v>
          </cell>
          <cell r="I413">
            <v>-500</v>
          </cell>
          <cell r="K413" t="str">
            <v>Active</v>
          </cell>
          <cell r="L413" t="str">
            <v>Balance Sheet</v>
          </cell>
          <cell r="M413">
            <v>53</v>
          </cell>
        </row>
        <row r="414">
          <cell r="A414">
            <v>242.7</v>
          </cell>
          <cell r="B414" t="str">
            <v>ACCRUED PAYROLL</v>
          </cell>
          <cell r="C414">
            <v>-75104.7</v>
          </cell>
          <cell r="D414">
            <v>0</v>
          </cell>
          <cell r="E414">
            <v>-228308.47</v>
          </cell>
          <cell r="F414">
            <v>0</v>
          </cell>
          <cell r="G414" t="str">
            <v>Liability</v>
          </cell>
          <cell r="I414">
            <v>-153203.76999999999</v>
          </cell>
          <cell r="K414" t="str">
            <v>Active</v>
          </cell>
          <cell r="L414" t="str">
            <v>Balance Sheet</v>
          </cell>
          <cell r="M414">
            <v>53</v>
          </cell>
        </row>
        <row r="415">
          <cell r="A415">
            <v>242.99</v>
          </cell>
          <cell r="B415" t="str">
            <v>PAYROLL CLEARING ACCOUNT</v>
          </cell>
          <cell r="C415">
            <v>0</v>
          </cell>
          <cell r="D415">
            <v>0</v>
          </cell>
          <cell r="E415">
            <v>0</v>
          </cell>
          <cell r="F415">
            <v>0</v>
          </cell>
          <cell r="G415" t="str">
            <v>Liability</v>
          </cell>
          <cell r="I415">
            <v>0</v>
          </cell>
          <cell r="K415" t="str">
            <v>Active</v>
          </cell>
          <cell r="L415" t="str">
            <v>Balance Sheet</v>
          </cell>
          <cell r="M415">
            <v>53</v>
          </cell>
        </row>
        <row r="416">
          <cell r="A416">
            <v>243</v>
          </cell>
          <cell r="B416" t="str">
            <v>CAPITAL LEASES - CURRENT</v>
          </cell>
          <cell r="C416">
            <v>0</v>
          </cell>
          <cell r="D416">
            <v>0</v>
          </cell>
          <cell r="E416">
            <v>0</v>
          </cell>
          <cell r="F416">
            <v>0</v>
          </cell>
          <cell r="G416" t="str">
            <v>Liability</v>
          </cell>
          <cell r="I416">
            <v>0</v>
          </cell>
          <cell r="K416" t="str">
            <v>Active</v>
          </cell>
          <cell r="L416" t="str">
            <v>Balance Sheet</v>
          </cell>
          <cell r="M416">
            <v>47</v>
          </cell>
        </row>
        <row r="417">
          <cell r="A417">
            <v>243.07</v>
          </cell>
          <cell r="B417" t="str">
            <v>CAPITAL LEASE-CURRENT-DERBY</v>
          </cell>
          <cell r="C417">
            <v>0</v>
          </cell>
          <cell r="D417">
            <v>0</v>
          </cell>
          <cell r="E417">
            <v>-13901.26</v>
          </cell>
          <cell r="F417">
            <v>0</v>
          </cell>
          <cell r="G417" t="str">
            <v>Liability</v>
          </cell>
          <cell r="I417">
            <v>-13901.26</v>
          </cell>
          <cell r="K417" t="str">
            <v>Active</v>
          </cell>
          <cell r="L417" t="str">
            <v>Balance Sheet</v>
          </cell>
          <cell r="M417">
            <v>47</v>
          </cell>
        </row>
        <row r="418">
          <cell r="A418">
            <v>253</v>
          </cell>
          <cell r="B418" t="str">
            <v>DEF CR - SPEC EQUIP INSTALL</v>
          </cell>
          <cell r="C418">
            <v>6820</v>
          </cell>
          <cell r="D418">
            <v>0</v>
          </cell>
          <cell r="E418">
            <v>-142070.32999999999</v>
          </cell>
          <cell r="F418">
            <v>0</v>
          </cell>
          <cell r="G418" t="str">
            <v>Liability</v>
          </cell>
          <cell r="I418">
            <v>-148890.32999999999</v>
          </cell>
          <cell r="K418" t="str">
            <v>Active</v>
          </cell>
          <cell r="L418" t="str">
            <v>Balance Sheet</v>
          </cell>
          <cell r="M418">
            <v>56</v>
          </cell>
        </row>
        <row r="419">
          <cell r="A419">
            <v>253.04</v>
          </cell>
          <cell r="B419" t="str">
            <v>DEF CR - UNEARNED REVENUE</v>
          </cell>
          <cell r="C419">
            <v>-97808.28</v>
          </cell>
          <cell r="D419">
            <v>0</v>
          </cell>
          <cell r="E419">
            <v>-102281.88</v>
          </cell>
          <cell r="F419">
            <v>0</v>
          </cell>
          <cell r="G419" t="str">
            <v>Liability</v>
          </cell>
          <cell r="I419">
            <v>-4473.6000000000004</v>
          </cell>
          <cell r="K419" t="str">
            <v>Active</v>
          </cell>
          <cell r="L419" t="str">
            <v>Balance Sheet</v>
          </cell>
          <cell r="M419">
            <v>56</v>
          </cell>
        </row>
        <row r="420">
          <cell r="A420">
            <v>253.05</v>
          </cell>
          <cell r="B420" t="str">
            <v>DEF CR-HYDRO QUEBEC DISALLOWANCE</v>
          </cell>
          <cell r="C420">
            <v>0</v>
          </cell>
          <cell r="D420">
            <v>0</v>
          </cell>
          <cell r="E420">
            <v>0</v>
          </cell>
          <cell r="F420">
            <v>0</v>
          </cell>
          <cell r="G420" t="str">
            <v>Liability</v>
          </cell>
          <cell r="I420">
            <v>0</v>
          </cell>
          <cell r="K420" t="str">
            <v>Inactive</v>
          </cell>
          <cell r="L420" t="str">
            <v>Balance Sheet</v>
          </cell>
          <cell r="M420">
            <v>56</v>
          </cell>
        </row>
        <row r="421">
          <cell r="A421">
            <v>253.06</v>
          </cell>
          <cell r="B421" t="str">
            <v>DEF CR-CIT. ACQUIS. OPER. SUBSID</v>
          </cell>
          <cell r="C421">
            <v>0</v>
          </cell>
          <cell r="D421">
            <v>0</v>
          </cell>
          <cell r="E421">
            <v>0</v>
          </cell>
          <cell r="F421">
            <v>0</v>
          </cell>
          <cell r="G421" t="str">
            <v>Liability</v>
          </cell>
          <cell r="I421">
            <v>0</v>
          </cell>
          <cell r="K421" t="str">
            <v>Active</v>
          </cell>
          <cell r="L421" t="str">
            <v>Balance Sheet</v>
          </cell>
          <cell r="M421">
            <v>56</v>
          </cell>
        </row>
        <row r="422">
          <cell r="A422">
            <v>253.07</v>
          </cell>
          <cell r="B422" t="str">
            <v>DEF CR-GAIN ON DERBY PROP SALE</v>
          </cell>
          <cell r="C422">
            <v>530</v>
          </cell>
          <cell r="D422">
            <v>0</v>
          </cell>
          <cell r="E422">
            <v>-88446</v>
          </cell>
          <cell r="F422">
            <v>0</v>
          </cell>
          <cell r="G422" t="str">
            <v>Liability</v>
          </cell>
          <cell r="I422">
            <v>-88976</v>
          </cell>
          <cell r="K422" t="str">
            <v>Active</v>
          </cell>
          <cell r="L422" t="str">
            <v>Balance Sheet</v>
          </cell>
          <cell r="M422">
            <v>56</v>
          </cell>
        </row>
        <row r="423">
          <cell r="A423">
            <v>253.11</v>
          </cell>
          <cell r="B423" t="str">
            <v>DEF CR - LINE-X PASS THRU</v>
          </cell>
          <cell r="C423">
            <v>0</v>
          </cell>
          <cell r="D423">
            <v>0</v>
          </cell>
          <cell r="E423">
            <v>0</v>
          </cell>
          <cell r="F423">
            <v>0</v>
          </cell>
          <cell r="G423" t="str">
            <v>Liability</v>
          </cell>
          <cell r="I423">
            <v>0</v>
          </cell>
          <cell r="K423" t="str">
            <v>Active</v>
          </cell>
          <cell r="L423" t="str">
            <v>Balance Sheet</v>
          </cell>
          <cell r="M423">
            <v>56</v>
          </cell>
        </row>
        <row r="424">
          <cell r="A424">
            <v>253.2</v>
          </cell>
          <cell r="B424" t="str">
            <v>DEF CR - ENERGY CERTIFICATES</v>
          </cell>
          <cell r="C424">
            <v>0</v>
          </cell>
          <cell r="D424">
            <v>0</v>
          </cell>
          <cell r="E424">
            <v>0</v>
          </cell>
          <cell r="F424">
            <v>0</v>
          </cell>
          <cell r="G424" t="str">
            <v>Liability</v>
          </cell>
          <cell r="I424">
            <v>0</v>
          </cell>
          <cell r="K424" t="str">
            <v>Active</v>
          </cell>
          <cell r="L424" t="str">
            <v>Balance Sheet</v>
          </cell>
          <cell r="M424">
            <v>56</v>
          </cell>
        </row>
        <row r="425">
          <cell r="A425">
            <v>253.3</v>
          </cell>
          <cell r="B425" t="str">
            <v>DEF CR - SHARE PROGRAM RECEIPT</v>
          </cell>
          <cell r="C425">
            <v>0</v>
          </cell>
          <cell r="D425">
            <v>0</v>
          </cell>
          <cell r="E425">
            <v>0</v>
          </cell>
          <cell r="F425">
            <v>0</v>
          </cell>
          <cell r="G425" t="str">
            <v>Liability</v>
          </cell>
          <cell r="I425">
            <v>0</v>
          </cell>
          <cell r="K425" t="str">
            <v>Active</v>
          </cell>
          <cell r="L425" t="str">
            <v>Balance Sheet</v>
          </cell>
          <cell r="M425">
            <v>56</v>
          </cell>
        </row>
        <row r="426">
          <cell r="A426">
            <v>253.31</v>
          </cell>
          <cell r="B426" t="str">
            <v>DEF CR - FUEL ASST NOT APPLIED</v>
          </cell>
          <cell r="C426">
            <v>0</v>
          </cell>
          <cell r="D426">
            <v>0</v>
          </cell>
          <cell r="E426">
            <v>0</v>
          </cell>
          <cell r="F426">
            <v>0</v>
          </cell>
          <cell r="G426" t="str">
            <v>Liability</v>
          </cell>
          <cell r="I426">
            <v>0</v>
          </cell>
          <cell r="K426" t="str">
            <v>Active</v>
          </cell>
          <cell r="L426" t="str">
            <v>Balance Sheet</v>
          </cell>
          <cell r="M426">
            <v>56</v>
          </cell>
        </row>
        <row r="427">
          <cell r="A427">
            <v>253.4</v>
          </cell>
          <cell r="B427" t="str">
            <v>DEF CR - DEMAND SIDE MANAGEMEN</v>
          </cell>
          <cell r="C427">
            <v>0</v>
          </cell>
          <cell r="D427">
            <v>0</v>
          </cell>
          <cell r="E427">
            <v>0</v>
          </cell>
          <cell r="F427">
            <v>0</v>
          </cell>
          <cell r="G427" t="str">
            <v>Liability</v>
          </cell>
          <cell r="I427">
            <v>0</v>
          </cell>
          <cell r="K427" t="str">
            <v>Active</v>
          </cell>
          <cell r="L427" t="str">
            <v>Balance Sheet</v>
          </cell>
          <cell r="M427">
            <v>56</v>
          </cell>
        </row>
        <row r="428">
          <cell r="A428">
            <v>253.5</v>
          </cell>
          <cell r="B428" t="str">
            <v>ABANDONED PROPERTY PREV (208.1</v>
          </cell>
          <cell r="C428">
            <v>0</v>
          </cell>
          <cell r="D428">
            <v>0</v>
          </cell>
          <cell r="E428">
            <v>0</v>
          </cell>
          <cell r="F428">
            <v>0</v>
          </cell>
          <cell r="G428" t="str">
            <v>Liability</v>
          </cell>
          <cell r="I428">
            <v>0</v>
          </cell>
          <cell r="K428" t="str">
            <v>Active</v>
          </cell>
          <cell r="L428" t="str">
            <v>Balance Sheet</v>
          </cell>
          <cell r="M428">
            <v>56</v>
          </cell>
        </row>
        <row r="429">
          <cell r="A429">
            <v>253.6</v>
          </cell>
          <cell r="B429" t="str">
            <v>ACCR LIAB - PRIOR SERVICE</v>
          </cell>
          <cell r="C429">
            <v>-2244.65</v>
          </cell>
          <cell r="D429">
            <v>0</v>
          </cell>
          <cell r="E429">
            <v>-2244.65</v>
          </cell>
          <cell r="F429">
            <v>0</v>
          </cell>
          <cell r="G429" t="str">
            <v>Liability</v>
          </cell>
          <cell r="I429">
            <v>0</v>
          </cell>
          <cell r="K429" t="str">
            <v>Active</v>
          </cell>
          <cell r="L429" t="str">
            <v>Balance Sheet</v>
          </cell>
          <cell r="M429">
            <v>56</v>
          </cell>
        </row>
        <row r="430">
          <cell r="A430">
            <v>301</v>
          </cell>
          <cell r="B430" t="str">
            <v>ORGANIZATION</v>
          </cell>
          <cell r="C430">
            <v>0</v>
          </cell>
          <cell r="D430">
            <v>0</v>
          </cell>
          <cell r="E430">
            <v>0</v>
          </cell>
          <cell r="F430">
            <v>0</v>
          </cell>
          <cell r="G430" t="str">
            <v>Asset</v>
          </cell>
          <cell r="I430">
            <v>0</v>
          </cell>
          <cell r="K430" t="str">
            <v>Active</v>
          </cell>
          <cell r="L430" t="str">
            <v>Balance Sheet</v>
          </cell>
          <cell r="M430">
            <v>1</v>
          </cell>
        </row>
        <row r="431">
          <cell r="A431">
            <v>302</v>
          </cell>
          <cell r="B431" t="str">
            <v>FRANCHISES AND CONSENTS</v>
          </cell>
          <cell r="C431">
            <v>0</v>
          </cell>
          <cell r="D431">
            <v>0</v>
          </cell>
          <cell r="E431">
            <v>0</v>
          </cell>
          <cell r="F431">
            <v>0</v>
          </cell>
          <cell r="G431" t="str">
            <v>Asset</v>
          </cell>
          <cell r="I431">
            <v>0</v>
          </cell>
          <cell r="K431" t="str">
            <v>Active</v>
          </cell>
          <cell r="L431" t="str">
            <v>Balance Sheet</v>
          </cell>
          <cell r="M431">
            <v>1</v>
          </cell>
        </row>
        <row r="432">
          <cell r="A432">
            <v>303</v>
          </cell>
          <cell r="B432" t="str">
            <v>MISC INTANGIBLE PLANT</v>
          </cell>
          <cell r="C432">
            <v>0</v>
          </cell>
          <cell r="D432">
            <v>0</v>
          </cell>
          <cell r="E432">
            <v>0</v>
          </cell>
          <cell r="F432">
            <v>0</v>
          </cell>
          <cell r="G432" t="str">
            <v>Asset</v>
          </cell>
          <cell r="I432">
            <v>0</v>
          </cell>
          <cell r="K432" t="str">
            <v>Active</v>
          </cell>
          <cell r="L432" t="str">
            <v>Balance Sheet</v>
          </cell>
          <cell r="M432">
            <v>1</v>
          </cell>
        </row>
        <row r="433">
          <cell r="A433">
            <v>341.1</v>
          </cell>
          <cell r="B433" t="str">
            <v>STRUCTURES &amp; IMPROVE-ETHAN ALLEN</v>
          </cell>
          <cell r="C433">
            <v>0</v>
          </cell>
          <cell r="D433">
            <v>0</v>
          </cell>
          <cell r="E433">
            <v>0</v>
          </cell>
          <cell r="F433">
            <v>0</v>
          </cell>
          <cell r="G433" t="str">
            <v>Asset</v>
          </cell>
          <cell r="I433">
            <v>0</v>
          </cell>
          <cell r="K433" t="str">
            <v>Active</v>
          </cell>
          <cell r="L433" t="str">
            <v>Balance Sheet</v>
          </cell>
          <cell r="M433">
            <v>1</v>
          </cell>
        </row>
        <row r="434">
          <cell r="A434">
            <v>342.1</v>
          </cell>
          <cell r="B434" t="str">
            <v>FUEL HOLDER &amp; ACCESS-ETHAN ALLEN</v>
          </cell>
          <cell r="C434">
            <v>0</v>
          </cell>
          <cell r="D434">
            <v>0</v>
          </cell>
          <cell r="E434">
            <v>0</v>
          </cell>
          <cell r="F434">
            <v>0</v>
          </cell>
          <cell r="G434" t="str">
            <v>Asset</v>
          </cell>
          <cell r="I434">
            <v>0</v>
          </cell>
          <cell r="K434" t="str">
            <v>Active</v>
          </cell>
          <cell r="L434" t="str">
            <v>Balance Sheet</v>
          </cell>
          <cell r="M434">
            <v>1</v>
          </cell>
        </row>
        <row r="435">
          <cell r="A435">
            <v>343.1</v>
          </cell>
          <cell r="B435" t="str">
            <v>PRIME MOVERS-ETHAN ALLEN</v>
          </cell>
          <cell r="C435">
            <v>0</v>
          </cell>
          <cell r="D435">
            <v>0</v>
          </cell>
          <cell r="E435">
            <v>0</v>
          </cell>
          <cell r="F435">
            <v>0</v>
          </cell>
          <cell r="G435" t="str">
            <v>Asset</v>
          </cell>
          <cell r="I435">
            <v>0</v>
          </cell>
          <cell r="K435" t="str">
            <v>Active</v>
          </cell>
          <cell r="L435" t="str">
            <v>Balance Sheet</v>
          </cell>
          <cell r="M435">
            <v>1</v>
          </cell>
        </row>
        <row r="436">
          <cell r="A436">
            <v>344.1</v>
          </cell>
          <cell r="B436" t="str">
            <v>GENERATORS-ETHAN ALLEN</v>
          </cell>
          <cell r="C436">
            <v>0</v>
          </cell>
          <cell r="D436">
            <v>0</v>
          </cell>
          <cell r="E436">
            <v>0</v>
          </cell>
          <cell r="F436">
            <v>0</v>
          </cell>
          <cell r="G436" t="str">
            <v>Asset</v>
          </cell>
          <cell r="I436">
            <v>0</v>
          </cell>
          <cell r="K436" t="str">
            <v>Active</v>
          </cell>
          <cell r="L436" t="str">
            <v>Balance Sheet</v>
          </cell>
          <cell r="M436">
            <v>1</v>
          </cell>
        </row>
        <row r="437">
          <cell r="A437">
            <v>345.1</v>
          </cell>
          <cell r="B437" t="str">
            <v>ACCESSORY ELEC EQUIP-ETHAN ALLEN</v>
          </cell>
          <cell r="C437">
            <v>0</v>
          </cell>
          <cell r="D437">
            <v>0</v>
          </cell>
          <cell r="E437">
            <v>0</v>
          </cell>
          <cell r="F437">
            <v>0</v>
          </cell>
          <cell r="G437" t="str">
            <v>Asset</v>
          </cell>
          <cell r="I437">
            <v>0</v>
          </cell>
          <cell r="K437" t="str">
            <v>Active</v>
          </cell>
          <cell r="L437" t="str">
            <v>Balance Sheet</v>
          </cell>
          <cell r="M437">
            <v>1</v>
          </cell>
        </row>
        <row r="438">
          <cell r="A438">
            <v>350</v>
          </cell>
          <cell r="B438" t="str">
            <v>LAND AND LAND RIGHTS - TRANS</v>
          </cell>
          <cell r="C438">
            <v>0</v>
          </cell>
          <cell r="D438">
            <v>0</v>
          </cell>
          <cell r="E438">
            <v>26000</v>
          </cell>
          <cell r="F438">
            <v>0</v>
          </cell>
          <cell r="G438" t="str">
            <v>Asset</v>
          </cell>
          <cell r="I438">
            <v>26000</v>
          </cell>
          <cell r="K438" t="str">
            <v>Active</v>
          </cell>
          <cell r="L438" t="str">
            <v>Balance Sheet</v>
          </cell>
          <cell r="M438">
            <v>1</v>
          </cell>
        </row>
        <row r="439">
          <cell r="A439">
            <v>350.01</v>
          </cell>
          <cell r="B439" t="str">
            <v>LAND/LAND RIGHTS-TRAN-EASE &amp; ROW</v>
          </cell>
          <cell r="C439">
            <v>0</v>
          </cell>
          <cell r="D439">
            <v>0</v>
          </cell>
          <cell r="E439">
            <v>29716.59</v>
          </cell>
          <cell r="F439">
            <v>0</v>
          </cell>
          <cell r="G439" t="str">
            <v>Asset</v>
          </cell>
          <cell r="I439">
            <v>29716.59</v>
          </cell>
          <cell r="K439" t="str">
            <v>Active</v>
          </cell>
          <cell r="L439" t="str">
            <v>Balance Sheet</v>
          </cell>
          <cell r="M439">
            <v>1</v>
          </cell>
        </row>
        <row r="440">
          <cell r="A440">
            <v>350.1</v>
          </cell>
          <cell r="B440" t="str">
            <v>LAND/LAND RIGHTS-TRN-CZN-TARIF</v>
          </cell>
          <cell r="C440">
            <v>0</v>
          </cell>
          <cell r="D440">
            <v>0</v>
          </cell>
          <cell r="E440">
            <v>206985.02</v>
          </cell>
          <cell r="F440">
            <v>0</v>
          </cell>
          <cell r="G440" t="str">
            <v>Asset</v>
          </cell>
          <cell r="I440">
            <v>206985.02</v>
          </cell>
          <cell r="K440" t="str">
            <v>Active</v>
          </cell>
          <cell r="L440" t="str">
            <v>Balance Sheet</v>
          </cell>
          <cell r="M440">
            <v>1</v>
          </cell>
        </row>
        <row r="441">
          <cell r="A441">
            <v>350.3</v>
          </cell>
          <cell r="B441" t="str">
            <v>LAND/LAND RIGHTS-TRANS-HIGHGATE</v>
          </cell>
          <cell r="C441">
            <v>0</v>
          </cell>
          <cell r="D441">
            <v>0</v>
          </cell>
          <cell r="E441">
            <v>1610</v>
          </cell>
          <cell r="F441">
            <v>0</v>
          </cell>
          <cell r="G441" t="str">
            <v>Asset</v>
          </cell>
          <cell r="I441">
            <v>1610</v>
          </cell>
          <cell r="K441" t="str">
            <v>Active</v>
          </cell>
          <cell r="L441" t="str">
            <v>Balance Sheet</v>
          </cell>
          <cell r="M441">
            <v>1</v>
          </cell>
        </row>
        <row r="442">
          <cell r="A442">
            <v>352.1</v>
          </cell>
          <cell r="B442" t="str">
            <v>STRUCTURES TRANSM-CZN TARIFF</v>
          </cell>
          <cell r="C442">
            <v>0</v>
          </cell>
          <cell r="D442">
            <v>0</v>
          </cell>
          <cell r="E442">
            <v>615984.15</v>
          </cell>
          <cell r="F442">
            <v>0</v>
          </cell>
          <cell r="G442" t="str">
            <v>Asset</v>
          </cell>
          <cell r="I442">
            <v>615984.15</v>
          </cell>
          <cell r="K442" t="str">
            <v>Active</v>
          </cell>
          <cell r="L442" t="str">
            <v>Balance Sheet</v>
          </cell>
          <cell r="M442">
            <v>1</v>
          </cell>
        </row>
        <row r="443">
          <cell r="A443">
            <v>352.3</v>
          </cell>
          <cell r="B443" t="str">
            <v>STRUCTURE &amp; IMPROVE-TRN-HIGHGATE</v>
          </cell>
          <cell r="C443">
            <v>0</v>
          </cell>
          <cell r="D443">
            <v>0</v>
          </cell>
          <cell r="E443">
            <v>4637</v>
          </cell>
          <cell r="F443">
            <v>0</v>
          </cell>
          <cell r="G443" t="str">
            <v>Asset</v>
          </cell>
          <cell r="I443">
            <v>4637</v>
          </cell>
          <cell r="K443" t="str">
            <v>Active</v>
          </cell>
          <cell r="L443" t="str">
            <v>Balance Sheet</v>
          </cell>
          <cell r="M443">
            <v>1</v>
          </cell>
        </row>
        <row r="444">
          <cell r="A444">
            <v>353</v>
          </cell>
          <cell r="B444" t="str">
            <v>STATION EQUIPMENT - TRANS</v>
          </cell>
          <cell r="C444">
            <v>0</v>
          </cell>
          <cell r="D444">
            <v>0</v>
          </cell>
          <cell r="E444">
            <v>277207.25</v>
          </cell>
          <cell r="F444">
            <v>0</v>
          </cell>
          <cell r="G444" t="str">
            <v>Asset</v>
          </cell>
          <cell r="I444">
            <v>277207.25</v>
          </cell>
          <cell r="K444" t="str">
            <v>Active</v>
          </cell>
          <cell r="L444" t="str">
            <v>Balance Sheet</v>
          </cell>
          <cell r="M444">
            <v>1</v>
          </cell>
        </row>
        <row r="445">
          <cell r="A445">
            <v>353.1</v>
          </cell>
          <cell r="B445" t="str">
            <v>STATION EQUIP-TRANS-CZN TARIFF</v>
          </cell>
          <cell r="C445">
            <v>13853.36</v>
          </cell>
          <cell r="D445">
            <v>0</v>
          </cell>
          <cell r="E445">
            <v>4183132.63</v>
          </cell>
          <cell r="F445">
            <v>0</v>
          </cell>
          <cell r="G445" t="str">
            <v>Asset</v>
          </cell>
          <cell r="I445">
            <v>4169279.27</v>
          </cell>
          <cell r="K445" t="str">
            <v>Active</v>
          </cell>
          <cell r="L445" t="str">
            <v>Balance Sheet</v>
          </cell>
          <cell r="M445">
            <v>1</v>
          </cell>
        </row>
        <row r="446">
          <cell r="A446">
            <v>353.3</v>
          </cell>
          <cell r="B446" t="str">
            <v>STATION EQUIP-TRANS-HIGHGATE</v>
          </cell>
          <cell r="C446">
            <v>0</v>
          </cell>
          <cell r="D446">
            <v>0</v>
          </cell>
          <cell r="E446">
            <v>39118.93</v>
          </cell>
          <cell r="F446">
            <v>0</v>
          </cell>
          <cell r="G446" t="str">
            <v>Asset</v>
          </cell>
          <cell r="I446">
            <v>39118.93</v>
          </cell>
          <cell r="K446" t="str">
            <v>Active</v>
          </cell>
          <cell r="L446" t="str">
            <v>Balance Sheet</v>
          </cell>
          <cell r="M446">
            <v>1</v>
          </cell>
        </row>
        <row r="447">
          <cell r="A447">
            <v>355</v>
          </cell>
          <cell r="B447" t="str">
            <v>POLE AND FIXTURES - TRANS</v>
          </cell>
          <cell r="C447">
            <v>0</v>
          </cell>
          <cell r="D447">
            <v>0</v>
          </cell>
          <cell r="E447">
            <v>1076488.99</v>
          </cell>
          <cell r="F447">
            <v>0</v>
          </cell>
          <cell r="G447" t="str">
            <v>Asset</v>
          </cell>
          <cell r="I447">
            <v>1076488.99</v>
          </cell>
          <cell r="K447" t="str">
            <v>Active</v>
          </cell>
          <cell r="L447" t="str">
            <v>Balance Sheet</v>
          </cell>
          <cell r="M447">
            <v>1</v>
          </cell>
        </row>
        <row r="448">
          <cell r="A448">
            <v>355.1</v>
          </cell>
          <cell r="B448" t="str">
            <v>POLES &amp; FIXTURES-TRAN-CZN TARIFF</v>
          </cell>
          <cell r="C448">
            <v>9005.7900000000009</v>
          </cell>
          <cell r="D448">
            <v>0</v>
          </cell>
          <cell r="E448">
            <v>729293.88</v>
          </cell>
          <cell r="F448">
            <v>0</v>
          </cell>
          <cell r="G448" t="str">
            <v>Asset</v>
          </cell>
          <cell r="I448">
            <v>720288.09</v>
          </cell>
          <cell r="K448" t="str">
            <v>Active</v>
          </cell>
          <cell r="L448" t="str">
            <v>Balance Sheet</v>
          </cell>
          <cell r="M448">
            <v>1</v>
          </cell>
        </row>
        <row r="449">
          <cell r="A449">
            <v>355.3</v>
          </cell>
          <cell r="B449" t="str">
            <v>POLES &amp; FIXTURES-TRAN-HIGHGATE</v>
          </cell>
          <cell r="C449">
            <v>0</v>
          </cell>
          <cell r="D449">
            <v>0</v>
          </cell>
          <cell r="E449">
            <v>1491</v>
          </cell>
          <cell r="F449">
            <v>0</v>
          </cell>
          <cell r="G449" t="str">
            <v>Asset</v>
          </cell>
          <cell r="I449">
            <v>1491</v>
          </cell>
          <cell r="K449" t="str">
            <v>Active</v>
          </cell>
          <cell r="L449" t="str">
            <v>Balance Sheet</v>
          </cell>
          <cell r="M449">
            <v>1</v>
          </cell>
        </row>
        <row r="450">
          <cell r="A450">
            <v>356</v>
          </cell>
          <cell r="B450" t="str">
            <v>OVERHEAD CONDUCTORS &amp; DEV -TRA</v>
          </cell>
          <cell r="C450">
            <v>0</v>
          </cell>
          <cell r="D450">
            <v>0</v>
          </cell>
          <cell r="E450">
            <v>1014176.64</v>
          </cell>
          <cell r="F450">
            <v>0</v>
          </cell>
          <cell r="G450" t="str">
            <v>Asset</v>
          </cell>
          <cell r="I450">
            <v>1014176.64</v>
          </cell>
          <cell r="K450" t="str">
            <v>Active</v>
          </cell>
          <cell r="L450" t="str">
            <v>Balance Sheet</v>
          </cell>
          <cell r="M450">
            <v>1</v>
          </cell>
        </row>
        <row r="451">
          <cell r="A451">
            <v>356.1</v>
          </cell>
          <cell r="B451" t="str">
            <v>OVHD COND &amp; DEV-TRAN-CZN TARIFF</v>
          </cell>
          <cell r="C451">
            <v>7608.55</v>
          </cell>
          <cell r="D451">
            <v>0</v>
          </cell>
          <cell r="E451">
            <v>1637924.56</v>
          </cell>
          <cell r="F451">
            <v>0</v>
          </cell>
          <cell r="G451" t="str">
            <v>Asset</v>
          </cell>
          <cell r="I451">
            <v>1630316.01</v>
          </cell>
          <cell r="K451" t="str">
            <v>Active</v>
          </cell>
          <cell r="L451" t="str">
            <v>Balance Sheet</v>
          </cell>
          <cell r="M451">
            <v>1</v>
          </cell>
        </row>
        <row r="452">
          <cell r="A452">
            <v>356.3</v>
          </cell>
          <cell r="B452" t="str">
            <v>OVHD COND &amp; DEV-TRAN-HIGHGATE</v>
          </cell>
          <cell r="C452">
            <v>0</v>
          </cell>
          <cell r="D452">
            <v>0</v>
          </cell>
          <cell r="E452">
            <v>828</v>
          </cell>
          <cell r="F452">
            <v>0</v>
          </cell>
          <cell r="G452" t="str">
            <v>Asset</v>
          </cell>
          <cell r="I452">
            <v>828</v>
          </cell>
          <cell r="K452" t="str">
            <v>Active</v>
          </cell>
          <cell r="L452" t="str">
            <v>Balance Sheet</v>
          </cell>
          <cell r="M452">
            <v>1</v>
          </cell>
        </row>
        <row r="453">
          <cell r="A453">
            <v>356.4</v>
          </cell>
          <cell r="B453" t="str">
            <v>OVHD COND &amp; DEV-TRAN-METALLIC</v>
          </cell>
          <cell r="C453">
            <v>0</v>
          </cell>
          <cell r="D453">
            <v>0</v>
          </cell>
          <cell r="E453">
            <v>499808.74</v>
          </cell>
          <cell r="F453">
            <v>0</v>
          </cell>
          <cell r="G453" t="str">
            <v>Asset</v>
          </cell>
          <cell r="I453">
            <v>499808.74</v>
          </cell>
          <cell r="K453" t="str">
            <v>Active</v>
          </cell>
          <cell r="L453" t="str">
            <v>Balance Sheet</v>
          </cell>
          <cell r="M453">
            <v>1</v>
          </cell>
        </row>
        <row r="454">
          <cell r="A454">
            <v>357</v>
          </cell>
          <cell r="B454" t="str">
            <v>UNDERGROUND CONDUIT-TRANS</v>
          </cell>
          <cell r="C454">
            <v>0</v>
          </cell>
          <cell r="D454">
            <v>0</v>
          </cell>
          <cell r="E454">
            <v>5613.56</v>
          </cell>
          <cell r="F454">
            <v>0</v>
          </cell>
          <cell r="G454" t="str">
            <v>Asset</v>
          </cell>
          <cell r="I454">
            <v>5613.56</v>
          </cell>
          <cell r="K454" t="str">
            <v>Active</v>
          </cell>
          <cell r="L454" t="str">
            <v>Balance Sheet</v>
          </cell>
          <cell r="M454">
            <v>1</v>
          </cell>
        </row>
        <row r="455">
          <cell r="A455">
            <v>358</v>
          </cell>
          <cell r="B455" t="str">
            <v>UNGD CONDUCTOR &amp; DEVICES-TRANS</v>
          </cell>
          <cell r="C455">
            <v>0</v>
          </cell>
          <cell r="D455">
            <v>0</v>
          </cell>
          <cell r="E455">
            <v>21450.75</v>
          </cell>
          <cell r="F455">
            <v>0</v>
          </cell>
          <cell r="G455" t="str">
            <v>Asset</v>
          </cell>
          <cell r="I455">
            <v>21450.75</v>
          </cell>
          <cell r="K455" t="str">
            <v>Active</v>
          </cell>
          <cell r="L455" t="str">
            <v>Balance Sheet</v>
          </cell>
          <cell r="M455">
            <v>1</v>
          </cell>
        </row>
        <row r="456">
          <cell r="A456">
            <v>360</v>
          </cell>
          <cell r="B456" t="str">
            <v>LAND AND LAND RIGHTS - DIST</v>
          </cell>
          <cell r="C456">
            <v>1879.9</v>
          </cell>
          <cell r="D456">
            <v>0</v>
          </cell>
          <cell r="E456">
            <v>319076.68</v>
          </cell>
          <cell r="F456">
            <v>0</v>
          </cell>
          <cell r="G456" t="str">
            <v>Asset</v>
          </cell>
          <cell r="I456">
            <v>317196.78000000003</v>
          </cell>
          <cell r="K456" t="str">
            <v>Active</v>
          </cell>
          <cell r="L456" t="str">
            <v>Balance Sheet</v>
          </cell>
          <cell r="M456">
            <v>1</v>
          </cell>
        </row>
        <row r="457">
          <cell r="A457">
            <v>360.1</v>
          </cell>
          <cell r="B457" t="str">
            <v>LAND AND LAND RIGHTS PROC-DIST</v>
          </cell>
          <cell r="C457">
            <v>0</v>
          </cell>
          <cell r="D457">
            <v>0</v>
          </cell>
          <cell r="E457">
            <v>142219.37</v>
          </cell>
          <cell r="F457">
            <v>0</v>
          </cell>
          <cell r="G457" t="str">
            <v>Asset</v>
          </cell>
          <cell r="I457">
            <v>142219.37</v>
          </cell>
          <cell r="K457" t="str">
            <v>Active</v>
          </cell>
          <cell r="L457" t="str">
            <v>Balance Sheet</v>
          </cell>
          <cell r="M457">
            <v>1</v>
          </cell>
        </row>
        <row r="458">
          <cell r="A458">
            <v>362</v>
          </cell>
          <cell r="B458" t="str">
            <v>STATION EQUIPMENT</v>
          </cell>
          <cell r="C458">
            <v>-49958.12</v>
          </cell>
          <cell r="D458">
            <v>0</v>
          </cell>
          <cell r="E458">
            <v>10404002.23</v>
          </cell>
          <cell r="F458">
            <v>0</v>
          </cell>
          <cell r="G458" t="str">
            <v>Asset</v>
          </cell>
          <cell r="I458">
            <v>10453960.35</v>
          </cell>
          <cell r="K458" t="str">
            <v>Active</v>
          </cell>
          <cell r="L458" t="str">
            <v>Balance Sheet</v>
          </cell>
          <cell r="M458">
            <v>1</v>
          </cell>
        </row>
        <row r="459">
          <cell r="A459">
            <v>364</v>
          </cell>
          <cell r="B459" t="str">
            <v>POLES TOWERS AND FIXTURES</v>
          </cell>
          <cell r="C459">
            <v>126796.5</v>
          </cell>
          <cell r="D459">
            <v>0</v>
          </cell>
          <cell r="E459">
            <v>23512908.809999999</v>
          </cell>
          <cell r="F459">
            <v>0</v>
          </cell>
          <cell r="G459" t="str">
            <v>Asset</v>
          </cell>
          <cell r="I459">
            <v>23386112.309999999</v>
          </cell>
          <cell r="K459" t="str">
            <v>Active</v>
          </cell>
          <cell r="L459" t="str">
            <v>Balance Sheet</v>
          </cell>
          <cell r="M459">
            <v>1</v>
          </cell>
        </row>
        <row r="460">
          <cell r="A460">
            <v>365</v>
          </cell>
          <cell r="B460" t="str">
            <v>OVERHEAD CONDUCTOR AND DEVICES</v>
          </cell>
          <cell r="C460">
            <v>52831.88</v>
          </cell>
          <cell r="D460">
            <v>0</v>
          </cell>
          <cell r="E460">
            <v>23031617.890000001</v>
          </cell>
          <cell r="F460">
            <v>0</v>
          </cell>
          <cell r="G460" t="str">
            <v>Asset</v>
          </cell>
          <cell r="I460">
            <v>22978786.010000002</v>
          </cell>
          <cell r="K460" t="str">
            <v>Active</v>
          </cell>
          <cell r="L460" t="str">
            <v>Balance Sheet</v>
          </cell>
          <cell r="M460">
            <v>1</v>
          </cell>
        </row>
        <row r="461">
          <cell r="A461">
            <v>366</v>
          </cell>
          <cell r="B461" t="str">
            <v>UNDERGROUND CONDUIT</v>
          </cell>
          <cell r="C461">
            <v>630.41</v>
          </cell>
          <cell r="D461">
            <v>0</v>
          </cell>
          <cell r="E461">
            <v>1065088.72</v>
          </cell>
          <cell r="F461">
            <v>0</v>
          </cell>
          <cell r="G461" t="str">
            <v>Asset</v>
          </cell>
          <cell r="I461">
            <v>1064458.31</v>
          </cell>
          <cell r="K461" t="str">
            <v>Active</v>
          </cell>
          <cell r="L461" t="str">
            <v>Balance Sheet</v>
          </cell>
          <cell r="M461">
            <v>1</v>
          </cell>
        </row>
        <row r="462">
          <cell r="A462">
            <v>367</v>
          </cell>
          <cell r="B462" t="str">
            <v>UNDERGROUND CONDUCTOR &amp; DEVICE</v>
          </cell>
          <cell r="C462">
            <v>10907.65</v>
          </cell>
          <cell r="D462">
            <v>0</v>
          </cell>
          <cell r="E462">
            <v>9509530.9700000007</v>
          </cell>
          <cell r="F462">
            <v>0</v>
          </cell>
          <cell r="G462" t="str">
            <v>Asset</v>
          </cell>
          <cell r="I462">
            <v>9498623.3200000003</v>
          </cell>
          <cell r="K462" t="str">
            <v>Active</v>
          </cell>
          <cell r="L462" t="str">
            <v>Balance Sheet</v>
          </cell>
          <cell r="M462">
            <v>1</v>
          </cell>
        </row>
        <row r="463">
          <cell r="A463">
            <v>368</v>
          </cell>
          <cell r="B463" t="str">
            <v>LINE TRANSFORMERS</v>
          </cell>
          <cell r="C463">
            <v>22933.79</v>
          </cell>
          <cell r="D463">
            <v>0</v>
          </cell>
          <cell r="E463">
            <v>13880204.949999999</v>
          </cell>
          <cell r="F463">
            <v>0</v>
          </cell>
          <cell r="G463" t="str">
            <v>Asset</v>
          </cell>
          <cell r="I463">
            <v>13857271.16</v>
          </cell>
          <cell r="K463" t="str">
            <v>Active</v>
          </cell>
          <cell r="L463" t="str">
            <v>Balance Sheet</v>
          </cell>
          <cell r="M463">
            <v>1</v>
          </cell>
        </row>
        <row r="464">
          <cell r="A464">
            <v>369</v>
          </cell>
          <cell r="B464" t="str">
            <v>SERVICES</v>
          </cell>
          <cell r="C464">
            <v>18594.509999999998</v>
          </cell>
          <cell r="D464">
            <v>0</v>
          </cell>
          <cell r="E464">
            <v>11365581.810000001</v>
          </cell>
          <cell r="F464">
            <v>0</v>
          </cell>
          <cell r="G464" t="str">
            <v>Asset</v>
          </cell>
          <cell r="I464">
            <v>11346987.300000001</v>
          </cell>
          <cell r="K464" t="str">
            <v>Active</v>
          </cell>
          <cell r="L464" t="str">
            <v>Balance Sheet</v>
          </cell>
          <cell r="M464">
            <v>1</v>
          </cell>
        </row>
        <row r="465">
          <cell r="A465">
            <v>370</v>
          </cell>
          <cell r="B465" t="str">
            <v>METERS</v>
          </cell>
          <cell r="C465">
            <v>-503.07</v>
          </cell>
          <cell r="D465">
            <v>0</v>
          </cell>
          <cell r="E465">
            <v>2046858.2</v>
          </cell>
          <cell r="F465">
            <v>0</v>
          </cell>
          <cell r="G465" t="str">
            <v>Asset</v>
          </cell>
          <cell r="I465">
            <v>2047361.27</v>
          </cell>
          <cell r="K465" t="str">
            <v>Active</v>
          </cell>
          <cell r="L465" t="str">
            <v>Balance Sheet</v>
          </cell>
          <cell r="M465">
            <v>1</v>
          </cell>
        </row>
        <row r="466">
          <cell r="A466">
            <v>370.01</v>
          </cell>
          <cell r="B466" t="str">
            <v>AMI METER INSTALLS</v>
          </cell>
          <cell r="C466">
            <v>-5518.8</v>
          </cell>
          <cell r="D466">
            <v>0</v>
          </cell>
          <cell r="E466">
            <v>174167.37</v>
          </cell>
          <cell r="F466">
            <v>0</v>
          </cell>
          <cell r="G466" t="str">
            <v>Asset</v>
          </cell>
          <cell r="I466">
            <v>179686.17</v>
          </cell>
          <cell r="K466" t="str">
            <v>Active</v>
          </cell>
          <cell r="L466" t="str">
            <v>Balance Sheet</v>
          </cell>
          <cell r="M466">
            <v>1</v>
          </cell>
        </row>
        <row r="467">
          <cell r="A467">
            <v>370.1</v>
          </cell>
          <cell r="B467" t="str">
            <v>METER SOCKETS</v>
          </cell>
          <cell r="C467">
            <v>0</v>
          </cell>
          <cell r="D467">
            <v>0</v>
          </cell>
          <cell r="E467">
            <v>188147.23</v>
          </cell>
          <cell r="F467">
            <v>0</v>
          </cell>
          <cell r="G467" t="str">
            <v>Asset</v>
          </cell>
          <cell r="I467">
            <v>188147.23</v>
          </cell>
          <cell r="K467" t="str">
            <v>Active</v>
          </cell>
          <cell r="L467" t="str">
            <v>Balance Sheet</v>
          </cell>
          <cell r="M467">
            <v>1</v>
          </cell>
        </row>
        <row r="468">
          <cell r="A468">
            <v>371</v>
          </cell>
          <cell r="B468" t="str">
            <v>INST CONS PREM-CLOCKS</v>
          </cell>
          <cell r="C468">
            <v>0</v>
          </cell>
          <cell r="D468">
            <v>0</v>
          </cell>
          <cell r="E468">
            <v>0</v>
          </cell>
          <cell r="F468">
            <v>0</v>
          </cell>
          <cell r="G468" t="str">
            <v>Asset</v>
          </cell>
          <cell r="I468">
            <v>0</v>
          </cell>
          <cell r="K468" t="str">
            <v>Active</v>
          </cell>
          <cell r="L468" t="str">
            <v>Balance Sheet</v>
          </cell>
          <cell r="M468">
            <v>1</v>
          </cell>
        </row>
        <row r="469">
          <cell r="A469">
            <v>371.1</v>
          </cell>
          <cell r="B469" t="str">
            <v>INST CONS PREM-SEC LGTS</v>
          </cell>
          <cell r="C469">
            <v>-249.09</v>
          </cell>
          <cell r="D469">
            <v>0</v>
          </cell>
          <cell r="E469">
            <v>101533.25</v>
          </cell>
          <cell r="F469">
            <v>0</v>
          </cell>
          <cell r="G469" t="str">
            <v>Asset</v>
          </cell>
          <cell r="I469">
            <v>101782.34</v>
          </cell>
          <cell r="K469" t="str">
            <v>Active</v>
          </cell>
          <cell r="L469" t="str">
            <v>Balance Sheet</v>
          </cell>
          <cell r="M469">
            <v>1</v>
          </cell>
        </row>
        <row r="470">
          <cell r="A470">
            <v>371.2</v>
          </cell>
          <cell r="B470" t="str">
            <v>CUST CONS PREM-PANELS</v>
          </cell>
          <cell r="C470">
            <v>0</v>
          </cell>
          <cell r="D470">
            <v>0</v>
          </cell>
          <cell r="E470">
            <v>0</v>
          </cell>
          <cell r="F470">
            <v>0</v>
          </cell>
          <cell r="G470" t="str">
            <v>Asset</v>
          </cell>
          <cell r="I470">
            <v>0</v>
          </cell>
          <cell r="K470" t="str">
            <v>Active</v>
          </cell>
          <cell r="L470" t="str">
            <v>Balance Sheet</v>
          </cell>
          <cell r="M470">
            <v>1</v>
          </cell>
        </row>
        <row r="471">
          <cell r="A471">
            <v>371.3</v>
          </cell>
          <cell r="B471" t="str">
            <v>INST CONS PREM-NEUTRAL ISOLATO</v>
          </cell>
          <cell r="C471">
            <v>0</v>
          </cell>
          <cell r="D471">
            <v>0</v>
          </cell>
          <cell r="E471">
            <v>4854.43</v>
          </cell>
          <cell r="F471">
            <v>0</v>
          </cell>
          <cell r="G471" t="str">
            <v>Asset</v>
          </cell>
          <cell r="I471">
            <v>4854.43</v>
          </cell>
          <cell r="K471" t="str">
            <v>Active</v>
          </cell>
          <cell r="L471" t="str">
            <v>Balance Sheet</v>
          </cell>
          <cell r="M471">
            <v>1</v>
          </cell>
        </row>
        <row r="472">
          <cell r="A472">
            <v>373</v>
          </cell>
          <cell r="B472" t="str">
            <v>STREET LIGHTING</v>
          </cell>
          <cell r="C472">
            <v>463.01</v>
          </cell>
          <cell r="D472">
            <v>0</v>
          </cell>
          <cell r="E472">
            <v>701128.68</v>
          </cell>
          <cell r="F472">
            <v>0</v>
          </cell>
          <cell r="G472" t="str">
            <v>Asset</v>
          </cell>
          <cell r="I472">
            <v>700665.67</v>
          </cell>
          <cell r="K472" t="str">
            <v>Active</v>
          </cell>
          <cell r="L472" t="str">
            <v>Balance Sheet</v>
          </cell>
          <cell r="M472">
            <v>1</v>
          </cell>
        </row>
        <row r="473">
          <cell r="A473">
            <v>389</v>
          </cell>
          <cell r="B473" t="str">
            <v>LAND &amp; RIGHTS-GENERAL PLANT</v>
          </cell>
          <cell r="C473">
            <v>0</v>
          </cell>
          <cell r="D473">
            <v>0</v>
          </cell>
          <cell r="E473">
            <v>41020.33</v>
          </cell>
          <cell r="F473">
            <v>0</v>
          </cell>
          <cell r="G473" t="str">
            <v>Asset</v>
          </cell>
          <cell r="I473">
            <v>41020.33</v>
          </cell>
          <cell r="K473" t="str">
            <v>Active</v>
          </cell>
          <cell r="L473" t="str">
            <v>Balance Sheet</v>
          </cell>
          <cell r="M473">
            <v>1</v>
          </cell>
        </row>
        <row r="474">
          <cell r="A474">
            <v>390</v>
          </cell>
          <cell r="B474" t="str">
            <v>STRUCTURES-HEADQUARTERS</v>
          </cell>
          <cell r="C474">
            <v>0</v>
          </cell>
          <cell r="D474">
            <v>0</v>
          </cell>
          <cell r="E474">
            <v>2168741.11</v>
          </cell>
          <cell r="F474">
            <v>0</v>
          </cell>
          <cell r="G474" t="str">
            <v>Asset</v>
          </cell>
          <cell r="I474">
            <v>2168741.11</v>
          </cell>
          <cell r="K474" t="str">
            <v>Active</v>
          </cell>
          <cell r="L474" t="str">
            <v>Balance Sheet</v>
          </cell>
          <cell r="M474">
            <v>1</v>
          </cell>
        </row>
        <row r="475">
          <cell r="A475">
            <v>390.01</v>
          </cell>
          <cell r="B475" t="str">
            <v>STRUCTURES-HEADQUARTERS (ROOF)</v>
          </cell>
          <cell r="C475">
            <v>0</v>
          </cell>
          <cell r="D475">
            <v>0</v>
          </cell>
          <cell r="E475">
            <v>0</v>
          </cell>
          <cell r="F475">
            <v>0</v>
          </cell>
          <cell r="G475" t="str">
            <v>Asset</v>
          </cell>
          <cell r="I475">
            <v>0</v>
          </cell>
          <cell r="K475" t="str">
            <v>Active</v>
          </cell>
          <cell r="L475" t="str">
            <v>Balance Sheet</v>
          </cell>
          <cell r="M475">
            <v>1</v>
          </cell>
        </row>
        <row r="476">
          <cell r="A476">
            <v>390.07</v>
          </cell>
          <cell r="B476" t="str">
            <v>ASSET UNDER CAPITAL LEASE-DERBY</v>
          </cell>
          <cell r="C476">
            <v>0</v>
          </cell>
          <cell r="D476">
            <v>0</v>
          </cell>
          <cell r="E476">
            <v>427430.65</v>
          </cell>
          <cell r="F476">
            <v>0</v>
          </cell>
          <cell r="G476" t="str">
            <v>Asset</v>
          </cell>
          <cell r="I476">
            <v>427430.65</v>
          </cell>
          <cell r="K476" t="str">
            <v>Active</v>
          </cell>
          <cell r="L476" t="str">
            <v>Balance Sheet</v>
          </cell>
          <cell r="M476">
            <v>1</v>
          </cell>
        </row>
        <row r="477">
          <cell r="A477">
            <v>390.1</v>
          </cell>
          <cell r="B477" t="str">
            <v>STRUCTURES-TIN WAREHOUSE</v>
          </cell>
          <cell r="C477">
            <v>0</v>
          </cell>
          <cell r="D477">
            <v>0</v>
          </cell>
          <cell r="E477">
            <v>0</v>
          </cell>
          <cell r="F477">
            <v>0</v>
          </cell>
          <cell r="G477" t="str">
            <v>Asset</v>
          </cell>
          <cell r="I477">
            <v>0</v>
          </cell>
          <cell r="K477" t="str">
            <v>Active</v>
          </cell>
          <cell r="L477" t="str">
            <v>Balance Sheet</v>
          </cell>
          <cell r="M477">
            <v>1</v>
          </cell>
        </row>
        <row r="478">
          <cell r="A478">
            <v>390.2</v>
          </cell>
          <cell r="B478" t="str">
            <v>STRUCTURES-POLE YARD</v>
          </cell>
          <cell r="C478">
            <v>0</v>
          </cell>
          <cell r="D478">
            <v>0</v>
          </cell>
          <cell r="E478">
            <v>0</v>
          </cell>
          <cell r="F478">
            <v>0</v>
          </cell>
          <cell r="G478" t="str">
            <v>Asset</v>
          </cell>
          <cell r="I478">
            <v>0</v>
          </cell>
          <cell r="K478" t="str">
            <v>Active</v>
          </cell>
          <cell r="L478" t="str">
            <v>Balance Sheet</v>
          </cell>
          <cell r="M478">
            <v>1</v>
          </cell>
        </row>
        <row r="479">
          <cell r="A479">
            <v>390.3</v>
          </cell>
          <cell r="B479" t="str">
            <v>STRUCTURES-HIGHGATE</v>
          </cell>
          <cell r="C479">
            <v>0</v>
          </cell>
          <cell r="D479">
            <v>0</v>
          </cell>
          <cell r="E479">
            <v>102</v>
          </cell>
          <cell r="F479">
            <v>0</v>
          </cell>
          <cell r="G479" t="str">
            <v>Asset</v>
          </cell>
          <cell r="I479">
            <v>102</v>
          </cell>
          <cell r="K479" t="str">
            <v>Active</v>
          </cell>
          <cell r="L479" t="str">
            <v>Balance Sheet</v>
          </cell>
          <cell r="M479">
            <v>1</v>
          </cell>
        </row>
        <row r="480">
          <cell r="A480">
            <v>390.4</v>
          </cell>
          <cell r="B480" t="str">
            <v>STRUCTURES-APPL BLDG</v>
          </cell>
          <cell r="C480">
            <v>0</v>
          </cell>
          <cell r="D480">
            <v>0</v>
          </cell>
          <cell r="E480">
            <v>0</v>
          </cell>
          <cell r="F480">
            <v>0</v>
          </cell>
          <cell r="G480" t="str">
            <v>Asset</v>
          </cell>
          <cell r="I480">
            <v>0</v>
          </cell>
          <cell r="K480" t="str">
            <v>Active</v>
          </cell>
          <cell r="L480" t="str">
            <v>Balance Sheet</v>
          </cell>
          <cell r="M480">
            <v>1</v>
          </cell>
        </row>
        <row r="481">
          <cell r="A481">
            <v>390.5</v>
          </cell>
          <cell r="B481" t="str">
            <v>STRUCTURES-GARAGE\WAREHOUSE</v>
          </cell>
          <cell r="C481">
            <v>0</v>
          </cell>
          <cell r="D481">
            <v>0</v>
          </cell>
          <cell r="E481">
            <v>53908.959999999999</v>
          </cell>
          <cell r="F481">
            <v>0</v>
          </cell>
          <cell r="G481" t="str">
            <v>Asset</v>
          </cell>
          <cell r="I481">
            <v>53908.959999999999</v>
          </cell>
          <cell r="K481" t="str">
            <v>Active</v>
          </cell>
          <cell r="L481" t="str">
            <v>Balance Sheet</v>
          </cell>
          <cell r="M481">
            <v>1</v>
          </cell>
        </row>
        <row r="482">
          <cell r="A482">
            <v>390.7</v>
          </cell>
          <cell r="B482" t="str">
            <v>STRUCTURES-HAL POLE YARD</v>
          </cell>
          <cell r="C482">
            <v>0</v>
          </cell>
          <cell r="D482">
            <v>0</v>
          </cell>
          <cell r="E482">
            <v>0</v>
          </cell>
          <cell r="F482">
            <v>0</v>
          </cell>
          <cell r="G482" t="str">
            <v>Asset</v>
          </cell>
          <cell r="I482">
            <v>0</v>
          </cell>
          <cell r="K482" t="str">
            <v>Active</v>
          </cell>
          <cell r="L482" t="str">
            <v>Balance Sheet</v>
          </cell>
          <cell r="M482">
            <v>1</v>
          </cell>
        </row>
        <row r="483">
          <cell r="A483">
            <v>390.8</v>
          </cell>
          <cell r="B483" t="str">
            <v>HALIFAX DIST SERV FACILITY</v>
          </cell>
          <cell r="C483">
            <v>0</v>
          </cell>
          <cell r="D483">
            <v>0</v>
          </cell>
          <cell r="E483">
            <v>0</v>
          </cell>
          <cell r="F483">
            <v>0</v>
          </cell>
          <cell r="G483" t="str">
            <v>Asset</v>
          </cell>
          <cell r="I483">
            <v>0</v>
          </cell>
          <cell r="K483" t="str">
            <v>Active</v>
          </cell>
          <cell r="L483" t="str">
            <v>Balance Sheet</v>
          </cell>
          <cell r="M483">
            <v>1</v>
          </cell>
        </row>
        <row r="484">
          <cell r="A484">
            <v>390.81</v>
          </cell>
          <cell r="B484" t="str">
            <v>DOVER RADIO TOWER</v>
          </cell>
          <cell r="C484">
            <v>0</v>
          </cell>
          <cell r="D484">
            <v>0</v>
          </cell>
          <cell r="E484">
            <v>0</v>
          </cell>
          <cell r="F484">
            <v>0</v>
          </cell>
          <cell r="G484" t="str">
            <v>Asset</v>
          </cell>
          <cell r="I484">
            <v>0</v>
          </cell>
          <cell r="K484" t="str">
            <v>Active</v>
          </cell>
          <cell r="L484" t="str">
            <v>Balance Sheet</v>
          </cell>
          <cell r="M484">
            <v>1</v>
          </cell>
        </row>
        <row r="485">
          <cell r="A485">
            <v>391</v>
          </cell>
          <cell r="B485" t="str">
            <v>OFFICE FURNITURE AND EQUIPMENT</v>
          </cell>
          <cell r="C485">
            <v>5250.18</v>
          </cell>
          <cell r="D485">
            <v>0</v>
          </cell>
          <cell r="E485">
            <v>273031.48</v>
          </cell>
          <cell r="F485">
            <v>0</v>
          </cell>
          <cell r="G485" t="str">
            <v>Asset</v>
          </cell>
          <cell r="I485">
            <v>267781.3</v>
          </cell>
          <cell r="K485" t="str">
            <v>Active</v>
          </cell>
          <cell r="L485" t="str">
            <v>Balance Sheet</v>
          </cell>
          <cell r="M485">
            <v>1</v>
          </cell>
        </row>
        <row r="486">
          <cell r="A486">
            <v>391.01</v>
          </cell>
          <cell r="B486" t="str">
            <v>AMI METER INSTALLS - MODULES</v>
          </cell>
          <cell r="C486">
            <v>-736.85</v>
          </cell>
          <cell r="D486">
            <v>0</v>
          </cell>
          <cell r="E486">
            <v>348380.45</v>
          </cell>
          <cell r="F486">
            <v>0</v>
          </cell>
          <cell r="G486" t="str">
            <v>Asset</v>
          </cell>
          <cell r="I486">
            <v>349117.3</v>
          </cell>
          <cell r="K486" t="str">
            <v>Active</v>
          </cell>
          <cell r="L486" t="str">
            <v>Balance Sheet</v>
          </cell>
          <cell r="M486">
            <v>1</v>
          </cell>
        </row>
        <row r="487">
          <cell r="A487">
            <v>391.1</v>
          </cell>
          <cell r="B487" t="str">
            <v>COMPUTER EQUIPMENT</v>
          </cell>
          <cell r="C487">
            <v>0</v>
          </cell>
          <cell r="D487">
            <v>0</v>
          </cell>
          <cell r="E487">
            <v>1413743.46</v>
          </cell>
          <cell r="F487">
            <v>0</v>
          </cell>
          <cell r="G487" t="str">
            <v>Asset</v>
          </cell>
          <cell r="I487">
            <v>1413743.46</v>
          </cell>
          <cell r="K487" t="str">
            <v>Active</v>
          </cell>
          <cell r="L487" t="str">
            <v>Balance Sheet</v>
          </cell>
          <cell r="M487">
            <v>1</v>
          </cell>
        </row>
        <row r="488">
          <cell r="A488">
            <v>391.3</v>
          </cell>
          <cell r="B488" t="str">
            <v>OFFICE FURN &amp; EQUIP-HIGHGATE</v>
          </cell>
          <cell r="C488">
            <v>0</v>
          </cell>
          <cell r="D488">
            <v>0</v>
          </cell>
          <cell r="E488">
            <v>1</v>
          </cell>
          <cell r="F488">
            <v>0</v>
          </cell>
          <cell r="G488" t="str">
            <v>Asset</v>
          </cell>
          <cell r="I488">
            <v>1</v>
          </cell>
          <cell r="K488" t="str">
            <v>Active</v>
          </cell>
          <cell r="L488" t="str">
            <v>Balance Sheet</v>
          </cell>
          <cell r="M488">
            <v>1</v>
          </cell>
        </row>
        <row r="489">
          <cell r="A489">
            <v>392</v>
          </cell>
          <cell r="B489" t="str">
            <v>TRANSPORTATION EQUIPMENT</v>
          </cell>
          <cell r="C489">
            <v>4330.78</v>
          </cell>
          <cell r="D489">
            <v>0</v>
          </cell>
          <cell r="E489">
            <v>796524.35</v>
          </cell>
          <cell r="F489">
            <v>0</v>
          </cell>
          <cell r="G489" t="str">
            <v>Asset</v>
          </cell>
          <cell r="I489">
            <v>792193.57</v>
          </cell>
          <cell r="K489" t="str">
            <v>Active</v>
          </cell>
          <cell r="L489" t="str">
            <v>Balance Sheet</v>
          </cell>
          <cell r="M489">
            <v>1</v>
          </cell>
        </row>
        <row r="490">
          <cell r="A490">
            <v>393</v>
          </cell>
          <cell r="B490" t="str">
            <v>STORES EQUIPMENT</v>
          </cell>
          <cell r="C490">
            <v>0</v>
          </cell>
          <cell r="D490">
            <v>0</v>
          </cell>
          <cell r="E490">
            <v>73951.13</v>
          </cell>
          <cell r="F490">
            <v>0</v>
          </cell>
          <cell r="G490" t="str">
            <v>Asset</v>
          </cell>
          <cell r="I490">
            <v>73951.13</v>
          </cell>
          <cell r="K490" t="str">
            <v>Active</v>
          </cell>
          <cell r="L490" t="str">
            <v>Balance Sheet</v>
          </cell>
          <cell r="M490">
            <v>1</v>
          </cell>
        </row>
        <row r="491">
          <cell r="A491">
            <v>394</v>
          </cell>
          <cell r="B491" t="str">
            <v>TOOLS\SHOP\GARAGE EQUIPMENT</v>
          </cell>
          <cell r="C491">
            <v>1963.09</v>
          </cell>
          <cell r="D491">
            <v>0</v>
          </cell>
          <cell r="E491">
            <v>516821.44</v>
          </cell>
          <cell r="F491">
            <v>0</v>
          </cell>
          <cell r="G491" t="str">
            <v>Asset</v>
          </cell>
          <cell r="I491">
            <v>514858.35</v>
          </cell>
          <cell r="K491" t="str">
            <v>Active</v>
          </cell>
          <cell r="L491" t="str">
            <v>Balance Sheet</v>
          </cell>
          <cell r="M491">
            <v>1</v>
          </cell>
        </row>
        <row r="492">
          <cell r="A492">
            <v>395</v>
          </cell>
          <cell r="B492" t="str">
            <v>LABORATORY EQUIPMENT</v>
          </cell>
          <cell r="C492">
            <v>0</v>
          </cell>
          <cell r="D492">
            <v>0</v>
          </cell>
          <cell r="E492">
            <v>385814.88</v>
          </cell>
          <cell r="F492">
            <v>0</v>
          </cell>
          <cell r="G492" t="str">
            <v>Asset</v>
          </cell>
          <cell r="I492">
            <v>385814.88</v>
          </cell>
          <cell r="K492" t="str">
            <v>Active</v>
          </cell>
          <cell r="L492" t="str">
            <v>Balance Sheet</v>
          </cell>
          <cell r="M492">
            <v>1</v>
          </cell>
        </row>
        <row r="493">
          <cell r="A493">
            <v>396</v>
          </cell>
          <cell r="B493" t="str">
            <v>POWER OPERATED EQUIPMENT</v>
          </cell>
          <cell r="C493">
            <v>0</v>
          </cell>
          <cell r="D493">
            <v>0</v>
          </cell>
          <cell r="E493">
            <v>39076.85</v>
          </cell>
          <cell r="F493">
            <v>0</v>
          </cell>
          <cell r="G493" t="str">
            <v>Asset</v>
          </cell>
          <cell r="I493">
            <v>39076.85</v>
          </cell>
          <cell r="K493" t="str">
            <v>Active</v>
          </cell>
          <cell r="L493" t="str">
            <v>Balance Sheet</v>
          </cell>
          <cell r="M493">
            <v>1</v>
          </cell>
        </row>
        <row r="494">
          <cell r="A494">
            <v>397</v>
          </cell>
          <cell r="B494" t="str">
            <v>COMMUNICATIONS EQUIPMENT</v>
          </cell>
          <cell r="C494">
            <v>0</v>
          </cell>
          <cell r="D494">
            <v>0</v>
          </cell>
          <cell r="E494">
            <v>540421.01</v>
          </cell>
          <cell r="F494">
            <v>0</v>
          </cell>
          <cell r="G494" t="str">
            <v>Asset</v>
          </cell>
          <cell r="I494">
            <v>540421.01</v>
          </cell>
          <cell r="K494" t="str">
            <v>Active</v>
          </cell>
          <cell r="L494" t="str">
            <v>Balance Sheet</v>
          </cell>
          <cell r="M494">
            <v>1</v>
          </cell>
        </row>
        <row r="495">
          <cell r="A495">
            <v>397.1</v>
          </cell>
          <cell r="B495" t="str">
            <v>COMM. EQUIPMENT-SCADA</v>
          </cell>
          <cell r="C495">
            <v>66534.37</v>
          </cell>
          <cell r="D495">
            <v>0</v>
          </cell>
          <cell r="E495">
            <v>1007888.64</v>
          </cell>
          <cell r="F495">
            <v>0</v>
          </cell>
          <cell r="G495" t="str">
            <v>Asset</v>
          </cell>
          <cell r="I495">
            <v>941354.27</v>
          </cell>
          <cell r="K495" t="str">
            <v>Active</v>
          </cell>
          <cell r="L495" t="str">
            <v>Balance Sheet</v>
          </cell>
          <cell r="M495">
            <v>1</v>
          </cell>
        </row>
        <row r="496">
          <cell r="A496">
            <v>397.2</v>
          </cell>
          <cell r="B496" t="str">
            <v>COMM. EQUIPMENT-FIBER</v>
          </cell>
          <cell r="C496">
            <v>0</v>
          </cell>
          <cell r="D496">
            <v>0</v>
          </cell>
          <cell r="E496">
            <v>458662.92</v>
          </cell>
          <cell r="F496">
            <v>0</v>
          </cell>
          <cell r="G496" t="str">
            <v>Asset</v>
          </cell>
          <cell r="I496">
            <v>458662.92</v>
          </cell>
          <cell r="K496" t="str">
            <v>Active</v>
          </cell>
          <cell r="L496" t="str">
            <v>Balance Sheet</v>
          </cell>
          <cell r="M496">
            <v>1</v>
          </cell>
        </row>
        <row r="497">
          <cell r="A497">
            <v>398.1</v>
          </cell>
          <cell r="B497" t="str">
            <v>MISCELLANEOUS EQUIPMENT</v>
          </cell>
          <cell r="C497">
            <v>0</v>
          </cell>
          <cell r="D497">
            <v>0</v>
          </cell>
          <cell r="E497">
            <v>78357.98</v>
          </cell>
          <cell r="F497">
            <v>0</v>
          </cell>
          <cell r="G497" t="str">
            <v>Asset</v>
          </cell>
          <cell r="I497">
            <v>78357.98</v>
          </cell>
          <cell r="K497" t="str">
            <v>Active</v>
          </cell>
          <cell r="L497" t="str">
            <v>Balance Sheet</v>
          </cell>
          <cell r="M497">
            <v>1</v>
          </cell>
        </row>
        <row r="498">
          <cell r="A498">
            <v>398.2</v>
          </cell>
          <cell r="B498" t="str">
            <v>MISC EQUIPMENT - DEMONSTRATION</v>
          </cell>
          <cell r="C498">
            <v>0</v>
          </cell>
          <cell r="D498">
            <v>0</v>
          </cell>
          <cell r="E498">
            <v>8241.3799999999992</v>
          </cell>
          <cell r="F498">
            <v>0</v>
          </cell>
          <cell r="G498" t="str">
            <v>Asset</v>
          </cell>
          <cell r="I498">
            <v>8241.3799999999992</v>
          </cell>
          <cell r="K498" t="str">
            <v>Active</v>
          </cell>
          <cell r="L498" t="str">
            <v>Balance Sheet</v>
          </cell>
          <cell r="M498">
            <v>1</v>
          </cell>
        </row>
        <row r="499">
          <cell r="A499">
            <v>403.4</v>
          </cell>
          <cell r="B499" t="str">
            <v>DEPREC. EXP-OTHER PRODUCTION</v>
          </cell>
          <cell r="C499">
            <v>0</v>
          </cell>
          <cell r="D499">
            <v>0</v>
          </cell>
          <cell r="E499">
            <v>0</v>
          </cell>
          <cell r="F499">
            <v>0</v>
          </cell>
          <cell r="G499" t="str">
            <v>Expense</v>
          </cell>
          <cell r="H499" t="str">
            <v>Operating</v>
          </cell>
          <cell r="I499">
            <v>0</v>
          </cell>
          <cell r="K499" t="str">
            <v>Active</v>
          </cell>
          <cell r="L499" t="str">
            <v>Income Statement</v>
          </cell>
          <cell r="M499">
            <v>13</v>
          </cell>
        </row>
        <row r="500">
          <cell r="A500">
            <v>403.5</v>
          </cell>
          <cell r="B500" t="str">
            <v>DEPRECIATION EXP - TRANS</v>
          </cell>
          <cell r="C500">
            <v>5484.4</v>
          </cell>
          <cell r="D500">
            <v>11120</v>
          </cell>
          <cell r="E500">
            <v>5484.4</v>
          </cell>
          <cell r="F500">
            <v>11120</v>
          </cell>
          <cell r="G500" t="str">
            <v>Expense</v>
          </cell>
          <cell r="H500" t="str">
            <v>Operating</v>
          </cell>
          <cell r="I500">
            <v>0</v>
          </cell>
          <cell r="K500" t="str">
            <v>Active</v>
          </cell>
          <cell r="L500" t="str">
            <v>Income Statement</v>
          </cell>
          <cell r="M500">
            <v>13</v>
          </cell>
        </row>
        <row r="501">
          <cell r="A501">
            <v>403.51</v>
          </cell>
          <cell r="B501" t="str">
            <v>DEPRECIATION EXP-TRAN-CZN TARIFF</v>
          </cell>
          <cell r="C501">
            <v>16341.13</v>
          </cell>
          <cell r="D501">
            <v>21850</v>
          </cell>
          <cell r="E501">
            <v>16341.13</v>
          </cell>
          <cell r="F501">
            <v>21850</v>
          </cell>
          <cell r="G501" t="str">
            <v>Expense</v>
          </cell>
          <cell r="H501" t="str">
            <v>Operating</v>
          </cell>
          <cell r="I501">
            <v>0</v>
          </cell>
          <cell r="K501" t="str">
            <v>Active</v>
          </cell>
          <cell r="L501" t="str">
            <v>Income Statement</v>
          </cell>
          <cell r="M501">
            <v>13</v>
          </cell>
        </row>
        <row r="502">
          <cell r="A502">
            <v>403.53</v>
          </cell>
          <cell r="B502" t="str">
            <v>DEPRECIATION EXP-TRAN-HIGHGATE</v>
          </cell>
          <cell r="C502">
            <v>105.51</v>
          </cell>
          <cell r="D502">
            <v>318</v>
          </cell>
          <cell r="E502">
            <v>105.51</v>
          </cell>
          <cell r="F502">
            <v>318</v>
          </cell>
          <cell r="G502" t="str">
            <v>Expense</v>
          </cell>
          <cell r="H502" t="str">
            <v>Operating</v>
          </cell>
          <cell r="I502">
            <v>0</v>
          </cell>
          <cell r="K502" t="str">
            <v>Active</v>
          </cell>
          <cell r="L502" t="str">
            <v>Income Statement</v>
          </cell>
          <cell r="M502">
            <v>13</v>
          </cell>
        </row>
        <row r="503">
          <cell r="A503">
            <v>403.54</v>
          </cell>
          <cell r="B503" t="str">
            <v>DEPRECIATION EXP-TRAN-METALLIC</v>
          </cell>
          <cell r="C503">
            <v>3518.65</v>
          </cell>
          <cell r="D503">
            <v>7038</v>
          </cell>
          <cell r="E503">
            <v>3518.65</v>
          </cell>
          <cell r="F503">
            <v>7038</v>
          </cell>
          <cell r="G503" t="str">
            <v>Expense</v>
          </cell>
          <cell r="H503" t="str">
            <v>Operating</v>
          </cell>
          <cell r="I503">
            <v>0</v>
          </cell>
          <cell r="K503" t="str">
            <v>Active</v>
          </cell>
          <cell r="L503" t="str">
            <v>Income Statement</v>
          </cell>
          <cell r="M503">
            <v>13</v>
          </cell>
        </row>
        <row r="504">
          <cell r="A504">
            <v>403.6</v>
          </cell>
          <cell r="B504" t="str">
            <v>DEPRECIATION EXP - DIST.</v>
          </cell>
          <cell r="C504">
            <v>239968.19</v>
          </cell>
          <cell r="D504">
            <v>483000</v>
          </cell>
          <cell r="E504">
            <v>239968.19</v>
          </cell>
          <cell r="F504">
            <v>483000</v>
          </cell>
          <cell r="G504" t="str">
            <v>Expense</v>
          </cell>
          <cell r="H504" t="str">
            <v>Operating</v>
          </cell>
          <cell r="I504">
            <v>0</v>
          </cell>
          <cell r="K504" t="str">
            <v>Active</v>
          </cell>
          <cell r="L504" t="str">
            <v>Income Statement</v>
          </cell>
          <cell r="M504">
            <v>13</v>
          </cell>
        </row>
        <row r="505">
          <cell r="A505">
            <v>403.7</v>
          </cell>
          <cell r="B505" t="str">
            <v>DEPRECIATION EXP - GEN PLANT</v>
          </cell>
          <cell r="C505">
            <v>60979.27</v>
          </cell>
          <cell r="D505">
            <v>107250.27</v>
          </cell>
          <cell r="E505">
            <v>60979.27</v>
          </cell>
          <cell r="F505">
            <v>107250.27</v>
          </cell>
          <cell r="G505" t="str">
            <v>Expense</v>
          </cell>
          <cell r="H505" t="str">
            <v>Operating</v>
          </cell>
          <cell r="I505">
            <v>0</v>
          </cell>
          <cell r="K505" t="str">
            <v>Active</v>
          </cell>
          <cell r="L505" t="str">
            <v>Income Statement</v>
          </cell>
          <cell r="M505">
            <v>13</v>
          </cell>
        </row>
        <row r="506">
          <cell r="A506">
            <v>406</v>
          </cell>
          <cell r="B506" t="str">
            <v>AMORTIZATION - ACQ ADJ</v>
          </cell>
          <cell r="C506">
            <v>0</v>
          </cell>
          <cell r="D506">
            <v>0</v>
          </cell>
          <cell r="E506">
            <v>0</v>
          </cell>
          <cell r="F506">
            <v>0</v>
          </cell>
          <cell r="G506" t="str">
            <v>Expense</v>
          </cell>
          <cell r="H506" t="str">
            <v>Operating</v>
          </cell>
          <cell r="I506">
            <v>0</v>
          </cell>
          <cell r="K506" t="str">
            <v>Inactive</v>
          </cell>
          <cell r="L506" t="str">
            <v>Income Statement</v>
          </cell>
          <cell r="M506">
            <v>13</v>
          </cell>
        </row>
        <row r="507">
          <cell r="A507">
            <v>408.1</v>
          </cell>
          <cell r="B507" t="str">
            <v>TAXES - PROPERTY</v>
          </cell>
          <cell r="C507">
            <v>0</v>
          </cell>
          <cell r="D507">
            <v>0</v>
          </cell>
          <cell r="E507">
            <v>0</v>
          </cell>
          <cell r="F507">
            <v>0</v>
          </cell>
          <cell r="G507" t="str">
            <v>Expense</v>
          </cell>
          <cell r="H507" t="str">
            <v>Operating</v>
          </cell>
          <cell r="I507">
            <v>0</v>
          </cell>
          <cell r="K507" t="str">
            <v>Inactive</v>
          </cell>
          <cell r="L507" t="str">
            <v>Income Statement</v>
          </cell>
          <cell r="M507">
            <v>14</v>
          </cell>
        </row>
        <row r="508">
          <cell r="A508">
            <v>408.2</v>
          </cell>
          <cell r="B508" t="str">
            <v>TAXES - US UNEMPLOYMENT</v>
          </cell>
          <cell r="C508">
            <v>0</v>
          </cell>
          <cell r="D508">
            <v>0</v>
          </cell>
          <cell r="E508">
            <v>0</v>
          </cell>
          <cell r="F508">
            <v>0</v>
          </cell>
          <cell r="G508" t="str">
            <v>Expense</v>
          </cell>
          <cell r="H508" t="str">
            <v>Operating</v>
          </cell>
          <cell r="I508">
            <v>0</v>
          </cell>
          <cell r="K508" t="str">
            <v>Inactive</v>
          </cell>
          <cell r="L508" t="str">
            <v>Income Statement</v>
          </cell>
          <cell r="M508">
            <v>15</v>
          </cell>
        </row>
        <row r="509">
          <cell r="A509">
            <v>408.3</v>
          </cell>
          <cell r="B509" t="str">
            <v>TAXES - US SO SEC - FICA</v>
          </cell>
          <cell r="C509">
            <v>0</v>
          </cell>
          <cell r="D509">
            <v>0</v>
          </cell>
          <cell r="E509">
            <v>0</v>
          </cell>
          <cell r="F509">
            <v>0</v>
          </cell>
          <cell r="G509" t="str">
            <v>Expense</v>
          </cell>
          <cell r="H509" t="str">
            <v>Operating</v>
          </cell>
          <cell r="I509">
            <v>0</v>
          </cell>
          <cell r="K509" t="str">
            <v>Inactive</v>
          </cell>
          <cell r="L509" t="str">
            <v>Income Statement</v>
          </cell>
          <cell r="M509">
            <v>15</v>
          </cell>
        </row>
        <row r="510">
          <cell r="A510">
            <v>408.4</v>
          </cell>
          <cell r="B510" t="str">
            <v>TAXES - STATE UNEMPLOYMENT</v>
          </cell>
          <cell r="C510">
            <v>0</v>
          </cell>
          <cell r="D510">
            <v>0</v>
          </cell>
          <cell r="E510">
            <v>0</v>
          </cell>
          <cell r="F510">
            <v>0</v>
          </cell>
          <cell r="G510" t="str">
            <v>Expense</v>
          </cell>
          <cell r="H510" t="str">
            <v>Operating</v>
          </cell>
          <cell r="I510">
            <v>0</v>
          </cell>
          <cell r="K510" t="str">
            <v>Inactive</v>
          </cell>
          <cell r="L510" t="str">
            <v>Income Statement</v>
          </cell>
          <cell r="M510">
            <v>15</v>
          </cell>
        </row>
        <row r="511">
          <cell r="A511">
            <v>408.6</v>
          </cell>
          <cell r="B511" t="str">
            <v>TAXES - GROSS REVENUE</v>
          </cell>
          <cell r="C511">
            <v>32984.28</v>
          </cell>
          <cell r="D511">
            <v>67890.039999999994</v>
          </cell>
          <cell r="E511">
            <v>32984.28</v>
          </cell>
          <cell r="F511">
            <v>67890.039999999994</v>
          </cell>
          <cell r="G511" t="str">
            <v>Expense</v>
          </cell>
          <cell r="H511" t="str">
            <v>Operating</v>
          </cell>
          <cell r="I511">
            <v>0</v>
          </cell>
          <cell r="K511" t="str">
            <v>Active</v>
          </cell>
          <cell r="L511" t="str">
            <v>Income Statement</v>
          </cell>
          <cell r="M511">
            <v>14</v>
          </cell>
        </row>
        <row r="512">
          <cell r="A512">
            <v>408.61</v>
          </cell>
          <cell r="B512" t="str">
            <v>TAXES - FUEL GROSS RECEIPTS</v>
          </cell>
          <cell r="C512">
            <v>32248.880000000001</v>
          </cell>
          <cell r="D512">
            <v>65805.61</v>
          </cell>
          <cell r="E512">
            <v>32248.880000000001</v>
          </cell>
          <cell r="F512">
            <v>65805.61</v>
          </cell>
          <cell r="G512" t="str">
            <v>Expense</v>
          </cell>
          <cell r="H512" t="str">
            <v>Operating</v>
          </cell>
          <cell r="I512">
            <v>0</v>
          </cell>
          <cell r="K512" t="str">
            <v>Active</v>
          </cell>
          <cell r="L512" t="str">
            <v>Income Statement</v>
          </cell>
          <cell r="M512">
            <v>14</v>
          </cell>
        </row>
        <row r="513">
          <cell r="A513">
            <v>415.11</v>
          </cell>
          <cell r="B513" t="str">
            <v>REVENUES -  JOBBING READSBORO</v>
          </cell>
          <cell r="C513">
            <v>0</v>
          </cell>
          <cell r="D513">
            <v>0</v>
          </cell>
          <cell r="E513">
            <v>0</v>
          </cell>
          <cell r="F513">
            <v>0</v>
          </cell>
          <cell r="G513" t="str">
            <v>Income</v>
          </cell>
          <cell r="H513" t="str">
            <v>Non-Operating</v>
          </cell>
          <cell r="I513">
            <v>0</v>
          </cell>
          <cell r="K513" t="str">
            <v>Active</v>
          </cell>
          <cell r="L513" t="str">
            <v>Income Statement</v>
          </cell>
          <cell r="M513">
            <v>25</v>
          </cell>
        </row>
        <row r="514">
          <cell r="A514">
            <v>415.13</v>
          </cell>
          <cell r="B514" t="str">
            <v>REVENUES - WATER HEATERS</v>
          </cell>
          <cell r="C514">
            <v>0</v>
          </cell>
          <cell r="D514">
            <v>0</v>
          </cell>
          <cell r="E514">
            <v>0</v>
          </cell>
          <cell r="F514">
            <v>0</v>
          </cell>
          <cell r="G514" t="str">
            <v>Income</v>
          </cell>
          <cell r="H514" t="str">
            <v>Non-Operating</v>
          </cell>
          <cell r="I514">
            <v>0</v>
          </cell>
          <cell r="K514" t="str">
            <v>Active</v>
          </cell>
          <cell r="L514" t="str">
            <v>Income Statement</v>
          </cell>
          <cell r="M514">
            <v>25</v>
          </cell>
        </row>
        <row r="515">
          <cell r="A515">
            <v>415.14</v>
          </cell>
          <cell r="B515" t="str">
            <v>REVENUES - BEMIS JOBBING</v>
          </cell>
          <cell r="C515">
            <v>0</v>
          </cell>
          <cell r="D515">
            <v>0</v>
          </cell>
          <cell r="E515">
            <v>0</v>
          </cell>
          <cell r="F515">
            <v>0</v>
          </cell>
          <cell r="G515" t="str">
            <v>Income</v>
          </cell>
          <cell r="H515" t="str">
            <v>Non-Operating</v>
          </cell>
          <cell r="I515">
            <v>0</v>
          </cell>
          <cell r="K515" t="str">
            <v>Active</v>
          </cell>
          <cell r="L515" t="str">
            <v>Income Statement</v>
          </cell>
          <cell r="M515">
            <v>25</v>
          </cell>
        </row>
        <row r="516">
          <cell r="A516">
            <v>415.15</v>
          </cell>
          <cell r="B516" t="str">
            <v>REVENUES - JEC ROUTINE MTCE</v>
          </cell>
          <cell r="C516">
            <v>0</v>
          </cell>
          <cell r="D516">
            <v>0</v>
          </cell>
          <cell r="E516">
            <v>0</v>
          </cell>
          <cell r="F516">
            <v>0</v>
          </cell>
          <cell r="G516" t="str">
            <v>Income</v>
          </cell>
          <cell r="H516" t="str">
            <v>Non-Operating</v>
          </cell>
          <cell r="I516">
            <v>0</v>
          </cell>
          <cell r="K516" t="str">
            <v>Active</v>
          </cell>
          <cell r="L516" t="str">
            <v>Income Statement</v>
          </cell>
          <cell r="M516">
            <v>25</v>
          </cell>
        </row>
        <row r="517">
          <cell r="A517">
            <v>415.16</v>
          </cell>
          <cell r="B517" t="str">
            <v>REVENUE-CONT SERV-OTHER UTIL #1</v>
          </cell>
          <cell r="C517">
            <v>-7988.63</v>
          </cell>
          <cell r="D517">
            <v>-9990.16</v>
          </cell>
          <cell r="E517">
            <v>-7988.63</v>
          </cell>
          <cell r="F517">
            <v>-9990.16</v>
          </cell>
          <cell r="G517" t="str">
            <v>Income</v>
          </cell>
          <cell r="H517" t="str">
            <v>Non-Operating</v>
          </cell>
          <cell r="I517">
            <v>0</v>
          </cell>
          <cell r="K517" t="str">
            <v>Active</v>
          </cell>
          <cell r="L517" t="str">
            <v>Income Statement</v>
          </cell>
          <cell r="M517">
            <v>25</v>
          </cell>
        </row>
        <row r="518">
          <cell r="A518">
            <v>415.17</v>
          </cell>
          <cell r="B518" t="str">
            <v>REVENUE-CONT SERV-OTHER UTIL #2</v>
          </cell>
          <cell r="C518">
            <v>0</v>
          </cell>
          <cell r="D518">
            <v>-1205.97</v>
          </cell>
          <cell r="E518">
            <v>0</v>
          </cell>
          <cell r="F518">
            <v>-1205.97</v>
          </cell>
          <cell r="G518" t="str">
            <v>Income</v>
          </cell>
          <cell r="H518" t="str">
            <v>Non-Operating</v>
          </cell>
          <cell r="I518">
            <v>0</v>
          </cell>
          <cell r="K518" t="str">
            <v>Active</v>
          </cell>
          <cell r="L518" t="str">
            <v>Income Statement</v>
          </cell>
          <cell r="M518">
            <v>25</v>
          </cell>
        </row>
        <row r="519">
          <cell r="A519">
            <v>415.18</v>
          </cell>
          <cell r="B519" t="str">
            <v>REVENUE-CONT SERV-OTHER UTIL #3</v>
          </cell>
          <cell r="C519">
            <v>0</v>
          </cell>
          <cell r="D519">
            <v>0</v>
          </cell>
          <cell r="E519">
            <v>0</v>
          </cell>
          <cell r="F519">
            <v>0</v>
          </cell>
          <cell r="G519" t="str">
            <v>Income</v>
          </cell>
          <cell r="H519" t="str">
            <v>Non-Operating</v>
          </cell>
          <cell r="I519">
            <v>0</v>
          </cell>
          <cell r="K519" t="str">
            <v>Active</v>
          </cell>
          <cell r="L519" t="str">
            <v>Income Statement</v>
          </cell>
          <cell r="M519">
            <v>25</v>
          </cell>
        </row>
        <row r="520">
          <cell r="A520">
            <v>415.19</v>
          </cell>
          <cell r="B520" t="str">
            <v>REVENUE-CONT SERV-OTHER UTIL #4</v>
          </cell>
          <cell r="C520">
            <v>0</v>
          </cell>
          <cell r="D520">
            <v>0</v>
          </cell>
          <cell r="E520">
            <v>0</v>
          </cell>
          <cell r="F520">
            <v>0</v>
          </cell>
          <cell r="G520" t="str">
            <v>Income</v>
          </cell>
          <cell r="H520" t="str">
            <v>Operating</v>
          </cell>
          <cell r="I520">
            <v>0</v>
          </cell>
          <cell r="K520" t="str">
            <v>Active</v>
          </cell>
          <cell r="L520" t="str">
            <v>Income Statement</v>
          </cell>
          <cell r="M520">
            <v>25</v>
          </cell>
        </row>
        <row r="521">
          <cell r="A521">
            <v>415.22</v>
          </cell>
          <cell r="B521" t="str">
            <v>REVENUE-FIRST WIND JOBBING (SHEFFIELD)</v>
          </cell>
          <cell r="C521">
            <v>0</v>
          </cell>
          <cell r="D521">
            <v>0</v>
          </cell>
          <cell r="E521">
            <v>0</v>
          </cell>
          <cell r="F521">
            <v>0</v>
          </cell>
          <cell r="G521" t="str">
            <v>Income</v>
          </cell>
          <cell r="H521" t="str">
            <v>Non-Operating</v>
          </cell>
          <cell r="I521">
            <v>0</v>
          </cell>
          <cell r="K521" t="str">
            <v>Active</v>
          </cell>
          <cell r="L521" t="str">
            <v>Income Statement</v>
          </cell>
          <cell r="M521">
            <v>25</v>
          </cell>
        </row>
        <row r="522">
          <cell r="A522">
            <v>415.26</v>
          </cell>
          <cell r="B522" t="str">
            <v>REVENUES - VELCO JOBBING</v>
          </cell>
          <cell r="C522">
            <v>-12563.5</v>
          </cell>
          <cell r="D522">
            <v>-2071.69</v>
          </cell>
          <cell r="E522">
            <v>-12563.5</v>
          </cell>
          <cell r="F522">
            <v>-2071.69</v>
          </cell>
          <cell r="G522" t="str">
            <v>Income</v>
          </cell>
          <cell r="H522" t="str">
            <v>Non-Operating</v>
          </cell>
          <cell r="I522">
            <v>0</v>
          </cell>
          <cell r="K522" t="str">
            <v>Active</v>
          </cell>
          <cell r="L522" t="str">
            <v>Income Statement</v>
          </cell>
          <cell r="M522">
            <v>25</v>
          </cell>
        </row>
        <row r="523">
          <cell r="A523">
            <v>415.3</v>
          </cell>
          <cell r="B523" t="str">
            <v>REVENUES - SERVICES FOR REDONA, INC</v>
          </cell>
          <cell r="C523">
            <v>0</v>
          </cell>
          <cell r="D523">
            <v>0</v>
          </cell>
          <cell r="E523">
            <v>0</v>
          </cell>
          <cell r="F523">
            <v>0</v>
          </cell>
          <cell r="G523" t="str">
            <v>Income</v>
          </cell>
          <cell r="H523" t="str">
            <v>Operating</v>
          </cell>
          <cell r="I523">
            <v>0</v>
          </cell>
          <cell r="K523" t="str">
            <v>Active</v>
          </cell>
          <cell r="L523" t="str">
            <v>Income Statement</v>
          </cell>
          <cell r="M523">
            <v>25</v>
          </cell>
        </row>
        <row r="524">
          <cell r="A524">
            <v>416.1</v>
          </cell>
          <cell r="B524" t="str">
            <v>COSTS - MDSE CLEARING</v>
          </cell>
          <cell r="C524">
            <v>0</v>
          </cell>
          <cell r="D524">
            <v>0</v>
          </cell>
          <cell r="E524">
            <v>0</v>
          </cell>
          <cell r="F524">
            <v>0</v>
          </cell>
          <cell r="G524" t="str">
            <v>Expense</v>
          </cell>
          <cell r="H524" t="str">
            <v>Non-Operating</v>
          </cell>
          <cell r="I524">
            <v>0</v>
          </cell>
          <cell r="K524" t="str">
            <v>Inactive</v>
          </cell>
          <cell r="L524" t="str">
            <v>Income Statement</v>
          </cell>
          <cell r="M524">
            <v>25</v>
          </cell>
        </row>
        <row r="525">
          <cell r="A525">
            <v>416.16</v>
          </cell>
          <cell r="B525" t="str">
            <v>COSTS-CONT SERV-OTHER UTIL #1</v>
          </cell>
          <cell r="C525">
            <v>0</v>
          </cell>
          <cell r="D525">
            <v>8687.6200000000008</v>
          </cell>
          <cell r="E525">
            <v>0</v>
          </cell>
          <cell r="F525">
            <v>8687.6200000000008</v>
          </cell>
          <cell r="G525" t="str">
            <v>Expense</v>
          </cell>
          <cell r="H525" t="str">
            <v>Non-Operating</v>
          </cell>
          <cell r="I525">
            <v>0</v>
          </cell>
          <cell r="K525" t="str">
            <v>Active</v>
          </cell>
          <cell r="L525" t="str">
            <v>Income Statement</v>
          </cell>
          <cell r="M525">
            <v>25</v>
          </cell>
        </row>
        <row r="526">
          <cell r="A526">
            <v>416.17</v>
          </cell>
          <cell r="B526" t="str">
            <v>COSTS-CONT SERV-OTHER UTIL #2</v>
          </cell>
          <cell r="C526">
            <v>0</v>
          </cell>
          <cell r="D526">
            <v>1049.32</v>
          </cell>
          <cell r="E526">
            <v>0</v>
          </cell>
          <cell r="F526">
            <v>1049.32</v>
          </cell>
          <cell r="G526" t="str">
            <v>Expense</v>
          </cell>
          <cell r="H526" t="str">
            <v>Non-Operating</v>
          </cell>
          <cell r="I526">
            <v>0</v>
          </cell>
          <cell r="K526" t="str">
            <v>Active</v>
          </cell>
          <cell r="L526" t="str">
            <v>Income Statement</v>
          </cell>
          <cell r="M526">
            <v>25</v>
          </cell>
        </row>
        <row r="527">
          <cell r="A527">
            <v>416.18</v>
          </cell>
          <cell r="B527" t="str">
            <v>COSTS-CONT SERV-OTHER UTIL #3</v>
          </cell>
          <cell r="C527">
            <v>0</v>
          </cell>
          <cell r="D527">
            <v>0</v>
          </cell>
          <cell r="E527">
            <v>0</v>
          </cell>
          <cell r="F527">
            <v>0</v>
          </cell>
          <cell r="G527" t="str">
            <v>Expense</v>
          </cell>
          <cell r="H527" t="str">
            <v>Non-Operating</v>
          </cell>
          <cell r="I527">
            <v>0</v>
          </cell>
          <cell r="K527" t="str">
            <v>Active</v>
          </cell>
          <cell r="L527" t="str">
            <v>Income Statement</v>
          </cell>
          <cell r="M527">
            <v>25</v>
          </cell>
        </row>
        <row r="528">
          <cell r="A528">
            <v>416.19</v>
          </cell>
          <cell r="B528" t="str">
            <v>COSTS-CONT SERV-OTHER UTIL #4</v>
          </cell>
          <cell r="C528">
            <v>0</v>
          </cell>
          <cell r="D528">
            <v>0</v>
          </cell>
          <cell r="E528">
            <v>0</v>
          </cell>
          <cell r="F528">
            <v>0</v>
          </cell>
          <cell r="G528" t="str">
            <v>Expense</v>
          </cell>
          <cell r="H528" t="str">
            <v>Operating</v>
          </cell>
          <cell r="I528">
            <v>0</v>
          </cell>
          <cell r="K528" t="str">
            <v>Active</v>
          </cell>
          <cell r="L528" t="str">
            <v>Income Statement</v>
          </cell>
          <cell r="M528">
            <v>25</v>
          </cell>
        </row>
        <row r="529">
          <cell r="A529">
            <v>416.21</v>
          </cell>
          <cell r="B529" t="str">
            <v>COSTS - JOBBING READSBORO ELEC</v>
          </cell>
          <cell r="C529">
            <v>0</v>
          </cell>
          <cell r="D529">
            <v>0</v>
          </cell>
          <cell r="E529">
            <v>0</v>
          </cell>
          <cell r="F529">
            <v>0</v>
          </cell>
          <cell r="G529" t="str">
            <v>Expense</v>
          </cell>
          <cell r="H529" t="str">
            <v>Non-Operating</v>
          </cell>
          <cell r="I529">
            <v>0</v>
          </cell>
          <cell r="K529" t="str">
            <v>Active</v>
          </cell>
          <cell r="L529" t="str">
            <v>Income Statement</v>
          </cell>
          <cell r="M529">
            <v>25</v>
          </cell>
        </row>
        <row r="530">
          <cell r="A530">
            <v>416.22</v>
          </cell>
          <cell r="B530" t="str">
            <v>COSTS-FIRST WIND (SHEFFIELD WIND PROJ)</v>
          </cell>
          <cell r="C530">
            <v>0</v>
          </cell>
          <cell r="D530">
            <v>0</v>
          </cell>
          <cell r="E530">
            <v>0</v>
          </cell>
          <cell r="F530">
            <v>0</v>
          </cell>
          <cell r="G530" t="str">
            <v>Expense</v>
          </cell>
          <cell r="H530" t="str">
            <v>Non-Operating</v>
          </cell>
          <cell r="I530">
            <v>0</v>
          </cell>
          <cell r="K530" t="str">
            <v>Active</v>
          </cell>
          <cell r="L530" t="str">
            <v>Income Statement</v>
          </cell>
          <cell r="M530">
            <v>25</v>
          </cell>
        </row>
        <row r="531">
          <cell r="A531">
            <v>416.23</v>
          </cell>
          <cell r="B531" t="str">
            <v>COSTS - MDSE - WATER HEATERS</v>
          </cell>
          <cell r="C531">
            <v>0</v>
          </cell>
          <cell r="D531">
            <v>0</v>
          </cell>
          <cell r="E531">
            <v>0</v>
          </cell>
          <cell r="F531">
            <v>0</v>
          </cell>
          <cell r="G531" t="str">
            <v>Expense</v>
          </cell>
          <cell r="H531" t="str">
            <v>Non-Operating</v>
          </cell>
          <cell r="I531">
            <v>0</v>
          </cell>
          <cell r="K531" t="str">
            <v>Active</v>
          </cell>
          <cell r="L531" t="str">
            <v>Income Statement</v>
          </cell>
          <cell r="M531">
            <v>25</v>
          </cell>
        </row>
        <row r="532">
          <cell r="A532">
            <v>416.24</v>
          </cell>
          <cell r="B532" t="str">
            <v>COSTS - MDSE - JOBBING</v>
          </cell>
          <cell r="C532">
            <v>0</v>
          </cell>
          <cell r="D532">
            <v>0</v>
          </cell>
          <cell r="E532">
            <v>0</v>
          </cell>
          <cell r="F532">
            <v>0</v>
          </cell>
          <cell r="G532" t="str">
            <v>Expense</v>
          </cell>
          <cell r="H532" t="str">
            <v>Non-Operating</v>
          </cell>
          <cell r="I532">
            <v>0</v>
          </cell>
          <cell r="K532" t="str">
            <v>Active</v>
          </cell>
          <cell r="L532" t="str">
            <v>Income Statement</v>
          </cell>
          <cell r="M532">
            <v>25</v>
          </cell>
        </row>
        <row r="533">
          <cell r="A533">
            <v>416.25</v>
          </cell>
          <cell r="B533" t="str">
            <v>COSTS - JEC ROUTINE MTCE</v>
          </cell>
          <cell r="C533">
            <v>0</v>
          </cell>
          <cell r="D533">
            <v>0</v>
          </cell>
          <cell r="E533">
            <v>0</v>
          </cell>
          <cell r="F533">
            <v>0</v>
          </cell>
          <cell r="G533" t="str">
            <v>Expense</v>
          </cell>
          <cell r="H533" t="str">
            <v>Non-Operating</v>
          </cell>
          <cell r="I533">
            <v>0</v>
          </cell>
          <cell r="K533" t="str">
            <v>Active</v>
          </cell>
          <cell r="L533" t="str">
            <v>Income Statement</v>
          </cell>
          <cell r="M533">
            <v>25</v>
          </cell>
        </row>
        <row r="534">
          <cell r="A534">
            <v>416.26</v>
          </cell>
          <cell r="B534" t="str">
            <v>COSTS - MDSE - VELCO</v>
          </cell>
          <cell r="C534">
            <v>7831.9</v>
          </cell>
          <cell r="D534">
            <v>1801.6</v>
          </cell>
          <cell r="E534">
            <v>7831.9</v>
          </cell>
          <cell r="F534">
            <v>1801.6</v>
          </cell>
          <cell r="G534" t="str">
            <v>Expense</v>
          </cell>
          <cell r="H534" t="str">
            <v>Non-Operating</v>
          </cell>
          <cell r="I534">
            <v>0</v>
          </cell>
          <cell r="K534" t="str">
            <v>Active</v>
          </cell>
          <cell r="L534" t="str">
            <v>Income Statement</v>
          </cell>
          <cell r="M534">
            <v>25</v>
          </cell>
        </row>
        <row r="535">
          <cell r="A535">
            <v>416.3</v>
          </cell>
          <cell r="B535" t="str">
            <v>COSTS - SERVICES FOR REDONA, INC</v>
          </cell>
          <cell r="C535">
            <v>0</v>
          </cell>
          <cell r="D535">
            <v>0</v>
          </cell>
          <cell r="E535">
            <v>0</v>
          </cell>
          <cell r="F535">
            <v>0</v>
          </cell>
          <cell r="G535" t="str">
            <v>Expense</v>
          </cell>
          <cell r="H535" t="str">
            <v>Non-Operating</v>
          </cell>
          <cell r="I535">
            <v>0</v>
          </cell>
          <cell r="K535" t="str">
            <v>Active</v>
          </cell>
          <cell r="L535" t="str">
            <v>Income Statement</v>
          </cell>
          <cell r="M535">
            <v>25</v>
          </cell>
        </row>
        <row r="536">
          <cell r="A536">
            <v>416.31</v>
          </cell>
          <cell r="B536" t="str">
            <v>COSTS\MDSE-BAD DEBTS EXP</v>
          </cell>
          <cell r="C536">
            <v>0</v>
          </cell>
          <cell r="D536">
            <v>0</v>
          </cell>
          <cell r="E536">
            <v>0</v>
          </cell>
          <cell r="F536">
            <v>0</v>
          </cell>
          <cell r="G536" t="str">
            <v>Expense</v>
          </cell>
          <cell r="H536" t="str">
            <v>Non-Operating</v>
          </cell>
          <cell r="I536">
            <v>0</v>
          </cell>
          <cell r="K536" t="str">
            <v>Inactive</v>
          </cell>
          <cell r="L536" t="str">
            <v>Income Statement</v>
          </cell>
          <cell r="M536">
            <v>25</v>
          </cell>
        </row>
        <row r="537">
          <cell r="A537">
            <v>416.32</v>
          </cell>
          <cell r="B537" t="str">
            <v>COSTS\MDSE-BAD DEBTS WH</v>
          </cell>
          <cell r="C537">
            <v>0</v>
          </cell>
          <cell r="D537">
            <v>0</v>
          </cell>
          <cell r="E537">
            <v>0</v>
          </cell>
          <cell r="F537">
            <v>0</v>
          </cell>
          <cell r="G537" t="str">
            <v>Expense</v>
          </cell>
          <cell r="H537" t="str">
            <v>Non-Operating</v>
          </cell>
          <cell r="I537">
            <v>0</v>
          </cell>
          <cell r="K537" t="str">
            <v>Inactive</v>
          </cell>
          <cell r="L537" t="str">
            <v>Income Statement</v>
          </cell>
          <cell r="M537">
            <v>25</v>
          </cell>
        </row>
        <row r="538">
          <cell r="A538">
            <v>417.01</v>
          </cell>
          <cell r="B538" t="str">
            <v>REVENUES - ISP</v>
          </cell>
          <cell r="C538">
            <v>0</v>
          </cell>
          <cell r="D538">
            <v>0</v>
          </cell>
          <cell r="E538">
            <v>0</v>
          </cell>
          <cell r="F538">
            <v>0</v>
          </cell>
          <cell r="G538" t="str">
            <v>Expense</v>
          </cell>
          <cell r="H538" t="str">
            <v>Non-Operating</v>
          </cell>
          <cell r="I538">
            <v>0</v>
          </cell>
          <cell r="K538" t="str">
            <v>Active</v>
          </cell>
          <cell r="L538" t="str">
            <v>Income Statement</v>
          </cell>
          <cell r="M538">
            <v>25</v>
          </cell>
        </row>
        <row r="539">
          <cell r="A539">
            <v>417.11</v>
          </cell>
          <cell r="B539" t="str">
            <v>EXPENSES - IPS</v>
          </cell>
          <cell r="C539">
            <v>0</v>
          </cell>
          <cell r="D539">
            <v>0</v>
          </cell>
          <cell r="E539">
            <v>0</v>
          </cell>
          <cell r="F539">
            <v>0</v>
          </cell>
          <cell r="G539" t="str">
            <v>Expense</v>
          </cell>
          <cell r="H539" t="str">
            <v>Non-Operating</v>
          </cell>
          <cell r="I539">
            <v>0</v>
          </cell>
          <cell r="K539" t="str">
            <v>Active</v>
          </cell>
          <cell r="L539" t="str">
            <v>Income Statement</v>
          </cell>
          <cell r="M539">
            <v>25</v>
          </cell>
        </row>
        <row r="540">
          <cell r="A540">
            <v>418.1</v>
          </cell>
          <cell r="B540" t="str">
            <v>REVENUE-SCHOOL ST BLDG LEASE</v>
          </cell>
          <cell r="C540">
            <v>0</v>
          </cell>
          <cell r="D540">
            <v>0</v>
          </cell>
          <cell r="E540">
            <v>0</v>
          </cell>
          <cell r="F540">
            <v>0</v>
          </cell>
          <cell r="G540" t="str">
            <v>Income</v>
          </cell>
          <cell r="H540" t="str">
            <v>Non-Operating</v>
          </cell>
          <cell r="I540">
            <v>0</v>
          </cell>
          <cell r="K540" t="str">
            <v>Active</v>
          </cell>
          <cell r="L540" t="str">
            <v>Income Statement</v>
          </cell>
          <cell r="M540">
            <v>25</v>
          </cell>
        </row>
        <row r="541">
          <cell r="A541">
            <v>418.2</v>
          </cell>
          <cell r="B541" t="str">
            <v>EXPENSES-SCHOOL ST BLDG LEASE</v>
          </cell>
          <cell r="C541">
            <v>0</v>
          </cell>
          <cell r="D541">
            <v>0</v>
          </cell>
          <cell r="E541">
            <v>0</v>
          </cell>
          <cell r="F541">
            <v>0</v>
          </cell>
          <cell r="G541" t="str">
            <v>Income</v>
          </cell>
          <cell r="H541" t="str">
            <v>Non-Operating</v>
          </cell>
          <cell r="I541">
            <v>0</v>
          </cell>
          <cell r="K541" t="str">
            <v>Inactive</v>
          </cell>
          <cell r="L541" t="str">
            <v>Income Statement</v>
          </cell>
          <cell r="M541">
            <v>25</v>
          </cell>
        </row>
        <row r="542">
          <cell r="A542">
            <v>418.3</v>
          </cell>
          <cell r="B542" t="str">
            <v>REVENUE-NEWPORT BLDG LEASE</v>
          </cell>
          <cell r="C542">
            <v>0</v>
          </cell>
          <cell r="D542">
            <v>0</v>
          </cell>
          <cell r="E542">
            <v>0</v>
          </cell>
          <cell r="F542">
            <v>0</v>
          </cell>
          <cell r="G542" t="str">
            <v>Income</v>
          </cell>
          <cell r="H542" t="str">
            <v>Non-Operating</v>
          </cell>
          <cell r="I542">
            <v>0</v>
          </cell>
          <cell r="K542" t="str">
            <v>Active</v>
          </cell>
          <cell r="L542" t="str">
            <v>Income Statement</v>
          </cell>
          <cell r="M542">
            <v>25</v>
          </cell>
        </row>
        <row r="543">
          <cell r="A543">
            <v>418.4</v>
          </cell>
          <cell r="B543" t="str">
            <v>EXPENSES-NEWPORT BLDG LEASE</v>
          </cell>
          <cell r="C543">
            <v>0</v>
          </cell>
          <cell r="D543">
            <v>0</v>
          </cell>
          <cell r="E543">
            <v>0</v>
          </cell>
          <cell r="F543">
            <v>0</v>
          </cell>
          <cell r="G543" t="str">
            <v>Income</v>
          </cell>
          <cell r="H543" t="str">
            <v>Non-Operating</v>
          </cell>
          <cell r="I543">
            <v>0</v>
          </cell>
          <cell r="K543" t="str">
            <v>Active</v>
          </cell>
          <cell r="L543" t="str">
            <v>Income Statement</v>
          </cell>
          <cell r="M543">
            <v>25</v>
          </cell>
        </row>
        <row r="544">
          <cell r="A544">
            <v>419</v>
          </cell>
          <cell r="B544" t="str">
            <v>INTEREST &amp; DIV INCOME</v>
          </cell>
          <cell r="C544">
            <v>-63737.16</v>
          </cell>
          <cell r="D544">
            <v>-127474</v>
          </cell>
          <cell r="E544">
            <v>-63737.16</v>
          </cell>
          <cell r="F544">
            <v>-127474</v>
          </cell>
          <cell r="G544" t="str">
            <v>Income</v>
          </cell>
          <cell r="H544" t="str">
            <v>Non-Operating</v>
          </cell>
          <cell r="I544">
            <v>0</v>
          </cell>
          <cell r="K544" t="str">
            <v>Active</v>
          </cell>
          <cell r="L544" t="str">
            <v>Income Statement</v>
          </cell>
          <cell r="M544">
            <v>22</v>
          </cell>
        </row>
        <row r="545">
          <cell r="A545">
            <v>419.2</v>
          </cell>
          <cell r="B545" t="str">
            <v>INTEREST &amp; DIV INCOME - NOTES</v>
          </cell>
          <cell r="C545">
            <v>0</v>
          </cell>
          <cell r="D545">
            <v>0</v>
          </cell>
          <cell r="E545">
            <v>0</v>
          </cell>
          <cell r="F545">
            <v>0</v>
          </cell>
          <cell r="G545" t="str">
            <v>Income</v>
          </cell>
          <cell r="H545" t="str">
            <v>Non-Operating</v>
          </cell>
          <cell r="I545">
            <v>0</v>
          </cell>
          <cell r="K545" t="str">
            <v>Active</v>
          </cell>
          <cell r="L545" t="str">
            <v>Income Statement</v>
          </cell>
          <cell r="M545">
            <v>22</v>
          </cell>
        </row>
        <row r="546">
          <cell r="A546">
            <v>419.21</v>
          </cell>
          <cell r="B546" t="str">
            <v>INTEREST CUST LOANS</v>
          </cell>
          <cell r="C546">
            <v>0</v>
          </cell>
          <cell r="D546">
            <v>0</v>
          </cell>
          <cell r="E546">
            <v>0</v>
          </cell>
          <cell r="F546">
            <v>0</v>
          </cell>
          <cell r="G546" t="str">
            <v>Income</v>
          </cell>
          <cell r="H546" t="str">
            <v>Non-Operating</v>
          </cell>
          <cell r="I546">
            <v>0</v>
          </cell>
          <cell r="K546" t="str">
            <v>Active</v>
          </cell>
          <cell r="L546" t="str">
            <v>Income Statement</v>
          </cell>
          <cell r="M546">
            <v>22</v>
          </cell>
        </row>
        <row r="547">
          <cell r="A547">
            <v>419.22</v>
          </cell>
          <cell r="B547" t="str">
            <v>INTEREST CUST A/C WRITE-OFF</v>
          </cell>
          <cell r="C547">
            <v>0</v>
          </cell>
          <cell r="D547">
            <v>0</v>
          </cell>
          <cell r="E547">
            <v>0</v>
          </cell>
          <cell r="F547">
            <v>0</v>
          </cell>
          <cell r="G547" t="str">
            <v>Income</v>
          </cell>
          <cell r="H547" t="str">
            <v>Non-Operating</v>
          </cell>
          <cell r="I547">
            <v>0</v>
          </cell>
          <cell r="K547" t="str">
            <v>Active</v>
          </cell>
          <cell r="L547" t="str">
            <v>Income Statement</v>
          </cell>
          <cell r="M547">
            <v>22</v>
          </cell>
        </row>
        <row r="548">
          <cell r="A548">
            <v>419.23</v>
          </cell>
          <cell r="B548" t="str">
            <v>INTEREST - ROCHESTER N.I.</v>
          </cell>
          <cell r="C548">
            <v>0</v>
          </cell>
          <cell r="D548">
            <v>0</v>
          </cell>
          <cell r="E548">
            <v>0</v>
          </cell>
          <cell r="F548">
            <v>0</v>
          </cell>
          <cell r="G548" t="str">
            <v>Income</v>
          </cell>
          <cell r="H548" t="str">
            <v>Non-Operating</v>
          </cell>
          <cell r="I548">
            <v>0</v>
          </cell>
          <cell r="K548" t="str">
            <v>Active</v>
          </cell>
          <cell r="L548" t="str">
            <v>Income Statement</v>
          </cell>
          <cell r="M548">
            <v>22</v>
          </cell>
        </row>
        <row r="549">
          <cell r="A549">
            <v>419.24</v>
          </cell>
          <cell r="B549" t="str">
            <v>INTEREST - DSM IMPUTED</v>
          </cell>
          <cell r="C549">
            <v>0</v>
          </cell>
          <cell r="D549">
            <v>0</v>
          </cell>
          <cell r="E549">
            <v>0</v>
          </cell>
          <cell r="F549">
            <v>0</v>
          </cell>
          <cell r="G549" t="str">
            <v>Income</v>
          </cell>
          <cell r="H549" t="str">
            <v>Non-Operating</v>
          </cell>
          <cell r="I549">
            <v>0</v>
          </cell>
          <cell r="K549" t="str">
            <v>Active</v>
          </cell>
          <cell r="L549" t="str">
            <v>Income Statement</v>
          </cell>
          <cell r="M549">
            <v>22</v>
          </cell>
        </row>
        <row r="550">
          <cell r="A550">
            <v>419.5</v>
          </cell>
          <cell r="B550" t="str">
            <v>INTEREST - BOND FUND ACCOUNT</v>
          </cell>
          <cell r="C550">
            <v>0</v>
          </cell>
          <cell r="D550">
            <v>0</v>
          </cell>
          <cell r="E550">
            <v>0</v>
          </cell>
          <cell r="F550">
            <v>0</v>
          </cell>
          <cell r="G550" t="str">
            <v>Income</v>
          </cell>
          <cell r="H550" t="str">
            <v>Non-Operating</v>
          </cell>
          <cell r="I550">
            <v>0</v>
          </cell>
          <cell r="K550" t="str">
            <v>Active</v>
          </cell>
          <cell r="L550" t="str">
            <v>Income Statement</v>
          </cell>
          <cell r="M550">
            <v>22</v>
          </cell>
        </row>
        <row r="551">
          <cell r="A551">
            <v>421</v>
          </cell>
          <cell r="B551" t="str">
            <v>MISC NONOPER INCOME</v>
          </cell>
          <cell r="C551">
            <v>0</v>
          </cell>
          <cell r="D551">
            <v>0</v>
          </cell>
          <cell r="E551">
            <v>0</v>
          </cell>
          <cell r="F551">
            <v>0</v>
          </cell>
          <cell r="G551" t="str">
            <v>Income</v>
          </cell>
          <cell r="H551" t="str">
            <v>Non-Operating</v>
          </cell>
          <cell r="I551">
            <v>0</v>
          </cell>
          <cell r="K551" t="str">
            <v>Active</v>
          </cell>
          <cell r="L551" t="str">
            <v>Income Statement</v>
          </cell>
          <cell r="M551">
            <v>25</v>
          </cell>
        </row>
        <row r="552">
          <cell r="A552">
            <v>421.2</v>
          </cell>
          <cell r="B552" t="str">
            <v>GAIN/LOSS-DISPOSITION OF PROP.</v>
          </cell>
          <cell r="C552">
            <v>-530</v>
          </cell>
          <cell r="D552">
            <v>-1060</v>
          </cell>
          <cell r="E552">
            <v>-530</v>
          </cell>
          <cell r="F552">
            <v>-1060</v>
          </cell>
          <cell r="G552" t="str">
            <v>Income</v>
          </cell>
          <cell r="H552" t="str">
            <v>Non-Operating</v>
          </cell>
          <cell r="I552">
            <v>0</v>
          </cell>
          <cell r="K552" t="str">
            <v>Active</v>
          </cell>
          <cell r="L552" t="str">
            <v>Income Statement</v>
          </cell>
          <cell r="M552">
            <v>25</v>
          </cell>
        </row>
        <row r="553">
          <cell r="A553">
            <v>424</v>
          </cell>
          <cell r="B553" t="str">
            <v>OTHER CAP CREDITS- CFC</v>
          </cell>
          <cell r="C553">
            <v>0</v>
          </cell>
          <cell r="D553">
            <v>0</v>
          </cell>
          <cell r="E553">
            <v>0</v>
          </cell>
          <cell r="F553">
            <v>0</v>
          </cell>
          <cell r="G553" t="str">
            <v>Income</v>
          </cell>
          <cell r="H553" t="str">
            <v>Operating</v>
          </cell>
          <cell r="I553">
            <v>0</v>
          </cell>
          <cell r="K553" t="str">
            <v>Active</v>
          </cell>
          <cell r="L553" t="str">
            <v>Income Statement</v>
          </cell>
          <cell r="M553">
            <v>27</v>
          </cell>
        </row>
        <row r="554">
          <cell r="A554">
            <v>424.01</v>
          </cell>
          <cell r="B554" t="str">
            <v>OTHER CAP CREDITS - SEDC</v>
          </cell>
          <cell r="C554">
            <v>0</v>
          </cell>
          <cell r="D554">
            <v>0</v>
          </cell>
          <cell r="E554">
            <v>0</v>
          </cell>
          <cell r="F554">
            <v>0</v>
          </cell>
          <cell r="G554" t="str">
            <v>Income</v>
          </cell>
          <cell r="H554" t="str">
            <v>Operating</v>
          </cell>
          <cell r="I554">
            <v>0</v>
          </cell>
          <cell r="K554" t="str">
            <v>Active</v>
          </cell>
          <cell r="L554" t="str">
            <v>Income Statement</v>
          </cell>
          <cell r="M554">
            <v>27</v>
          </cell>
        </row>
        <row r="555">
          <cell r="A555">
            <v>424.02</v>
          </cell>
          <cell r="B555" t="str">
            <v>OTHER CAP CREDITS - UNITED UTI</v>
          </cell>
          <cell r="C555">
            <v>0</v>
          </cell>
          <cell r="D555">
            <v>0</v>
          </cell>
          <cell r="E555">
            <v>0</v>
          </cell>
          <cell r="F555">
            <v>0</v>
          </cell>
          <cell r="G555" t="str">
            <v>Income</v>
          </cell>
          <cell r="H555" t="str">
            <v>Operating</v>
          </cell>
          <cell r="I555">
            <v>0</v>
          </cell>
          <cell r="K555" t="str">
            <v>Active</v>
          </cell>
          <cell r="L555" t="str">
            <v>Income Statement</v>
          </cell>
          <cell r="M555">
            <v>27</v>
          </cell>
        </row>
        <row r="556">
          <cell r="A556">
            <v>424.03</v>
          </cell>
          <cell r="B556" t="str">
            <v>OTHER CAP CREDITS - COBANK</v>
          </cell>
          <cell r="C556">
            <v>0</v>
          </cell>
          <cell r="D556">
            <v>0</v>
          </cell>
          <cell r="E556">
            <v>0</v>
          </cell>
          <cell r="F556">
            <v>0</v>
          </cell>
          <cell r="G556" t="str">
            <v>Income</v>
          </cell>
          <cell r="H556" t="str">
            <v>Operating</v>
          </cell>
          <cell r="I556">
            <v>0</v>
          </cell>
          <cell r="K556" t="str">
            <v>Active</v>
          </cell>
          <cell r="L556" t="str">
            <v>Income Statement</v>
          </cell>
          <cell r="M556">
            <v>27</v>
          </cell>
        </row>
        <row r="557">
          <cell r="A557">
            <v>424.04</v>
          </cell>
          <cell r="B557" t="str">
            <v>OTHER CAP CREDITS - NISC</v>
          </cell>
          <cell r="C557">
            <v>0</v>
          </cell>
          <cell r="D557">
            <v>0</v>
          </cell>
          <cell r="E557">
            <v>0</v>
          </cell>
          <cell r="F557">
            <v>0</v>
          </cell>
          <cell r="G557" t="str">
            <v>Income</v>
          </cell>
          <cell r="H557" t="str">
            <v>Operating</v>
          </cell>
          <cell r="I557">
            <v>0</v>
          </cell>
          <cell r="K557" t="str">
            <v>Active</v>
          </cell>
          <cell r="L557" t="str">
            <v>Income Statement</v>
          </cell>
          <cell r="M557">
            <v>27</v>
          </cell>
        </row>
        <row r="558">
          <cell r="A558">
            <v>424.05</v>
          </cell>
          <cell r="B558" t="str">
            <v>OTHER CAP CREDITS - CRC</v>
          </cell>
          <cell r="C558">
            <v>-600</v>
          </cell>
          <cell r="D558">
            <v>-1200</v>
          </cell>
          <cell r="E558">
            <v>-600</v>
          </cell>
          <cell r="F558">
            <v>-1200</v>
          </cell>
          <cell r="G558" t="str">
            <v>Income</v>
          </cell>
          <cell r="H558" t="str">
            <v>Operating</v>
          </cell>
          <cell r="I558">
            <v>0</v>
          </cell>
          <cell r="K558" t="str">
            <v>Active</v>
          </cell>
          <cell r="L558" t="str">
            <v>Income Statement</v>
          </cell>
          <cell r="M558">
            <v>27</v>
          </cell>
        </row>
        <row r="559">
          <cell r="A559">
            <v>426.1</v>
          </cell>
          <cell r="B559" t="str">
            <v>OTHER INC DED - DONATIONS</v>
          </cell>
          <cell r="C559">
            <v>0</v>
          </cell>
          <cell r="D559">
            <v>0</v>
          </cell>
          <cell r="E559">
            <v>0</v>
          </cell>
          <cell r="F559">
            <v>0</v>
          </cell>
          <cell r="G559" t="str">
            <v>Expense</v>
          </cell>
          <cell r="H559" t="str">
            <v>Operating</v>
          </cell>
          <cell r="I559">
            <v>0</v>
          </cell>
          <cell r="K559" t="str">
            <v>Active</v>
          </cell>
          <cell r="L559" t="str">
            <v>Income Statement</v>
          </cell>
          <cell r="M559">
            <v>19</v>
          </cell>
        </row>
        <row r="560">
          <cell r="A560">
            <v>426.11</v>
          </cell>
          <cell r="B560" t="str">
            <v>OTHER INC DED-DONATION-BELVIDERE</v>
          </cell>
          <cell r="C560">
            <v>0</v>
          </cell>
          <cell r="D560">
            <v>0</v>
          </cell>
          <cell r="E560">
            <v>0</v>
          </cell>
          <cell r="F560">
            <v>0</v>
          </cell>
          <cell r="G560" t="str">
            <v>Expense</v>
          </cell>
          <cell r="H560" t="str">
            <v>Operating</v>
          </cell>
          <cell r="I560">
            <v>0</v>
          </cell>
          <cell r="K560" t="str">
            <v>Active</v>
          </cell>
          <cell r="L560" t="str">
            <v>Income Statement</v>
          </cell>
          <cell r="M560">
            <v>19</v>
          </cell>
        </row>
        <row r="561">
          <cell r="A561">
            <v>426.12</v>
          </cell>
          <cell r="B561" t="str">
            <v>OTHER INC DED-DON-EDEN/LOWELL</v>
          </cell>
          <cell r="C561">
            <v>0</v>
          </cell>
          <cell r="D561">
            <v>0</v>
          </cell>
          <cell r="E561">
            <v>0</v>
          </cell>
          <cell r="F561">
            <v>0</v>
          </cell>
          <cell r="G561" t="str">
            <v>Expense</v>
          </cell>
          <cell r="H561" t="str">
            <v>Operating</v>
          </cell>
          <cell r="I561">
            <v>0</v>
          </cell>
          <cell r="K561" t="str">
            <v>Active</v>
          </cell>
          <cell r="L561" t="str">
            <v>Income Statement</v>
          </cell>
          <cell r="M561">
            <v>19</v>
          </cell>
        </row>
        <row r="562">
          <cell r="A562">
            <v>426.3</v>
          </cell>
          <cell r="B562" t="str">
            <v>OTHER INC DED-REG COMM PENALTY</v>
          </cell>
          <cell r="C562">
            <v>0</v>
          </cell>
          <cell r="D562">
            <v>0</v>
          </cell>
          <cell r="E562">
            <v>0</v>
          </cell>
          <cell r="F562">
            <v>0</v>
          </cell>
          <cell r="G562" t="str">
            <v>Expense</v>
          </cell>
          <cell r="H562" t="str">
            <v>Operating</v>
          </cell>
          <cell r="I562">
            <v>0</v>
          </cell>
          <cell r="K562" t="str">
            <v>Active</v>
          </cell>
          <cell r="L562" t="str">
            <v>Income Statement</v>
          </cell>
          <cell r="M562">
            <v>19</v>
          </cell>
        </row>
        <row r="563">
          <cell r="A563">
            <v>426.4</v>
          </cell>
          <cell r="B563" t="str">
            <v>OTHER INC DED - LOBBYING</v>
          </cell>
          <cell r="C563">
            <v>0</v>
          </cell>
          <cell r="D563">
            <v>50</v>
          </cell>
          <cell r="E563">
            <v>0</v>
          </cell>
          <cell r="F563">
            <v>50</v>
          </cell>
          <cell r="G563" t="str">
            <v>Expense</v>
          </cell>
          <cell r="H563" t="str">
            <v>Operating</v>
          </cell>
          <cell r="I563">
            <v>0</v>
          </cell>
          <cell r="K563" t="str">
            <v>Active</v>
          </cell>
          <cell r="L563" t="str">
            <v>Income Statement</v>
          </cell>
          <cell r="M563">
            <v>19</v>
          </cell>
        </row>
        <row r="564">
          <cell r="A564">
            <v>426.5</v>
          </cell>
          <cell r="B564" t="str">
            <v>OTHER INC DED - ABAN WO'S</v>
          </cell>
          <cell r="C564">
            <v>688.54</v>
          </cell>
          <cell r="D564">
            <v>6200</v>
          </cell>
          <cell r="E564">
            <v>688.54</v>
          </cell>
          <cell r="F564">
            <v>6200</v>
          </cell>
          <cell r="G564" t="str">
            <v>Expense</v>
          </cell>
          <cell r="H564" t="str">
            <v>Operating</v>
          </cell>
          <cell r="I564">
            <v>0</v>
          </cell>
          <cell r="K564" t="str">
            <v>Active</v>
          </cell>
          <cell r="L564" t="str">
            <v>Income Statement</v>
          </cell>
          <cell r="M564">
            <v>19</v>
          </cell>
        </row>
        <row r="565">
          <cell r="A565">
            <v>427.01</v>
          </cell>
          <cell r="B565" t="str">
            <v>INTEREST - 2010 A BOND</v>
          </cell>
          <cell r="C565">
            <v>20602.18</v>
          </cell>
          <cell r="D565">
            <v>42309.97</v>
          </cell>
          <cell r="E565">
            <v>20602.18</v>
          </cell>
          <cell r="F565">
            <v>42309.97</v>
          </cell>
          <cell r="G565" t="str">
            <v>Expense</v>
          </cell>
          <cell r="H565" t="str">
            <v>Operating</v>
          </cell>
          <cell r="I565">
            <v>0</v>
          </cell>
          <cell r="K565" t="str">
            <v>Active</v>
          </cell>
          <cell r="L565" t="str">
            <v>Income Statement</v>
          </cell>
          <cell r="M565">
            <v>16</v>
          </cell>
        </row>
        <row r="566">
          <cell r="A566">
            <v>427.02</v>
          </cell>
          <cell r="B566" t="str">
            <v>INTEREST - 2012 A BOND</v>
          </cell>
          <cell r="C566">
            <v>0</v>
          </cell>
          <cell r="D566">
            <v>0</v>
          </cell>
          <cell r="E566">
            <v>0</v>
          </cell>
          <cell r="F566">
            <v>0</v>
          </cell>
          <cell r="G566" t="str">
            <v>Expense</v>
          </cell>
          <cell r="H566" t="str">
            <v>Operating</v>
          </cell>
          <cell r="I566">
            <v>0</v>
          </cell>
          <cell r="K566" t="str">
            <v>Active</v>
          </cell>
          <cell r="L566" t="str">
            <v>Income Statement</v>
          </cell>
          <cell r="M566">
            <v>16</v>
          </cell>
        </row>
        <row r="567">
          <cell r="A567">
            <v>427.1</v>
          </cell>
          <cell r="B567" t="str">
            <v>INTEREST - COBANK (2000 BOND)</v>
          </cell>
          <cell r="C567">
            <v>0</v>
          </cell>
          <cell r="D567">
            <v>0</v>
          </cell>
          <cell r="E567">
            <v>0</v>
          </cell>
          <cell r="F567">
            <v>0</v>
          </cell>
          <cell r="G567" t="str">
            <v>Expense</v>
          </cell>
          <cell r="H567" t="str">
            <v>Operating</v>
          </cell>
          <cell r="I567">
            <v>0</v>
          </cell>
          <cell r="K567" t="str">
            <v>Active</v>
          </cell>
          <cell r="L567" t="str">
            <v>Income Statement</v>
          </cell>
          <cell r="M567">
            <v>16</v>
          </cell>
        </row>
        <row r="568">
          <cell r="A568">
            <v>427.11</v>
          </cell>
          <cell r="B568" t="str">
            <v>INTEREST - COBANK (2001 BOND)</v>
          </cell>
          <cell r="C568">
            <v>0</v>
          </cell>
          <cell r="D568">
            <v>0</v>
          </cell>
          <cell r="E568">
            <v>0</v>
          </cell>
          <cell r="F568">
            <v>0</v>
          </cell>
          <cell r="G568" t="str">
            <v>Expense</v>
          </cell>
          <cell r="H568" t="str">
            <v>Operating</v>
          </cell>
          <cell r="I568">
            <v>0</v>
          </cell>
          <cell r="K568" t="str">
            <v>Active</v>
          </cell>
          <cell r="L568" t="str">
            <v>Income Statement</v>
          </cell>
          <cell r="M568">
            <v>16</v>
          </cell>
        </row>
        <row r="569">
          <cell r="A569">
            <v>427.12</v>
          </cell>
          <cell r="B569" t="str">
            <v>INTEREST-COBANK (2002 BOND)</v>
          </cell>
          <cell r="C569">
            <v>7105.24</v>
          </cell>
          <cell r="D569">
            <v>14274</v>
          </cell>
          <cell r="E569">
            <v>7105.24</v>
          </cell>
          <cell r="F569">
            <v>14274</v>
          </cell>
          <cell r="G569" t="str">
            <v>Expense</v>
          </cell>
          <cell r="H569" t="str">
            <v>Operating</v>
          </cell>
          <cell r="I569">
            <v>0</v>
          </cell>
          <cell r="K569" t="str">
            <v>Active</v>
          </cell>
          <cell r="L569" t="str">
            <v>Income Statement</v>
          </cell>
          <cell r="M569">
            <v>16</v>
          </cell>
        </row>
        <row r="570">
          <cell r="A570">
            <v>427.13</v>
          </cell>
          <cell r="B570" t="str">
            <v>INTEREST-COBANK (2003 A BOND)</v>
          </cell>
          <cell r="C570">
            <v>7084.05</v>
          </cell>
          <cell r="D570">
            <v>14230</v>
          </cell>
          <cell r="E570">
            <v>7084.05</v>
          </cell>
          <cell r="F570">
            <v>14230</v>
          </cell>
          <cell r="G570" t="str">
            <v>Expense</v>
          </cell>
          <cell r="H570" t="str">
            <v>Operating</v>
          </cell>
          <cell r="I570">
            <v>0</v>
          </cell>
          <cell r="K570" t="str">
            <v>Active</v>
          </cell>
          <cell r="L570" t="str">
            <v>Income Statement</v>
          </cell>
          <cell r="M570">
            <v>16</v>
          </cell>
        </row>
        <row r="571">
          <cell r="A571">
            <v>427.14</v>
          </cell>
          <cell r="B571" t="str">
            <v>INTEREST-COBANK (2003 B BOND)</v>
          </cell>
          <cell r="C571">
            <v>1952.52</v>
          </cell>
          <cell r="D571">
            <v>3932</v>
          </cell>
          <cell r="E571">
            <v>1952.52</v>
          </cell>
          <cell r="F571">
            <v>3932</v>
          </cell>
          <cell r="G571" t="str">
            <v>Expense</v>
          </cell>
          <cell r="H571" t="str">
            <v>Operating</v>
          </cell>
          <cell r="I571">
            <v>0</v>
          </cell>
          <cell r="K571" t="str">
            <v>Active</v>
          </cell>
          <cell r="L571" t="str">
            <v>Income Statement</v>
          </cell>
          <cell r="M571">
            <v>16</v>
          </cell>
        </row>
        <row r="572">
          <cell r="A572">
            <v>427.15</v>
          </cell>
          <cell r="B572" t="str">
            <v>INTEREST-CFC (2004 A BOND)</v>
          </cell>
          <cell r="C572">
            <v>97692.98</v>
          </cell>
          <cell r="D572">
            <v>195385.98</v>
          </cell>
          <cell r="E572">
            <v>97692.98</v>
          </cell>
          <cell r="F572">
            <v>195385.98</v>
          </cell>
          <cell r="G572" t="str">
            <v>Expense</v>
          </cell>
          <cell r="H572" t="str">
            <v>Operating</v>
          </cell>
          <cell r="I572">
            <v>0</v>
          </cell>
          <cell r="K572" t="str">
            <v>Active</v>
          </cell>
          <cell r="L572" t="str">
            <v>Income Statement</v>
          </cell>
          <cell r="M572">
            <v>16</v>
          </cell>
        </row>
        <row r="573">
          <cell r="A573">
            <v>427.16</v>
          </cell>
          <cell r="B573" t="str">
            <v>INTEREST-CFC (2005 A BOND)</v>
          </cell>
          <cell r="C573">
            <v>16380.13</v>
          </cell>
          <cell r="D573">
            <v>32161.52</v>
          </cell>
          <cell r="E573">
            <v>16380.13</v>
          </cell>
          <cell r="F573">
            <v>32161.52</v>
          </cell>
          <cell r="G573" t="str">
            <v>Expense</v>
          </cell>
          <cell r="H573" t="str">
            <v>Operating</v>
          </cell>
          <cell r="I573">
            <v>0</v>
          </cell>
          <cell r="K573" t="str">
            <v>Active</v>
          </cell>
          <cell r="L573" t="str">
            <v>Income Statement</v>
          </cell>
          <cell r="M573">
            <v>16</v>
          </cell>
        </row>
        <row r="574">
          <cell r="A574">
            <v>427.17</v>
          </cell>
          <cell r="B574" t="str">
            <v>INTEREST-CFC (2006 A BOND)</v>
          </cell>
          <cell r="C574">
            <v>21867.63</v>
          </cell>
          <cell r="D574">
            <v>43735.63</v>
          </cell>
          <cell r="E574">
            <v>21867.63</v>
          </cell>
          <cell r="F574">
            <v>43735.63</v>
          </cell>
          <cell r="G574" t="str">
            <v>Expense</v>
          </cell>
          <cell r="H574" t="str">
            <v>Operating</v>
          </cell>
          <cell r="I574">
            <v>0</v>
          </cell>
          <cell r="K574" t="str">
            <v>Active</v>
          </cell>
          <cell r="L574" t="str">
            <v>Income Statement</v>
          </cell>
          <cell r="M574">
            <v>16</v>
          </cell>
        </row>
        <row r="575">
          <cell r="A575">
            <v>427.18</v>
          </cell>
          <cell r="B575" t="str">
            <v>INTEREST-COBANK (2008 B BOND)</v>
          </cell>
          <cell r="C575">
            <v>20696.41</v>
          </cell>
          <cell r="D575">
            <v>41392</v>
          </cell>
          <cell r="E575">
            <v>20696.41</v>
          </cell>
          <cell r="F575">
            <v>41392</v>
          </cell>
          <cell r="G575" t="str">
            <v>Expense</v>
          </cell>
          <cell r="H575" t="str">
            <v>Operating</v>
          </cell>
          <cell r="I575">
            <v>0</v>
          </cell>
          <cell r="K575" t="str">
            <v>Active</v>
          </cell>
          <cell r="L575" t="str">
            <v>Income Statement</v>
          </cell>
          <cell r="M575">
            <v>16</v>
          </cell>
        </row>
        <row r="576">
          <cell r="A576">
            <v>427.19</v>
          </cell>
          <cell r="B576" t="str">
            <v>INTEREST - 2009 A BOND</v>
          </cell>
          <cell r="C576">
            <v>20790.82</v>
          </cell>
          <cell r="D576">
            <v>41384</v>
          </cell>
          <cell r="E576">
            <v>20790.82</v>
          </cell>
          <cell r="F576">
            <v>41384</v>
          </cell>
          <cell r="G576" t="str">
            <v>Expense</v>
          </cell>
          <cell r="H576" t="str">
            <v>Operating</v>
          </cell>
          <cell r="I576">
            <v>0</v>
          </cell>
          <cell r="K576" t="str">
            <v>Active</v>
          </cell>
          <cell r="L576" t="str">
            <v>Income Statement</v>
          </cell>
          <cell r="M576">
            <v>16</v>
          </cell>
        </row>
        <row r="577">
          <cell r="A577">
            <v>427.2</v>
          </cell>
          <cell r="B577" t="str">
            <v>INTEREST - OTHER LTD</v>
          </cell>
          <cell r="C577">
            <v>2244.65</v>
          </cell>
          <cell r="D577">
            <v>4489.6499999999996</v>
          </cell>
          <cell r="E577">
            <v>2244.65</v>
          </cell>
          <cell r="F577">
            <v>4489.6499999999996</v>
          </cell>
          <cell r="G577" t="str">
            <v>Expense</v>
          </cell>
          <cell r="H577" t="str">
            <v>Operating</v>
          </cell>
          <cell r="I577">
            <v>0</v>
          </cell>
          <cell r="K577" t="str">
            <v>Active</v>
          </cell>
          <cell r="L577" t="str">
            <v>Income Statement</v>
          </cell>
          <cell r="M577">
            <v>16</v>
          </cell>
        </row>
        <row r="578">
          <cell r="A578">
            <v>427.5</v>
          </cell>
          <cell r="B578" t="str">
            <v>INTEREST - FIRST MORTGAGE BOND</v>
          </cell>
          <cell r="C578">
            <v>30991.06</v>
          </cell>
          <cell r="D578">
            <v>61982</v>
          </cell>
          <cell r="E578">
            <v>30991.06</v>
          </cell>
          <cell r="F578">
            <v>61982</v>
          </cell>
          <cell r="G578" t="str">
            <v>Expense</v>
          </cell>
          <cell r="H578" t="str">
            <v>Operating</v>
          </cell>
          <cell r="I578">
            <v>0</v>
          </cell>
          <cell r="K578" t="str">
            <v>Active</v>
          </cell>
          <cell r="L578" t="str">
            <v>Income Statement</v>
          </cell>
          <cell r="M578">
            <v>16</v>
          </cell>
        </row>
        <row r="579">
          <cell r="A579">
            <v>428</v>
          </cell>
          <cell r="B579" t="str">
            <v>AMORTIZATION OF DEFERRED CHARGES</v>
          </cell>
          <cell r="C579">
            <v>2859</v>
          </cell>
          <cell r="D579">
            <v>5718</v>
          </cell>
          <cell r="E579">
            <v>2859</v>
          </cell>
          <cell r="F579">
            <v>5718</v>
          </cell>
          <cell r="G579" t="str">
            <v>Expense</v>
          </cell>
          <cell r="H579" t="str">
            <v>Operating</v>
          </cell>
          <cell r="I579">
            <v>0</v>
          </cell>
          <cell r="K579" t="str">
            <v>Active</v>
          </cell>
          <cell r="L579" t="str">
            <v>Income Statement</v>
          </cell>
          <cell r="M579">
            <v>13</v>
          </cell>
        </row>
        <row r="580">
          <cell r="A580">
            <v>431</v>
          </cell>
          <cell r="B580" t="str">
            <v>OTHER INTEREST EXPENSE</v>
          </cell>
          <cell r="C580">
            <v>7983.7</v>
          </cell>
          <cell r="D580">
            <v>35894.33</v>
          </cell>
          <cell r="E580">
            <v>7983.7</v>
          </cell>
          <cell r="F580">
            <v>35894.33</v>
          </cell>
          <cell r="G580" t="str">
            <v>Expense</v>
          </cell>
          <cell r="H580" t="str">
            <v>Operating</v>
          </cell>
          <cell r="I580">
            <v>0</v>
          </cell>
          <cell r="K580" t="str">
            <v>Active</v>
          </cell>
          <cell r="L580" t="str">
            <v>Income Statement</v>
          </cell>
          <cell r="M580">
            <v>18</v>
          </cell>
        </row>
        <row r="581">
          <cell r="A581">
            <v>432</v>
          </cell>
          <cell r="B581" t="str">
            <v>ALLOWANCE BORROWED FUDC</v>
          </cell>
          <cell r="C581">
            <v>0</v>
          </cell>
          <cell r="D581">
            <v>0</v>
          </cell>
          <cell r="E581">
            <v>0</v>
          </cell>
          <cell r="F581">
            <v>0</v>
          </cell>
          <cell r="G581" t="str">
            <v>Expense</v>
          </cell>
          <cell r="H581" t="str">
            <v>Operating</v>
          </cell>
          <cell r="I581">
            <v>0</v>
          </cell>
          <cell r="K581" t="str">
            <v>Active</v>
          </cell>
          <cell r="L581" t="str">
            <v>Income Statement</v>
          </cell>
          <cell r="M581">
            <v>17</v>
          </cell>
        </row>
        <row r="582">
          <cell r="A582">
            <v>434</v>
          </cell>
          <cell r="B582" t="str">
            <v>EXTRAORDINARY ITEM - PLAN REV</v>
          </cell>
          <cell r="C582">
            <v>0</v>
          </cell>
          <cell r="D582">
            <v>0</v>
          </cell>
          <cell r="E582">
            <v>0</v>
          </cell>
          <cell r="F582">
            <v>0</v>
          </cell>
          <cell r="G582" t="str">
            <v>Income</v>
          </cell>
          <cell r="H582" t="str">
            <v>Non-Operating</v>
          </cell>
          <cell r="I582">
            <v>0</v>
          </cell>
          <cell r="K582" t="str">
            <v>Active</v>
          </cell>
          <cell r="L582" t="str">
            <v>Income Statement</v>
          </cell>
          <cell r="M582">
            <v>28</v>
          </cell>
        </row>
        <row r="583">
          <cell r="A583">
            <v>434.01</v>
          </cell>
          <cell r="B583" t="str">
            <v>EX. ITEM - TRUCK DISPOSITION</v>
          </cell>
          <cell r="C583">
            <v>0</v>
          </cell>
          <cell r="D583">
            <v>0</v>
          </cell>
          <cell r="E583">
            <v>0</v>
          </cell>
          <cell r="F583">
            <v>0</v>
          </cell>
          <cell r="G583" t="str">
            <v>Income</v>
          </cell>
          <cell r="H583" t="str">
            <v>Non-Operating</v>
          </cell>
          <cell r="I583">
            <v>0</v>
          </cell>
          <cell r="K583" t="str">
            <v>Active</v>
          </cell>
          <cell r="L583" t="str">
            <v>Income Statement</v>
          </cell>
          <cell r="M583">
            <v>28</v>
          </cell>
        </row>
        <row r="584">
          <cell r="A584">
            <v>434.02</v>
          </cell>
          <cell r="B584" t="str">
            <v>EX. ITEM - SALE OF PROPERTY</v>
          </cell>
          <cell r="C584">
            <v>0</v>
          </cell>
          <cell r="D584">
            <v>0</v>
          </cell>
          <cell r="E584">
            <v>0</v>
          </cell>
          <cell r="F584">
            <v>0</v>
          </cell>
          <cell r="G584" t="str">
            <v>Income</v>
          </cell>
          <cell r="H584" t="str">
            <v>Non-Operating</v>
          </cell>
          <cell r="I584">
            <v>0</v>
          </cell>
          <cell r="K584" t="str">
            <v>Active</v>
          </cell>
          <cell r="L584" t="str">
            <v>Income Statement</v>
          </cell>
          <cell r="M584">
            <v>28</v>
          </cell>
        </row>
        <row r="585">
          <cell r="A585">
            <v>435</v>
          </cell>
          <cell r="B585" t="str">
            <v>EXTRAORDINARY ITEM</v>
          </cell>
          <cell r="C585">
            <v>0</v>
          </cell>
          <cell r="D585">
            <v>0</v>
          </cell>
          <cell r="E585">
            <v>0</v>
          </cell>
          <cell r="F585">
            <v>0</v>
          </cell>
          <cell r="G585" t="str">
            <v>Expense</v>
          </cell>
          <cell r="H585" t="str">
            <v>Non-Operating</v>
          </cell>
          <cell r="I585">
            <v>0</v>
          </cell>
          <cell r="K585" t="str">
            <v>Active</v>
          </cell>
          <cell r="L585" t="str">
            <v>Income Statement</v>
          </cell>
          <cell r="M585">
            <v>28</v>
          </cell>
        </row>
        <row r="586">
          <cell r="A586">
            <v>435.01</v>
          </cell>
          <cell r="B586" t="str">
            <v>EXTRAORDINARY ITEMS - D/L DOCK</v>
          </cell>
          <cell r="C586">
            <v>0</v>
          </cell>
          <cell r="D586">
            <v>0</v>
          </cell>
          <cell r="E586">
            <v>0</v>
          </cell>
          <cell r="F586">
            <v>0</v>
          </cell>
          <cell r="G586" t="str">
            <v>Expense</v>
          </cell>
          <cell r="H586" t="str">
            <v>Non-Operating</v>
          </cell>
          <cell r="I586">
            <v>0</v>
          </cell>
          <cell r="K586" t="str">
            <v>Active</v>
          </cell>
          <cell r="L586" t="str">
            <v>Income Statement</v>
          </cell>
          <cell r="M586">
            <v>28</v>
          </cell>
        </row>
        <row r="587">
          <cell r="A587">
            <v>435.02</v>
          </cell>
          <cell r="B587" t="str">
            <v>EXTRAORDINARY ITEMS - ACCURALS</v>
          </cell>
          <cell r="C587">
            <v>0</v>
          </cell>
          <cell r="D587">
            <v>0</v>
          </cell>
          <cell r="E587">
            <v>0</v>
          </cell>
          <cell r="F587">
            <v>0</v>
          </cell>
          <cell r="G587" t="str">
            <v>Expense</v>
          </cell>
          <cell r="H587" t="str">
            <v>Non-Operating</v>
          </cell>
          <cell r="I587">
            <v>0</v>
          </cell>
          <cell r="K587" t="str">
            <v>Active</v>
          </cell>
          <cell r="L587" t="str">
            <v>Income Statement</v>
          </cell>
          <cell r="M587">
            <v>28</v>
          </cell>
        </row>
        <row r="588">
          <cell r="A588">
            <v>435.03</v>
          </cell>
          <cell r="B588" t="str">
            <v>EXTRAORDINARY ITEM - CV TELE</v>
          </cell>
          <cell r="C588">
            <v>0</v>
          </cell>
          <cell r="D588">
            <v>0</v>
          </cell>
          <cell r="E588">
            <v>0</v>
          </cell>
          <cell r="F588">
            <v>0</v>
          </cell>
          <cell r="G588" t="str">
            <v>Expense</v>
          </cell>
          <cell r="H588" t="str">
            <v>Non-Operating</v>
          </cell>
          <cell r="I588">
            <v>0</v>
          </cell>
          <cell r="K588" t="str">
            <v>Active</v>
          </cell>
          <cell r="L588" t="str">
            <v>Income Statement</v>
          </cell>
          <cell r="M588">
            <v>28</v>
          </cell>
        </row>
        <row r="589">
          <cell r="A589">
            <v>435.04</v>
          </cell>
          <cell r="B589" t="str">
            <v>TPB CERTIFICATE ANALYSIS</v>
          </cell>
          <cell r="C589">
            <v>0</v>
          </cell>
          <cell r="D589">
            <v>0</v>
          </cell>
          <cell r="E589">
            <v>0</v>
          </cell>
          <cell r="F589">
            <v>0</v>
          </cell>
          <cell r="G589" t="str">
            <v>Expense</v>
          </cell>
          <cell r="H589" t="str">
            <v>Non-Operating</v>
          </cell>
          <cell r="I589">
            <v>0</v>
          </cell>
          <cell r="K589" t="str">
            <v>Active</v>
          </cell>
          <cell r="L589" t="str">
            <v>Income Statement</v>
          </cell>
          <cell r="M589">
            <v>28</v>
          </cell>
        </row>
        <row r="590">
          <cell r="A590">
            <v>435.05</v>
          </cell>
          <cell r="B590" t="str">
            <v>TAKE-OVER ANALYSIS</v>
          </cell>
          <cell r="C590">
            <v>0</v>
          </cell>
          <cell r="D590">
            <v>0</v>
          </cell>
          <cell r="E590">
            <v>0</v>
          </cell>
          <cell r="F590">
            <v>0</v>
          </cell>
          <cell r="G590" t="str">
            <v>Expense</v>
          </cell>
          <cell r="H590" t="str">
            <v>Non-Operating</v>
          </cell>
          <cell r="I590">
            <v>0</v>
          </cell>
          <cell r="K590" t="str">
            <v>Active</v>
          </cell>
          <cell r="L590" t="str">
            <v>Income Statement</v>
          </cell>
          <cell r="M590">
            <v>28</v>
          </cell>
        </row>
        <row r="591">
          <cell r="A591">
            <v>435.06</v>
          </cell>
          <cell r="B591" t="str">
            <v>EX. ITEM-TELECOM</v>
          </cell>
          <cell r="C591">
            <v>0</v>
          </cell>
          <cell r="D591">
            <v>0</v>
          </cell>
          <cell r="E591">
            <v>0</v>
          </cell>
          <cell r="F591">
            <v>0</v>
          </cell>
          <cell r="G591" t="str">
            <v>Expense</v>
          </cell>
          <cell r="H591" t="str">
            <v>Non-Operating</v>
          </cell>
          <cell r="I591">
            <v>0</v>
          </cell>
          <cell r="K591" t="str">
            <v>Active</v>
          </cell>
          <cell r="L591" t="str">
            <v>Income Statement</v>
          </cell>
          <cell r="M591">
            <v>28</v>
          </cell>
        </row>
        <row r="592">
          <cell r="A592">
            <v>440.01</v>
          </cell>
          <cell r="B592" t="str">
            <v>REVENUE UNBILLED EOY - CLEARING</v>
          </cell>
          <cell r="C592">
            <v>-21970</v>
          </cell>
          <cell r="D592">
            <v>-120000</v>
          </cell>
          <cell r="E592">
            <v>-21970</v>
          </cell>
          <cell r="F592">
            <v>-120000</v>
          </cell>
          <cell r="G592" t="str">
            <v>Income</v>
          </cell>
          <cell r="H592" t="str">
            <v>Operating</v>
          </cell>
          <cell r="I592">
            <v>0</v>
          </cell>
          <cell r="K592" t="str">
            <v>Active</v>
          </cell>
          <cell r="L592" t="str">
            <v>Income Statement</v>
          </cell>
          <cell r="M592">
            <v>1</v>
          </cell>
        </row>
        <row r="593">
          <cell r="A593">
            <v>440.02</v>
          </cell>
          <cell r="B593" t="str">
            <v>REVENUE UNBILLED - CVPS</v>
          </cell>
          <cell r="C593">
            <v>0</v>
          </cell>
          <cell r="D593">
            <v>0</v>
          </cell>
          <cell r="E593">
            <v>0</v>
          </cell>
          <cell r="F593">
            <v>0</v>
          </cell>
          <cell r="G593" t="str">
            <v>Income</v>
          </cell>
          <cell r="H593" t="str">
            <v>Operating</v>
          </cell>
          <cell r="I593">
            <v>0</v>
          </cell>
          <cell r="K593" t="str">
            <v>Active</v>
          </cell>
          <cell r="L593" t="str">
            <v>Income Statement</v>
          </cell>
          <cell r="M593">
            <v>1</v>
          </cell>
        </row>
        <row r="594">
          <cell r="A594">
            <v>440.1</v>
          </cell>
          <cell r="B594" t="str">
            <v>SALES - RURAL RESIDENTIAL</v>
          </cell>
          <cell r="C594">
            <v>-4026369.78</v>
          </cell>
          <cell r="D594">
            <v>-8153644.2599999998</v>
          </cell>
          <cell r="E594">
            <v>-4026369.78</v>
          </cell>
          <cell r="F594">
            <v>-8153644.2599999998</v>
          </cell>
          <cell r="G594" t="str">
            <v>Income</v>
          </cell>
          <cell r="H594" t="str">
            <v>Operating</v>
          </cell>
          <cell r="I594">
            <v>0</v>
          </cell>
          <cell r="K594" t="str">
            <v>Active</v>
          </cell>
          <cell r="L594" t="str">
            <v>Income Statement</v>
          </cell>
          <cell r="M594">
            <v>1</v>
          </cell>
        </row>
        <row r="595">
          <cell r="A595">
            <v>440.11</v>
          </cell>
          <cell r="B595" t="str">
            <v>RR SALES PASNY DEBIT</v>
          </cell>
          <cell r="C595">
            <v>0</v>
          </cell>
          <cell r="D595">
            <v>0</v>
          </cell>
          <cell r="E595">
            <v>0</v>
          </cell>
          <cell r="F595">
            <v>0</v>
          </cell>
          <cell r="G595" t="str">
            <v>Income</v>
          </cell>
          <cell r="H595" t="str">
            <v>Operating</v>
          </cell>
          <cell r="I595">
            <v>0</v>
          </cell>
          <cell r="K595" t="str">
            <v>Active</v>
          </cell>
          <cell r="L595" t="str">
            <v>Income Statement</v>
          </cell>
          <cell r="M595">
            <v>1</v>
          </cell>
        </row>
        <row r="596">
          <cell r="A596">
            <v>440.2</v>
          </cell>
          <cell r="B596" t="str">
            <v>SALES - RESIDENTIAL SEAS</v>
          </cell>
          <cell r="C596">
            <v>-6012.98</v>
          </cell>
          <cell r="D596">
            <v>-12048.44</v>
          </cell>
          <cell r="E596">
            <v>-6012.98</v>
          </cell>
          <cell r="F596">
            <v>-12048.44</v>
          </cell>
          <cell r="G596" t="str">
            <v>Income</v>
          </cell>
          <cell r="H596" t="str">
            <v>Operating</v>
          </cell>
          <cell r="I596">
            <v>0</v>
          </cell>
          <cell r="K596" t="str">
            <v>Active</v>
          </cell>
          <cell r="L596" t="str">
            <v>Income Statement</v>
          </cell>
          <cell r="M596">
            <v>1</v>
          </cell>
        </row>
        <row r="597">
          <cell r="A597">
            <v>442.1</v>
          </cell>
          <cell r="B597" t="str">
            <v>SALES - COMMERCIAL / GENERAL</v>
          </cell>
          <cell r="C597">
            <v>-1360333.98</v>
          </cell>
          <cell r="D597">
            <v>-2811160.27</v>
          </cell>
          <cell r="E597">
            <v>-1360333.98</v>
          </cell>
          <cell r="F597">
            <v>-2811160.27</v>
          </cell>
          <cell r="G597" t="str">
            <v>Income</v>
          </cell>
          <cell r="H597" t="str">
            <v>Operating</v>
          </cell>
          <cell r="I597">
            <v>0</v>
          </cell>
          <cell r="K597" t="str">
            <v>Active</v>
          </cell>
          <cell r="L597" t="str">
            <v>Income Statement</v>
          </cell>
          <cell r="M597">
            <v>1</v>
          </cell>
        </row>
        <row r="598">
          <cell r="A598">
            <v>442.2</v>
          </cell>
          <cell r="B598" t="str">
            <v>SALES - INDUSTRIAL</v>
          </cell>
          <cell r="C598">
            <v>-819339.26</v>
          </cell>
          <cell r="D598">
            <v>-1876316.5</v>
          </cell>
          <cell r="E598">
            <v>-819339.26</v>
          </cell>
          <cell r="F598">
            <v>-1876316.5</v>
          </cell>
          <cell r="G598" t="str">
            <v>Income</v>
          </cell>
          <cell r="H598" t="str">
            <v>Operating</v>
          </cell>
          <cell r="I598">
            <v>0</v>
          </cell>
          <cell r="K598" t="str">
            <v>Active</v>
          </cell>
          <cell r="L598" t="str">
            <v>Income Statement</v>
          </cell>
          <cell r="M598">
            <v>1</v>
          </cell>
        </row>
        <row r="599">
          <cell r="A599">
            <v>444</v>
          </cell>
          <cell r="B599" t="str">
            <v>SALES - PUBLIC STREET LIGHTING</v>
          </cell>
          <cell r="C599">
            <v>-30738.38</v>
          </cell>
          <cell r="D599">
            <v>-61327.6</v>
          </cell>
          <cell r="E599">
            <v>-30738.38</v>
          </cell>
          <cell r="F599">
            <v>-61327.6</v>
          </cell>
          <cell r="G599" t="str">
            <v>Income</v>
          </cell>
          <cell r="H599" t="str">
            <v>Operating</v>
          </cell>
          <cell r="I599">
            <v>0</v>
          </cell>
          <cell r="K599" t="str">
            <v>Active</v>
          </cell>
          <cell r="L599" t="str">
            <v>Income Statement</v>
          </cell>
          <cell r="M599">
            <v>1</v>
          </cell>
        </row>
        <row r="600">
          <cell r="A600">
            <v>445</v>
          </cell>
          <cell r="B600" t="str">
            <v>SALES -  PUBLIC BUILDINGS</v>
          </cell>
          <cell r="C600">
            <v>-206980.69</v>
          </cell>
          <cell r="D600">
            <v>-246546</v>
          </cell>
          <cell r="E600">
            <v>-206980.69</v>
          </cell>
          <cell r="F600">
            <v>-246546</v>
          </cell>
          <cell r="G600" t="str">
            <v>Income</v>
          </cell>
          <cell r="H600" t="str">
            <v>Operating</v>
          </cell>
          <cell r="I600">
            <v>0</v>
          </cell>
          <cell r="K600" t="str">
            <v>Active</v>
          </cell>
          <cell r="L600" t="str">
            <v>Income Statement</v>
          </cell>
          <cell r="M600">
            <v>1</v>
          </cell>
        </row>
        <row r="601">
          <cell r="A601">
            <v>447.2</v>
          </cell>
          <cell r="B601" t="str">
            <v>SALES FOR RESALE - OTHER</v>
          </cell>
          <cell r="C601">
            <v>-61297</v>
          </cell>
          <cell r="D601">
            <v>-554092.23</v>
          </cell>
          <cell r="E601">
            <v>-61297</v>
          </cell>
          <cell r="F601">
            <v>-554092.23</v>
          </cell>
          <cell r="G601" t="str">
            <v>Income</v>
          </cell>
          <cell r="H601" t="str">
            <v>Operating</v>
          </cell>
          <cell r="I601">
            <v>0</v>
          </cell>
          <cell r="K601" t="str">
            <v>Active</v>
          </cell>
          <cell r="L601" t="str">
            <v>Income Statement</v>
          </cell>
          <cell r="M601">
            <v>1</v>
          </cell>
        </row>
        <row r="602">
          <cell r="A602">
            <v>449.1</v>
          </cell>
          <cell r="B602" t="str">
            <v>PROVISION FOR RATE REFUNDS</v>
          </cell>
          <cell r="C602">
            <v>0</v>
          </cell>
          <cell r="D602">
            <v>0</v>
          </cell>
          <cell r="E602">
            <v>0</v>
          </cell>
          <cell r="F602">
            <v>0</v>
          </cell>
          <cell r="G602" t="str">
            <v>Income</v>
          </cell>
          <cell r="H602" t="str">
            <v>Operating</v>
          </cell>
          <cell r="I602">
            <v>0</v>
          </cell>
          <cell r="K602" t="str">
            <v>Active</v>
          </cell>
          <cell r="L602" t="str">
            <v>Income Statement</v>
          </cell>
          <cell r="M602">
            <v>1</v>
          </cell>
        </row>
        <row r="603">
          <cell r="A603">
            <v>450.1</v>
          </cell>
          <cell r="B603" t="str">
            <v>ADDITIONAL CHARGES - IOP #8</v>
          </cell>
          <cell r="C603">
            <v>0</v>
          </cell>
          <cell r="D603">
            <v>0</v>
          </cell>
          <cell r="E603">
            <v>0</v>
          </cell>
          <cell r="F603">
            <v>0</v>
          </cell>
          <cell r="G603" t="str">
            <v>Income</v>
          </cell>
          <cell r="H603" t="str">
            <v>Operating</v>
          </cell>
          <cell r="I603">
            <v>0</v>
          </cell>
          <cell r="K603" t="str">
            <v>Active</v>
          </cell>
          <cell r="L603" t="str">
            <v>Income Statement</v>
          </cell>
          <cell r="M603">
            <v>1</v>
          </cell>
        </row>
        <row r="604">
          <cell r="A604">
            <v>451</v>
          </cell>
          <cell r="B604" t="str">
            <v>MISC SERVICES REVENUES</v>
          </cell>
          <cell r="C604">
            <v>-40121.910000000003</v>
          </cell>
          <cell r="D604">
            <v>-84123.8</v>
          </cell>
          <cell r="E604">
            <v>-40121.910000000003</v>
          </cell>
          <cell r="F604">
            <v>-84123.8</v>
          </cell>
          <cell r="G604" t="str">
            <v>Income</v>
          </cell>
          <cell r="H604" t="str">
            <v>Operating</v>
          </cell>
          <cell r="I604">
            <v>0</v>
          </cell>
          <cell r="K604" t="str">
            <v>Active</v>
          </cell>
          <cell r="L604" t="str">
            <v>Income Statement</v>
          </cell>
          <cell r="M604">
            <v>1</v>
          </cell>
        </row>
        <row r="605">
          <cell r="A605">
            <v>454</v>
          </cell>
          <cell r="B605" t="str">
            <v>RENT FROM ELECTRIC PROPERTY</v>
          </cell>
          <cell r="C605">
            <v>-8979.91</v>
          </cell>
          <cell r="D605">
            <v>-19690.349999999999</v>
          </cell>
          <cell r="E605">
            <v>-8979.91</v>
          </cell>
          <cell r="F605">
            <v>-19690.349999999999</v>
          </cell>
          <cell r="G605" t="str">
            <v>Income</v>
          </cell>
          <cell r="H605" t="str">
            <v>Operating</v>
          </cell>
          <cell r="I605">
            <v>0</v>
          </cell>
          <cell r="K605" t="str">
            <v>Active</v>
          </cell>
          <cell r="L605" t="str">
            <v>Income Statement</v>
          </cell>
          <cell r="M605">
            <v>1</v>
          </cell>
        </row>
        <row r="606">
          <cell r="A606">
            <v>456</v>
          </cell>
          <cell r="B606" t="str">
            <v>OTHER ELECTRIC REVENUES</v>
          </cell>
          <cell r="C606">
            <v>-90429.64</v>
          </cell>
          <cell r="D606">
            <v>-181358.17</v>
          </cell>
          <cell r="E606">
            <v>-90429.64</v>
          </cell>
          <cell r="F606">
            <v>-181358.17</v>
          </cell>
          <cell r="G606" t="str">
            <v>Income</v>
          </cell>
          <cell r="H606" t="str">
            <v>Operating</v>
          </cell>
          <cell r="I606">
            <v>0</v>
          </cell>
          <cell r="K606" t="str">
            <v>Active</v>
          </cell>
          <cell r="L606" t="str">
            <v>Income Statement</v>
          </cell>
          <cell r="M606">
            <v>1</v>
          </cell>
        </row>
        <row r="607">
          <cell r="A607">
            <v>456.1</v>
          </cell>
          <cell r="B607" t="str">
            <v>TRANSM PSB (TAX EXEMPT)</v>
          </cell>
          <cell r="C607">
            <v>0</v>
          </cell>
          <cell r="D607">
            <v>0</v>
          </cell>
          <cell r="E607">
            <v>0</v>
          </cell>
          <cell r="F607">
            <v>0</v>
          </cell>
          <cell r="G607" t="str">
            <v>Income</v>
          </cell>
          <cell r="H607" t="str">
            <v>Operating</v>
          </cell>
          <cell r="I607">
            <v>0</v>
          </cell>
          <cell r="K607" t="str">
            <v>Active</v>
          </cell>
          <cell r="L607" t="str">
            <v>Income Statement</v>
          </cell>
          <cell r="M607">
            <v>1</v>
          </cell>
        </row>
        <row r="608">
          <cell r="A608">
            <v>456.4</v>
          </cell>
          <cell r="B608" t="str">
            <v>OTHER REVENUE - METALLIC</v>
          </cell>
          <cell r="C608">
            <v>-7550</v>
          </cell>
          <cell r="D608">
            <v>-11800</v>
          </cell>
          <cell r="E608">
            <v>-7550</v>
          </cell>
          <cell r="F608">
            <v>-11800</v>
          </cell>
          <cell r="G608" t="str">
            <v>Income</v>
          </cell>
          <cell r="H608" t="str">
            <v>Operating</v>
          </cell>
          <cell r="I608">
            <v>0</v>
          </cell>
          <cell r="K608" t="str">
            <v>Active</v>
          </cell>
          <cell r="L608" t="str">
            <v>Income Statement</v>
          </cell>
          <cell r="M608">
            <v>1</v>
          </cell>
        </row>
        <row r="609">
          <cell r="A609">
            <v>546</v>
          </cell>
          <cell r="B609" t="str">
            <v>OTHER POWER GEN-OPER SUPV/ENGR</v>
          </cell>
          <cell r="C609">
            <v>0</v>
          </cell>
          <cell r="D609">
            <v>0</v>
          </cell>
          <cell r="E609">
            <v>0</v>
          </cell>
          <cell r="F609">
            <v>0</v>
          </cell>
          <cell r="G609" t="str">
            <v>Expense</v>
          </cell>
          <cell r="H609" t="str">
            <v>Operating</v>
          </cell>
          <cell r="I609">
            <v>0</v>
          </cell>
          <cell r="K609" t="str">
            <v>Active</v>
          </cell>
          <cell r="L609" t="str">
            <v>Income Statement</v>
          </cell>
          <cell r="M609">
            <v>2</v>
          </cell>
        </row>
        <row r="610">
          <cell r="A610">
            <v>548</v>
          </cell>
          <cell r="B610" t="str">
            <v>OTHER POWER GENERATION EXP</v>
          </cell>
          <cell r="C610">
            <v>0</v>
          </cell>
          <cell r="D610">
            <v>0</v>
          </cell>
          <cell r="E610">
            <v>0</v>
          </cell>
          <cell r="F610">
            <v>0</v>
          </cell>
          <cell r="G610" t="str">
            <v>Expense</v>
          </cell>
          <cell r="H610" t="str">
            <v>Operating</v>
          </cell>
          <cell r="I610">
            <v>0</v>
          </cell>
          <cell r="K610" t="str">
            <v>Active</v>
          </cell>
          <cell r="L610" t="str">
            <v>Income Statement</v>
          </cell>
          <cell r="M610">
            <v>2</v>
          </cell>
        </row>
        <row r="611">
          <cell r="A611">
            <v>548.99</v>
          </cell>
          <cell r="B611" t="str">
            <v>OTHER POWER GEN EXP-PROP TAX</v>
          </cell>
          <cell r="C611">
            <v>0</v>
          </cell>
          <cell r="D611">
            <v>0</v>
          </cell>
          <cell r="E611">
            <v>0</v>
          </cell>
          <cell r="F611">
            <v>0</v>
          </cell>
          <cell r="G611" t="str">
            <v>Expense</v>
          </cell>
          <cell r="H611" t="str">
            <v>Operating</v>
          </cell>
          <cell r="I611">
            <v>0</v>
          </cell>
          <cell r="K611" t="str">
            <v>Active</v>
          </cell>
          <cell r="L611" t="str">
            <v>Income Statement</v>
          </cell>
          <cell r="M611">
            <v>2</v>
          </cell>
        </row>
        <row r="612">
          <cell r="A612">
            <v>549</v>
          </cell>
          <cell r="B612" t="str">
            <v>MISC OTHER POWER GENERATION EXP</v>
          </cell>
          <cell r="C612">
            <v>0</v>
          </cell>
          <cell r="D612">
            <v>0</v>
          </cell>
          <cell r="E612">
            <v>0</v>
          </cell>
          <cell r="F612">
            <v>0</v>
          </cell>
          <cell r="G612" t="str">
            <v>Expense</v>
          </cell>
          <cell r="H612" t="str">
            <v>Operating</v>
          </cell>
          <cell r="I612">
            <v>0</v>
          </cell>
          <cell r="K612" t="str">
            <v>Active</v>
          </cell>
          <cell r="L612" t="str">
            <v>Income Statement</v>
          </cell>
          <cell r="M612">
            <v>2</v>
          </cell>
        </row>
        <row r="613">
          <cell r="A613">
            <v>550</v>
          </cell>
          <cell r="B613" t="str">
            <v>OTHER POWER GENERATION-RENTS</v>
          </cell>
          <cell r="C613">
            <v>0</v>
          </cell>
          <cell r="D613">
            <v>0</v>
          </cell>
          <cell r="E613">
            <v>0</v>
          </cell>
          <cell r="F613">
            <v>0</v>
          </cell>
          <cell r="G613" t="str">
            <v>Expense</v>
          </cell>
          <cell r="H613" t="str">
            <v>Operating</v>
          </cell>
          <cell r="I613">
            <v>0</v>
          </cell>
          <cell r="K613" t="str">
            <v>Active</v>
          </cell>
          <cell r="L613" t="str">
            <v>Income Statement</v>
          </cell>
          <cell r="M613">
            <v>2</v>
          </cell>
        </row>
        <row r="614">
          <cell r="A614">
            <v>555</v>
          </cell>
          <cell r="B614" t="str">
            <v>PURCHASED POWER</v>
          </cell>
          <cell r="C614">
            <v>3339718</v>
          </cell>
          <cell r="D614">
            <v>7408522.46</v>
          </cell>
          <cell r="E614">
            <v>3339718</v>
          </cell>
          <cell r="F614">
            <v>7408522.46</v>
          </cell>
          <cell r="G614" t="str">
            <v>Expense</v>
          </cell>
          <cell r="H614" t="str">
            <v>Operating</v>
          </cell>
          <cell r="I614">
            <v>0</v>
          </cell>
          <cell r="K614" t="str">
            <v>Active</v>
          </cell>
          <cell r="L614" t="str">
            <v>Income Statement</v>
          </cell>
          <cell r="M614">
            <v>3</v>
          </cell>
        </row>
        <row r="615">
          <cell r="A615">
            <v>555.1</v>
          </cell>
          <cell r="B615" t="str">
            <v>HYDRO QUEBEC DISALLOWANCE</v>
          </cell>
          <cell r="C615">
            <v>-14861</v>
          </cell>
          <cell r="D615">
            <v>-29722</v>
          </cell>
          <cell r="E615">
            <v>-14861</v>
          </cell>
          <cell r="F615">
            <v>-29722</v>
          </cell>
          <cell r="G615" t="str">
            <v>Expense</v>
          </cell>
          <cell r="H615" t="str">
            <v>Operating</v>
          </cell>
          <cell r="I615">
            <v>0</v>
          </cell>
          <cell r="K615" t="str">
            <v>Active</v>
          </cell>
          <cell r="L615" t="str">
            <v>Income Statement</v>
          </cell>
          <cell r="M615">
            <v>3</v>
          </cell>
        </row>
        <row r="616">
          <cell r="A616">
            <v>555.20000000000005</v>
          </cell>
          <cell r="B616" t="str">
            <v>OPER SUBSIDY-PP RESERVE-CZN ACQ</v>
          </cell>
          <cell r="C616">
            <v>0</v>
          </cell>
          <cell r="D616">
            <v>0</v>
          </cell>
          <cell r="E616">
            <v>0</v>
          </cell>
          <cell r="F616">
            <v>0</v>
          </cell>
          <cell r="G616" t="str">
            <v>Expense</v>
          </cell>
          <cell r="H616" t="str">
            <v>Operating</v>
          </cell>
          <cell r="I616">
            <v>0</v>
          </cell>
          <cell r="K616" t="str">
            <v>Active</v>
          </cell>
          <cell r="L616" t="str">
            <v>Income Statement</v>
          </cell>
          <cell r="M616">
            <v>3</v>
          </cell>
        </row>
        <row r="617">
          <cell r="A617">
            <v>556</v>
          </cell>
          <cell r="B617" t="str">
            <v>LOAD DISPATCHING</v>
          </cell>
          <cell r="C617">
            <v>0</v>
          </cell>
          <cell r="D617">
            <v>0</v>
          </cell>
          <cell r="E617">
            <v>0</v>
          </cell>
          <cell r="F617">
            <v>0</v>
          </cell>
          <cell r="G617" t="str">
            <v>Expense</v>
          </cell>
          <cell r="H617" t="str">
            <v>Operating</v>
          </cell>
          <cell r="I617">
            <v>0</v>
          </cell>
          <cell r="K617" t="str">
            <v>Active</v>
          </cell>
          <cell r="L617" t="str">
            <v>Income Statement</v>
          </cell>
          <cell r="M617">
            <v>3</v>
          </cell>
        </row>
        <row r="618">
          <cell r="A618">
            <v>557</v>
          </cell>
          <cell r="B618" t="str">
            <v>OTHER EXPENSES-POWER</v>
          </cell>
          <cell r="C618">
            <v>1309.19</v>
          </cell>
          <cell r="D618">
            <v>2539.5500000000002</v>
          </cell>
          <cell r="E618">
            <v>1309.19</v>
          </cell>
          <cell r="F618">
            <v>2539.5500000000002</v>
          </cell>
          <cell r="G618" t="str">
            <v>Expense</v>
          </cell>
          <cell r="H618" t="str">
            <v>Operating</v>
          </cell>
          <cell r="I618">
            <v>0</v>
          </cell>
          <cell r="K618" t="str">
            <v>Active</v>
          </cell>
          <cell r="L618" t="str">
            <v>Income Statement</v>
          </cell>
          <cell r="M618">
            <v>3</v>
          </cell>
        </row>
        <row r="619">
          <cell r="A619">
            <v>557.01</v>
          </cell>
          <cell r="B619" t="str">
            <v>PURCHASED POWER MMWEC</v>
          </cell>
          <cell r="C619">
            <v>0</v>
          </cell>
          <cell r="D619">
            <v>0</v>
          </cell>
          <cell r="E619">
            <v>0</v>
          </cell>
          <cell r="F619">
            <v>0</v>
          </cell>
          <cell r="G619" t="str">
            <v>Expense</v>
          </cell>
          <cell r="H619" t="str">
            <v>Operating</v>
          </cell>
          <cell r="I619">
            <v>0</v>
          </cell>
          <cell r="K619" t="str">
            <v>Active</v>
          </cell>
          <cell r="L619" t="str">
            <v>Income Statement</v>
          </cell>
          <cell r="M619">
            <v>3</v>
          </cell>
        </row>
        <row r="620">
          <cell r="A620">
            <v>558</v>
          </cell>
          <cell r="B620" t="str">
            <v>PURCHASED POWER - CLEARING</v>
          </cell>
          <cell r="C620">
            <v>0</v>
          </cell>
          <cell r="D620">
            <v>0</v>
          </cell>
          <cell r="E620">
            <v>0</v>
          </cell>
          <cell r="F620">
            <v>0</v>
          </cell>
          <cell r="G620" t="str">
            <v>Expense</v>
          </cell>
          <cell r="H620" t="str">
            <v>Operating</v>
          </cell>
          <cell r="I620">
            <v>0</v>
          </cell>
          <cell r="K620" t="str">
            <v>Active</v>
          </cell>
          <cell r="L620" t="str">
            <v>Income Statement</v>
          </cell>
          <cell r="M620">
            <v>3</v>
          </cell>
        </row>
        <row r="621">
          <cell r="A621">
            <v>560</v>
          </cell>
          <cell r="B621" t="str">
            <v>TRANS SUPERVISION - OPER / ENGR</v>
          </cell>
          <cell r="C621">
            <v>11758.6</v>
          </cell>
          <cell r="D621">
            <v>20852.41</v>
          </cell>
          <cell r="E621">
            <v>11758.6</v>
          </cell>
          <cell r="F621">
            <v>20852.41</v>
          </cell>
          <cell r="G621" t="str">
            <v>Expense</v>
          </cell>
          <cell r="H621" t="str">
            <v>Operating</v>
          </cell>
          <cell r="I621">
            <v>0</v>
          </cell>
          <cell r="K621" t="str">
            <v>Active</v>
          </cell>
          <cell r="L621" t="str">
            <v>Income Statement</v>
          </cell>
          <cell r="M621">
            <v>4</v>
          </cell>
        </row>
        <row r="622">
          <cell r="A622">
            <v>560.29999999999995</v>
          </cell>
          <cell r="B622" t="str">
            <v>TRANS SPRV.-OPER/ENG BTN TAP</v>
          </cell>
          <cell r="C622">
            <v>0</v>
          </cell>
          <cell r="D622">
            <v>0</v>
          </cell>
          <cell r="E622">
            <v>0</v>
          </cell>
          <cell r="F622">
            <v>0</v>
          </cell>
          <cell r="G622" t="str">
            <v>Expense</v>
          </cell>
          <cell r="H622" t="str">
            <v>Operating</v>
          </cell>
          <cell r="I622">
            <v>0</v>
          </cell>
          <cell r="K622" t="str">
            <v>Active</v>
          </cell>
          <cell r="L622" t="str">
            <v>Income Statement</v>
          </cell>
          <cell r="M622">
            <v>4</v>
          </cell>
        </row>
        <row r="623">
          <cell r="A623">
            <v>561</v>
          </cell>
          <cell r="B623" t="str">
            <v>TRANSMISSION-LOAD DISPATCHING</v>
          </cell>
          <cell r="C623">
            <v>38874.75</v>
          </cell>
          <cell r="D623">
            <v>70917.179999999993</v>
          </cell>
          <cell r="E623">
            <v>38874.75</v>
          </cell>
          <cell r="F623">
            <v>70917.179999999993</v>
          </cell>
          <cell r="G623" t="str">
            <v>Expense</v>
          </cell>
          <cell r="H623" t="str">
            <v>Operating</v>
          </cell>
          <cell r="I623">
            <v>0</v>
          </cell>
          <cell r="K623" t="str">
            <v>Active</v>
          </cell>
          <cell r="L623" t="str">
            <v>Income Statement</v>
          </cell>
          <cell r="M623">
            <v>4</v>
          </cell>
        </row>
        <row r="624">
          <cell r="A624">
            <v>561.01</v>
          </cell>
          <cell r="B624" t="str">
            <v>TRANSMISSION-LOAD DISPATCHING-SCADA</v>
          </cell>
          <cell r="C624">
            <v>0</v>
          </cell>
          <cell r="D624">
            <v>3717.81</v>
          </cell>
          <cell r="E624">
            <v>0</v>
          </cell>
          <cell r="F624">
            <v>3717.81</v>
          </cell>
          <cell r="G624" t="str">
            <v>Expense</v>
          </cell>
          <cell r="H624" t="str">
            <v>Operating</v>
          </cell>
          <cell r="I624">
            <v>0</v>
          </cell>
          <cell r="K624" t="str">
            <v>Active</v>
          </cell>
          <cell r="L624" t="str">
            <v>Income Statement</v>
          </cell>
          <cell r="M624">
            <v>4</v>
          </cell>
        </row>
        <row r="625">
          <cell r="A625">
            <v>562</v>
          </cell>
          <cell r="B625" t="str">
            <v>TRANSMISSION SUBSTATION - OPERATION</v>
          </cell>
          <cell r="C625">
            <v>2334.23</v>
          </cell>
          <cell r="D625">
            <v>5377.36</v>
          </cell>
          <cell r="E625">
            <v>2334.23</v>
          </cell>
          <cell r="F625">
            <v>5377.36</v>
          </cell>
          <cell r="G625" t="str">
            <v>Expense</v>
          </cell>
          <cell r="H625" t="str">
            <v>Operating</v>
          </cell>
          <cell r="I625">
            <v>0</v>
          </cell>
          <cell r="K625" t="str">
            <v>Active</v>
          </cell>
          <cell r="L625" t="str">
            <v>Income Statement</v>
          </cell>
          <cell r="M625">
            <v>4</v>
          </cell>
        </row>
        <row r="626">
          <cell r="A626">
            <v>562.29999999999995</v>
          </cell>
          <cell r="B626" t="str">
            <v>TRANSM-STATION / SCADA BTN TAP</v>
          </cell>
          <cell r="C626">
            <v>0</v>
          </cell>
          <cell r="D626">
            <v>0</v>
          </cell>
          <cell r="E626">
            <v>0</v>
          </cell>
          <cell r="F626">
            <v>0</v>
          </cell>
          <cell r="G626" t="str">
            <v>Expense</v>
          </cell>
          <cell r="H626" t="str">
            <v>Operating</v>
          </cell>
          <cell r="I626">
            <v>0</v>
          </cell>
          <cell r="K626" t="str">
            <v>Active</v>
          </cell>
          <cell r="L626" t="str">
            <v>Income Statement</v>
          </cell>
          <cell r="M626">
            <v>4</v>
          </cell>
        </row>
        <row r="627">
          <cell r="A627">
            <v>563</v>
          </cell>
          <cell r="B627" t="str">
            <v>OVERHEAD LINE EXPENSE - TRANSM</v>
          </cell>
          <cell r="C627">
            <v>0</v>
          </cell>
          <cell r="D627">
            <v>90</v>
          </cell>
          <cell r="E627">
            <v>0</v>
          </cell>
          <cell r="F627">
            <v>90</v>
          </cell>
          <cell r="G627" t="str">
            <v>Expense</v>
          </cell>
          <cell r="H627" t="str">
            <v>Operating</v>
          </cell>
          <cell r="I627">
            <v>0</v>
          </cell>
          <cell r="K627" t="str">
            <v>Active</v>
          </cell>
          <cell r="L627" t="str">
            <v>Income Statement</v>
          </cell>
          <cell r="M627">
            <v>4</v>
          </cell>
        </row>
        <row r="628">
          <cell r="A628">
            <v>563.99</v>
          </cell>
          <cell r="B628" t="str">
            <v>O/H LINE EXP-TRANSM - PROP TAX</v>
          </cell>
          <cell r="C628">
            <v>17933.150000000001</v>
          </cell>
          <cell r="D628">
            <v>27975.63</v>
          </cell>
          <cell r="E628">
            <v>17933.150000000001</v>
          </cell>
          <cell r="F628">
            <v>27975.63</v>
          </cell>
          <cell r="G628" t="str">
            <v>Expense</v>
          </cell>
          <cell r="H628" t="str">
            <v>Operating</v>
          </cell>
          <cell r="I628">
            <v>0</v>
          </cell>
          <cell r="K628" t="str">
            <v>Active</v>
          </cell>
          <cell r="L628" t="str">
            <v>Income Statement</v>
          </cell>
          <cell r="M628">
            <v>4</v>
          </cell>
        </row>
        <row r="629">
          <cell r="A629">
            <v>565</v>
          </cell>
          <cell r="B629" t="str">
            <v>TRANSMISSION BY OTHERS</v>
          </cell>
          <cell r="C629">
            <v>742525</v>
          </cell>
          <cell r="D629">
            <v>1429656</v>
          </cell>
          <cell r="E629">
            <v>742525</v>
          </cell>
          <cell r="F629">
            <v>1429656</v>
          </cell>
          <cell r="G629" t="str">
            <v>Expense</v>
          </cell>
          <cell r="H629" t="str">
            <v>Operating</v>
          </cell>
          <cell r="I629">
            <v>0</v>
          </cell>
          <cell r="K629" t="str">
            <v>Active</v>
          </cell>
          <cell r="L629" t="str">
            <v>Income Statement</v>
          </cell>
          <cell r="M629">
            <v>4</v>
          </cell>
        </row>
        <row r="630">
          <cell r="A630">
            <v>565.1</v>
          </cell>
          <cell r="B630" t="str">
            <v>TRANSM. BY OTHERS-CZN TARIFF</v>
          </cell>
          <cell r="C630">
            <v>0</v>
          </cell>
          <cell r="D630">
            <v>52140</v>
          </cell>
          <cell r="E630">
            <v>0</v>
          </cell>
          <cell r="F630">
            <v>52140</v>
          </cell>
          <cell r="G630" t="str">
            <v>Expense</v>
          </cell>
          <cell r="H630" t="str">
            <v>Operating</v>
          </cell>
          <cell r="I630">
            <v>0</v>
          </cell>
          <cell r="K630" t="str">
            <v>Active</v>
          </cell>
          <cell r="L630" t="str">
            <v>Income Statement</v>
          </cell>
          <cell r="M630">
            <v>4</v>
          </cell>
        </row>
        <row r="631">
          <cell r="A631">
            <v>565.29999999999995</v>
          </cell>
          <cell r="B631" t="str">
            <v>TRANSM. BY OTHERS-HIGHGATE</v>
          </cell>
          <cell r="C631">
            <v>0</v>
          </cell>
          <cell r="D631">
            <v>380</v>
          </cell>
          <cell r="E631">
            <v>0</v>
          </cell>
          <cell r="F631">
            <v>380</v>
          </cell>
          <cell r="G631" t="str">
            <v>Expense</v>
          </cell>
          <cell r="H631" t="str">
            <v>Operating</v>
          </cell>
          <cell r="I631">
            <v>0</v>
          </cell>
          <cell r="K631" t="str">
            <v>Active</v>
          </cell>
          <cell r="L631" t="str">
            <v>Income Statement</v>
          </cell>
          <cell r="M631">
            <v>4</v>
          </cell>
        </row>
        <row r="632">
          <cell r="A632">
            <v>565.4</v>
          </cell>
          <cell r="B632" t="str">
            <v>TRANSM. BY OTHERS-METALLIC</v>
          </cell>
          <cell r="C632">
            <v>0</v>
          </cell>
          <cell r="D632">
            <v>2460</v>
          </cell>
          <cell r="E632">
            <v>0</v>
          </cell>
          <cell r="F632">
            <v>2460</v>
          </cell>
          <cell r="G632" t="str">
            <v>Expense</v>
          </cell>
          <cell r="H632" t="str">
            <v>Operating</v>
          </cell>
          <cell r="I632">
            <v>0</v>
          </cell>
          <cell r="K632" t="str">
            <v>Active</v>
          </cell>
          <cell r="L632" t="str">
            <v>Income Statement</v>
          </cell>
          <cell r="M632">
            <v>4</v>
          </cell>
        </row>
        <row r="633">
          <cell r="A633">
            <v>566</v>
          </cell>
          <cell r="B633" t="str">
            <v>MISC TRANSMISSION EXPENSE</v>
          </cell>
          <cell r="C633">
            <v>0</v>
          </cell>
          <cell r="D633">
            <v>307.77</v>
          </cell>
          <cell r="E633">
            <v>0</v>
          </cell>
          <cell r="F633">
            <v>307.77</v>
          </cell>
          <cell r="G633" t="str">
            <v>Expense</v>
          </cell>
          <cell r="H633" t="str">
            <v>Operating</v>
          </cell>
          <cell r="I633">
            <v>0</v>
          </cell>
          <cell r="K633" t="str">
            <v>Active</v>
          </cell>
          <cell r="L633" t="str">
            <v>Income Statement</v>
          </cell>
          <cell r="M633">
            <v>4</v>
          </cell>
        </row>
        <row r="634">
          <cell r="A634">
            <v>566.29999999999995</v>
          </cell>
          <cell r="B634" t="str">
            <v>MISC TRANSMISSION EXP-BTN TAP</v>
          </cell>
          <cell r="C634">
            <v>0</v>
          </cell>
          <cell r="D634">
            <v>0</v>
          </cell>
          <cell r="E634">
            <v>0</v>
          </cell>
          <cell r="F634">
            <v>0</v>
          </cell>
          <cell r="G634" t="str">
            <v>Expense</v>
          </cell>
          <cell r="H634" t="str">
            <v>Operating</v>
          </cell>
          <cell r="I634">
            <v>0</v>
          </cell>
          <cell r="K634" t="str">
            <v>Active</v>
          </cell>
          <cell r="L634" t="str">
            <v>Income Statement</v>
          </cell>
          <cell r="M634">
            <v>4</v>
          </cell>
        </row>
        <row r="635">
          <cell r="A635">
            <v>567.1</v>
          </cell>
          <cell r="B635" t="str">
            <v>TRANSMISSION EXP-RENTS-CZN TARIF</v>
          </cell>
          <cell r="C635">
            <v>0</v>
          </cell>
          <cell r="D635">
            <v>0</v>
          </cell>
          <cell r="E635">
            <v>0</v>
          </cell>
          <cell r="F635">
            <v>0</v>
          </cell>
          <cell r="G635" t="str">
            <v>Expense</v>
          </cell>
          <cell r="H635" t="str">
            <v>Operating</v>
          </cell>
          <cell r="I635">
            <v>0</v>
          </cell>
          <cell r="K635" t="str">
            <v>Active</v>
          </cell>
          <cell r="L635" t="str">
            <v>Income Statement</v>
          </cell>
          <cell r="M635">
            <v>4</v>
          </cell>
        </row>
        <row r="636">
          <cell r="A636">
            <v>568</v>
          </cell>
          <cell r="B636" t="str">
            <v>SUPV-ENGR MAINT TRANSMISSION</v>
          </cell>
          <cell r="C636">
            <v>6062.54</v>
          </cell>
          <cell r="D636">
            <v>4296.83</v>
          </cell>
          <cell r="E636">
            <v>6062.54</v>
          </cell>
          <cell r="F636">
            <v>4296.83</v>
          </cell>
          <cell r="G636" t="str">
            <v>Expense</v>
          </cell>
          <cell r="H636" t="str">
            <v>Operating</v>
          </cell>
          <cell r="I636">
            <v>0</v>
          </cell>
          <cell r="K636" t="str">
            <v>Active</v>
          </cell>
          <cell r="L636" t="str">
            <v>Income Statement</v>
          </cell>
          <cell r="M636">
            <v>4</v>
          </cell>
        </row>
        <row r="637">
          <cell r="A637">
            <v>570</v>
          </cell>
          <cell r="B637" t="str">
            <v>MAINT TRANSMISSION STATION EQUIP</v>
          </cell>
          <cell r="C637">
            <v>1901.59</v>
          </cell>
          <cell r="D637">
            <v>4401.7299999999996</v>
          </cell>
          <cell r="E637">
            <v>1901.59</v>
          </cell>
          <cell r="F637">
            <v>4401.7299999999996</v>
          </cell>
          <cell r="G637" t="str">
            <v>Expense</v>
          </cell>
          <cell r="H637" t="str">
            <v>Operating</v>
          </cell>
          <cell r="I637">
            <v>0</v>
          </cell>
          <cell r="K637" t="str">
            <v>Active</v>
          </cell>
          <cell r="L637" t="str">
            <v>Income Statement</v>
          </cell>
          <cell r="M637">
            <v>4</v>
          </cell>
        </row>
        <row r="638">
          <cell r="A638">
            <v>570.01</v>
          </cell>
          <cell r="B638" t="str">
            <v>MAINT TRANSMISSION SUBSTATION-SCADA</v>
          </cell>
          <cell r="C638">
            <v>1453.27</v>
          </cell>
          <cell r="D638">
            <v>1198.05</v>
          </cell>
          <cell r="E638">
            <v>1453.27</v>
          </cell>
          <cell r="F638">
            <v>1198.05</v>
          </cell>
          <cell r="G638" t="str">
            <v>Expense</v>
          </cell>
          <cell r="H638" t="str">
            <v>Operating</v>
          </cell>
          <cell r="I638">
            <v>0</v>
          </cell>
          <cell r="K638" t="str">
            <v>Active</v>
          </cell>
          <cell r="L638" t="str">
            <v>Income Statement</v>
          </cell>
          <cell r="M638">
            <v>4</v>
          </cell>
        </row>
        <row r="639">
          <cell r="A639">
            <v>571</v>
          </cell>
          <cell r="B639" t="str">
            <v>MAINT OVHD LINES-TRANSMISSION</v>
          </cell>
          <cell r="C639">
            <v>3646.73</v>
          </cell>
          <cell r="D639">
            <v>20218.82</v>
          </cell>
          <cell r="E639">
            <v>3646.73</v>
          </cell>
          <cell r="F639">
            <v>20218.82</v>
          </cell>
          <cell r="G639" t="str">
            <v>Expense</v>
          </cell>
          <cell r="H639" t="str">
            <v>Operating</v>
          </cell>
          <cell r="I639">
            <v>0</v>
          </cell>
          <cell r="K639" t="str">
            <v>Active</v>
          </cell>
          <cell r="L639" t="str">
            <v>Income Statement</v>
          </cell>
          <cell r="M639">
            <v>4</v>
          </cell>
        </row>
        <row r="640">
          <cell r="A640">
            <v>571.1</v>
          </cell>
          <cell r="B640" t="str">
            <v>MAINT TRANSM LINES - CZN ROW</v>
          </cell>
          <cell r="C640">
            <v>0</v>
          </cell>
          <cell r="D640">
            <v>0</v>
          </cell>
          <cell r="E640">
            <v>0</v>
          </cell>
          <cell r="F640">
            <v>0</v>
          </cell>
          <cell r="G640" t="str">
            <v>Expense</v>
          </cell>
          <cell r="H640" t="str">
            <v>Operating</v>
          </cell>
          <cell r="I640">
            <v>0</v>
          </cell>
          <cell r="K640" t="str">
            <v>Active</v>
          </cell>
          <cell r="L640" t="str">
            <v>Income Statement</v>
          </cell>
          <cell r="M640">
            <v>4</v>
          </cell>
        </row>
        <row r="641">
          <cell r="A641">
            <v>571.20000000000005</v>
          </cell>
          <cell r="B641" t="str">
            <v>MAINT TRANSM LINES - OTHER ROW</v>
          </cell>
          <cell r="C641">
            <v>816.96</v>
          </cell>
          <cell r="D641">
            <v>48512.59</v>
          </cell>
          <cell r="E641">
            <v>816.96</v>
          </cell>
          <cell r="F641">
            <v>48512.59</v>
          </cell>
          <cell r="G641" t="str">
            <v>Expense</v>
          </cell>
          <cell r="H641" t="str">
            <v>Operating</v>
          </cell>
          <cell r="I641">
            <v>0</v>
          </cell>
          <cell r="K641" t="str">
            <v>Active</v>
          </cell>
          <cell r="L641" t="str">
            <v>Income Statement</v>
          </cell>
          <cell r="M641">
            <v>4</v>
          </cell>
        </row>
        <row r="642">
          <cell r="A642">
            <v>571.29999999999995</v>
          </cell>
          <cell r="B642" t="str">
            <v>MTC TX LINES-BARTON/ORLEANS ROW</v>
          </cell>
          <cell r="C642">
            <v>0</v>
          </cell>
          <cell r="D642">
            <v>0</v>
          </cell>
          <cell r="E642">
            <v>0</v>
          </cell>
          <cell r="F642">
            <v>0</v>
          </cell>
          <cell r="G642" t="str">
            <v>Expense</v>
          </cell>
          <cell r="H642" t="str">
            <v>Operating</v>
          </cell>
          <cell r="I642">
            <v>0</v>
          </cell>
          <cell r="K642" t="str">
            <v>Active</v>
          </cell>
          <cell r="L642" t="str">
            <v>Income Statement</v>
          </cell>
          <cell r="M642">
            <v>4</v>
          </cell>
        </row>
        <row r="643">
          <cell r="A643">
            <v>580</v>
          </cell>
          <cell r="B643" t="str">
            <v>DIST SUPERVISION - OPER / ENGR</v>
          </cell>
          <cell r="C643">
            <v>18668.650000000001</v>
          </cell>
          <cell r="D643">
            <v>31388.94</v>
          </cell>
          <cell r="E643">
            <v>18668.650000000001</v>
          </cell>
          <cell r="F643">
            <v>31388.94</v>
          </cell>
          <cell r="G643" t="str">
            <v>Expense</v>
          </cell>
          <cell r="H643" t="str">
            <v>Operating</v>
          </cell>
          <cell r="I643">
            <v>0</v>
          </cell>
          <cell r="K643" t="str">
            <v>Active</v>
          </cell>
          <cell r="L643" t="str">
            <v>Income Statement</v>
          </cell>
          <cell r="M643">
            <v>6</v>
          </cell>
        </row>
        <row r="644">
          <cell r="A644">
            <v>580.1</v>
          </cell>
          <cell r="B644" t="str">
            <v>OPER &amp; ENGR-TERRITORY ANALYSIS</v>
          </cell>
          <cell r="C644">
            <v>0</v>
          </cell>
          <cell r="D644">
            <v>0</v>
          </cell>
          <cell r="E644">
            <v>0</v>
          </cell>
          <cell r="F644">
            <v>0</v>
          </cell>
          <cell r="G644" t="str">
            <v>Expense</v>
          </cell>
          <cell r="H644" t="str">
            <v>Operating</v>
          </cell>
          <cell r="I644">
            <v>0</v>
          </cell>
          <cell r="K644" t="str">
            <v>Active</v>
          </cell>
          <cell r="L644" t="str">
            <v>Income Statement</v>
          </cell>
          <cell r="M644">
            <v>6</v>
          </cell>
        </row>
        <row r="645">
          <cell r="A645">
            <v>581</v>
          </cell>
          <cell r="B645" t="str">
            <v>DISTRIBUTION-LOAD DISPATCHING</v>
          </cell>
          <cell r="C645">
            <v>33251.64</v>
          </cell>
          <cell r="D645">
            <v>61061.24</v>
          </cell>
          <cell r="E645">
            <v>33251.64</v>
          </cell>
          <cell r="F645">
            <v>61061.24</v>
          </cell>
          <cell r="G645" t="str">
            <v>Expense</v>
          </cell>
          <cell r="H645" t="str">
            <v>Operating</v>
          </cell>
          <cell r="I645">
            <v>0</v>
          </cell>
          <cell r="K645" t="str">
            <v>Active</v>
          </cell>
          <cell r="L645" t="str">
            <v>Income Statement</v>
          </cell>
          <cell r="M645">
            <v>6</v>
          </cell>
        </row>
        <row r="646">
          <cell r="A646">
            <v>581.01</v>
          </cell>
          <cell r="B646" t="str">
            <v>DISTRIBUTION-LOAD DISPATCHING-SCADA</v>
          </cell>
          <cell r="C646">
            <v>23183.27</v>
          </cell>
          <cell r="D646">
            <v>3717.81</v>
          </cell>
          <cell r="E646">
            <v>23183.27</v>
          </cell>
          <cell r="F646">
            <v>3717.81</v>
          </cell>
          <cell r="G646" t="str">
            <v>Expense</v>
          </cell>
          <cell r="H646" t="str">
            <v>Operating</v>
          </cell>
          <cell r="I646">
            <v>0</v>
          </cell>
          <cell r="K646" t="str">
            <v>Active</v>
          </cell>
          <cell r="L646" t="str">
            <v>Income Statement</v>
          </cell>
          <cell r="M646">
            <v>6</v>
          </cell>
        </row>
        <row r="647">
          <cell r="A647">
            <v>582</v>
          </cell>
          <cell r="B647" t="str">
            <v>DISTRIBUTION SUBSTATION - OPERATION</v>
          </cell>
          <cell r="C647">
            <v>37627.379999999997</v>
          </cell>
          <cell r="D647">
            <v>83609.41</v>
          </cell>
          <cell r="E647">
            <v>37627.379999999997</v>
          </cell>
          <cell r="F647">
            <v>83609.41</v>
          </cell>
          <cell r="G647" t="str">
            <v>Expense</v>
          </cell>
          <cell r="H647" t="str">
            <v>Operating</v>
          </cell>
          <cell r="I647">
            <v>0</v>
          </cell>
          <cell r="K647" t="str">
            <v>Active</v>
          </cell>
          <cell r="L647" t="str">
            <v>Income Statement</v>
          </cell>
          <cell r="M647">
            <v>6</v>
          </cell>
        </row>
        <row r="648">
          <cell r="A648">
            <v>582.1</v>
          </cell>
          <cell r="B648" t="str">
            <v>DIST-INCIDENT INVESTIGATION</v>
          </cell>
          <cell r="C648">
            <v>69.62</v>
          </cell>
          <cell r="D648">
            <v>2045.59</v>
          </cell>
          <cell r="E648">
            <v>69.62</v>
          </cell>
          <cell r="F648">
            <v>2045.59</v>
          </cell>
          <cell r="G648" t="str">
            <v>Expense</v>
          </cell>
          <cell r="H648" t="str">
            <v>Operating</v>
          </cell>
          <cell r="I648">
            <v>0</v>
          </cell>
          <cell r="K648" t="str">
            <v>Active</v>
          </cell>
          <cell r="L648" t="str">
            <v>Income Statement</v>
          </cell>
          <cell r="M648">
            <v>6</v>
          </cell>
        </row>
        <row r="649">
          <cell r="A649">
            <v>582.99</v>
          </cell>
          <cell r="B649" t="str">
            <v>STATION EXP - PROPERTY TAX</v>
          </cell>
          <cell r="C649">
            <v>18129.04</v>
          </cell>
          <cell r="D649">
            <v>36496.050000000003</v>
          </cell>
          <cell r="E649">
            <v>18129.04</v>
          </cell>
          <cell r="F649">
            <v>36496.050000000003</v>
          </cell>
          <cell r="G649" t="str">
            <v>Expense</v>
          </cell>
          <cell r="H649" t="str">
            <v>Operating</v>
          </cell>
          <cell r="I649">
            <v>0</v>
          </cell>
          <cell r="K649" t="str">
            <v>Active</v>
          </cell>
          <cell r="L649" t="str">
            <v>Income Statement</v>
          </cell>
          <cell r="M649">
            <v>6</v>
          </cell>
        </row>
        <row r="650">
          <cell r="A650">
            <v>583</v>
          </cell>
          <cell r="B650" t="str">
            <v>OVERHEAD LINE EXPENSE</v>
          </cell>
          <cell r="C650">
            <v>75643.62</v>
          </cell>
          <cell r="D650">
            <v>92009.24</v>
          </cell>
          <cell r="E650">
            <v>75643.62</v>
          </cell>
          <cell r="F650">
            <v>92009.24</v>
          </cell>
          <cell r="G650" t="str">
            <v>Expense</v>
          </cell>
          <cell r="H650" t="str">
            <v>Operating</v>
          </cell>
          <cell r="I650">
            <v>0</v>
          </cell>
          <cell r="K650" t="str">
            <v>Active</v>
          </cell>
          <cell r="L650" t="str">
            <v>Income Statement</v>
          </cell>
          <cell r="M650">
            <v>6</v>
          </cell>
        </row>
        <row r="651">
          <cell r="A651">
            <v>583.01</v>
          </cell>
          <cell r="B651" t="str">
            <v>US DOT REGULATIONS</v>
          </cell>
          <cell r="C651">
            <v>0</v>
          </cell>
          <cell r="D651">
            <v>329.67</v>
          </cell>
          <cell r="E651">
            <v>0</v>
          </cell>
          <cell r="F651">
            <v>329.67</v>
          </cell>
          <cell r="G651" t="str">
            <v>Expense</v>
          </cell>
          <cell r="H651" t="str">
            <v>Operating</v>
          </cell>
          <cell r="I651">
            <v>0</v>
          </cell>
          <cell r="K651" t="str">
            <v>Active</v>
          </cell>
          <cell r="L651" t="str">
            <v>Income Statement</v>
          </cell>
          <cell r="M651">
            <v>6</v>
          </cell>
        </row>
        <row r="652">
          <cell r="A652">
            <v>583.02</v>
          </cell>
          <cell r="B652" t="str">
            <v>US DOT REGULATIONS-HR RESEARCH</v>
          </cell>
          <cell r="C652">
            <v>145</v>
          </cell>
          <cell r="D652">
            <v>1380</v>
          </cell>
          <cell r="E652">
            <v>145</v>
          </cell>
          <cell r="F652">
            <v>1380</v>
          </cell>
          <cell r="G652" t="str">
            <v>Expense</v>
          </cell>
          <cell r="H652" t="str">
            <v>Operating</v>
          </cell>
          <cell r="I652">
            <v>0</v>
          </cell>
          <cell r="K652" t="str">
            <v>Active</v>
          </cell>
          <cell r="L652" t="str">
            <v>Income Statement</v>
          </cell>
          <cell r="M652">
            <v>6</v>
          </cell>
        </row>
        <row r="653">
          <cell r="A653">
            <v>583.99</v>
          </cell>
          <cell r="B653" t="str">
            <v>O/H LINE EXPENSE - PROPERTY TAX</v>
          </cell>
          <cell r="C653">
            <v>148817.1</v>
          </cell>
          <cell r="D653">
            <v>309620.36</v>
          </cell>
          <cell r="E653">
            <v>148817.1</v>
          </cell>
          <cell r="F653">
            <v>309620.36</v>
          </cell>
          <cell r="G653" t="str">
            <v>Expense</v>
          </cell>
          <cell r="H653" t="str">
            <v>Operating</v>
          </cell>
          <cell r="I653">
            <v>0</v>
          </cell>
          <cell r="K653" t="str">
            <v>Active</v>
          </cell>
          <cell r="L653" t="str">
            <v>Income Statement</v>
          </cell>
          <cell r="M653">
            <v>6</v>
          </cell>
        </row>
        <row r="654">
          <cell r="A654">
            <v>584</v>
          </cell>
          <cell r="B654" t="str">
            <v>UNDERGROUND LINE EXPENSE</v>
          </cell>
          <cell r="C654">
            <v>-3335.68</v>
          </cell>
          <cell r="D654">
            <v>-6731.21</v>
          </cell>
          <cell r="E654">
            <v>-3335.68</v>
          </cell>
          <cell r="F654">
            <v>-6731.21</v>
          </cell>
          <cell r="G654" t="str">
            <v>Expense</v>
          </cell>
          <cell r="H654" t="str">
            <v>Operating</v>
          </cell>
          <cell r="I654">
            <v>0</v>
          </cell>
          <cell r="K654" t="str">
            <v>Active</v>
          </cell>
          <cell r="L654" t="str">
            <v>Income Statement</v>
          </cell>
          <cell r="M654">
            <v>6</v>
          </cell>
        </row>
        <row r="655">
          <cell r="A655">
            <v>584.01</v>
          </cell>
          <cell r="B655" t="str">
            <v>UNDERGROUND LINE EXP - DIG SAF</v>
          </cell>
          <cell r="C655">
            <v>3760.62</v>
          </cell>
          <cell r="D655">
            <v>12075.57</v>
          </cell>
          <cell r="E655">
            <v>3760.62</v>
          </cell>
          <cell r="F655">
            <v>12075.57</v>
          </cell>
          <cell r="G655" t="str">
            <v>Expense</v>
          </cell>
          <cell r="H655" t="str">
            <v>Operating</v>
          </cell>
          <cell r="I655">
            <v>0</v>
          </cell>
          <cell r="K655" t="str">
            <v>Active</v>
          </cell>
          <cell r="L655" t="str">
            <v>Income Statement</v>
          </cell>
          <cell r="M655">
            <v>6</v>
          </cell>
        </row>
        <row r="656">
          <cell r="A656">
            <v>586</v>
          </cell>
          <cell r="B656" t="str">
            <v>METER EXPENSES</v>
          </cell>
          <cell r="C656">
            <v>36928.5</v>
          </cell>
          <cell r="D656">
            <v>71628.88</v>
          </cell>
          <cell r="E656">
            <v>36928.5</v>
          </cell>
          <cell r="F656">
            <v>71628.88</v>
          </cell>
          <cell r="G656" t="str">
            <v>Expense</v>
          </cell>
          <cell r="H656" t="str">
            <v>Operating</v>
          </cell>
          <cell r="I656">
            <v>0</v>
          </cell>
          <cell r="K656" t="str">
            <v>Active</v>
          </cell>
          <cell r="L656" t="str">
            <v>Income Statement</v>
          </cell>
          <cell r="M656">
            <v>6</v>
          </cell>
        </row>
        <row r="657">
          <cell r="A657">
            <v>586.1</v>
          </cell>
          <cell r="B657" t="str">
            <v>STOREAGE HEAT TESTS</v>
          </cell>
          <cell r="C657">
            <v>0</v>
          </cell>
          <cell r="D657">
            <v>0</v>
          </cell>
          <cell r="E657">
            <v>0</v>
          </cell>
          <cell r="F657">
            <v>0</v>
          </cell>
          <cell r="G657" t="str">
            <v>Expense</v>
          </cell>
          <cell r="H657" t="str">
            <v>Operating</v>
          </cell>
          <cell r="I657">
            <v>0</v>
          </cell>
          <cell r="K657" t="str">
            <v>Active</v>
          </cell>
          <cell r="L657" t="str">
            <v>Income Statement</v>
          </cell>
          <cell r="M657">
            <v>6</v>
          </cell>
        </row>
        <row r="658">
          <cell r="A658">
            <v>586.20000000000005</v>
          </cell>
          <cell r="B658" t="str">
            <v>AMI OPERATIONS &amp; MTCE</v>
          </cell>
          <cell r="C658">
            <v>51897.43</v>
          </cell>
          <cell r="D658">
            <v>104159.92</v>
          </cell>
          <cell r="E658">
            <v>51897.43</v>
          </cell>
          <cell r="F658">
            <v>104159.92</v>
          </cell>
          <cell r="G658" t="str">
            <v>Expense</v>
          </cell>
          <cell r="H658" t="str">
            <v>Operating</v>
          </cell>
          <cell r="I658">
            <v>0</v>
          </cell>
          <cell r="K658" t="str">
            <v>Active</v>
          </cell>
          <cell r="L658" t="str">
            <v>Income Statement</v>
          </cell>
          <cell r="M658">
            <v>6</v>
          </cell>
        </row>
        <row r="659">
          <cell r="A659">
            <v>586.99</v>
          </cell>
          <cell r="B659" t="str">
            <v>METER EXPENSE - PROPERTY TAX</v>
          </cell>
          <cell r="C659">
            <v>2692.34</v>
          </cell>
          <cell r="D659">
            <v>4517.9399999999996</v>
          </cell>
          <cell r="E659">
            <v>2692.34</v>
          </cell>
          <cell r="F659">
            <v>4517.9399999999996</v>
          </cell>
          <cell r="G659" t="str">
            <v>Expense</v>
          </cell>
          <cell r="H659" t="str">
            <v>Operating</v>
          </cell>
          <cell r="I659">
            <v>0</v>
          </cell>
          <cell r="K659" t="str">
            <v>Active</v>
          </cell>
          <cell r="L659" t="str">
            <v>Income Statement</v>
          </cell>
          <cell r="M659">
            <v>6</v>
          </cell>
        </row>
        <row r="660">
          <cell r="A660">
            <v>587</v>
          </cell>
          <cell r="B660" t="str">
            <v>CUSTOMER INSTALLATIONS EXPENSE</v>
          </cell>
          <cell r="C660">
            <v>599.66999999999996</v>
          </cell>
          <cell r="D660">
            <v>-809</v>
          </cell>
          <cell r="E660">
            <v>599.66999999999996</v>
          </cell>
          <cell r="F660">
            <v>-809</v>
          </cell>
          <cell r="G660" t="str">
            <v>Expense</v>
          </cell>
          <cell r="H660" t="str">
            <v>Operating</v>
          </cell>
          <cell r="I660">
            <v>0</v>
          </cell>
          <cell r="K660" t="str">
            <v>Active</v>
          </cell>
          <cell r="L660" t="str">
            <v>Income Statement</v>
          </cell>
          <cell r="M660">
            <v>6</v>
          </cell>
        </row>
        <row r="661">
          <cell r="A661">
            <v>587.1</v>
          </cell>
          <cell r="B661" t="str">
            <v>CUST INST EXPENSE - CLOCKS</v>
          </cell>
          <cell r="C661">
            <v>0</v>
          </cell>
          <cell r="D661">
            <v>0</v>
          </cell>
          <cell r="E661">
            <v>0</v>
          </cell>
          <cell r="F661">
            <v>0</v>
          </cell>
          <cell r="G661" t="str">
            <v>Expense</v>
          </cell>
          <cell r="H661" t="str">
            <v>Operating</v>
          </cell>
          <cell r="I661">
            <v>0</v>
          </cell>
          <cell r="K661" t="str">
            <v>Active</v>
          </cell>
          <cell r="L661" t="str">
            <v>Income Statement</v>
          </cell>
          <cell r="M661">
            <v>6</v>
          </cell>
        </row>
        <row r="662">
          <cell r="A662">
            <v>587.20000000000005</v>
          </cell>
          <cell r="B662" t="str">
            <v>CUST INST EXPENSE - RADIO CONT</v>
          </cell>
          <cell r="C662">
            <v>0</v>
          </cell>
          <cell r="D662">
            <v>0</v>
          </cell>
          <cell r="E662">
            <v>0</v>
          </cell>
          <cell r="F662">
            <v>0</v>
          </cell>
          <cell r="G662" t="str">
            <v>Expense</v>
          </cell>
          <cell r="H662" t="str">
            <v>Operating</v>
          </cell>
          <cell r="I662">
            <v>0</v>
          </cell>
          <cell r="K662" t="str">
            <v>Active</v>
          </cell>
          <cell r="L662" t="str">
            <v>Income Statement</v>
          </cell>
          <cell r="M662">
            <v>6</v>
          </cell>
        </row>
        <row r="663">
          <cell r="A663">
            <v>587.29999999999995</v>
          </cell>
          <cell r="B663" t="str">
            <v>CUST INST EXPENSE - TRNS SWT</v>
          </cell>
          <cell r="C663">
            <v>0</v>
          </cell>
          <cell r="D663">
            <v>0</v>
          </cell>
          <cell r="E663">
            <v>0</v>
          </cell>
          <cell r="F663">
            <v>0</v>
          </cell>
          <cell r="G663" t="str">
            <v>Expense</v>
          </cell>
          <cell r="H663" t="str">
            <v>Operating</v>
          </cell>
          <cell r="I663">
            <v>0</v>
          </cell>
          <cell r="K663" t="str">
            <v>Active</v>
          </cell>
          <cell r="L663" t="str">
            <v>Income Statement</v>
          </cell>
          <cell r="M663">
            <v>6</v>
          </cell>
        </row>
        <row r="664">
          <cell r="A664">
            <v>587.70000000000005</v>
          </cell>
          <cell r="B664" t="str">
            <v>CUSTOMER BILLABLE SERVICES</v>
          </cell>
          <cell r="C664">
            <v>951.79</v>
          </cell>
          <cell r="D664">
            <v>1057.94</v>
          </cell>
          <cell r="E664">
            <v>951.79</v>
          </cell>
          <cell r="F664">
            <v>1057.94</v>
          </cell>
          <cell r="G664" t="str">
            <v>Expense</v>
          </cell>
          <cell r="H664" t="str">
            <v>Operating</v>
          </cell>
          <cell r="I664">
            <v>0</v>
          </cell>
          <cell r="K664" t="str">
            <v>Active</v>
          </cell>
          <cell r="L664" t="str">
            <v>Income Statement</v>
          </cell>
          <cell r="M664">
            <v>6</v>
          </cell>
        </row>
        <row r="665">
          <cell r="A665">
            <v>588</v>
          </cell>
          <cell r="B665" t="str">
            <v>MISC DISTRIBUTION EXP</v>
          </cell>
          <cell r="C665">
            <v>797.83</v>
          </cell>
          <cell r="D665">
            <v>5309.41</v>
          </cell>
          <cell r="E665">
            <v>797.83</v>
          </cell>
          <cell r="F665">
            <v>5309.41</v>
          </cell>
          <cell r="G665" t="str">
            <v>Expense</v>
          </cell>
          <cell r="H665" t="str">
            <v>Operating</v>
          </cell>
          <cell r="I665">
            <v>0</v>
          </cell>
          <cell r="K665" t="str">
            <v>Active</v>
          </cell>
          <cell r="L665" t="str">
            <v>Income Statement</v>
          </cell>
          <cell r="M665">
            <v>6</v>
          </cell>
        </row>
        <row r="666">
          <cell r="A666">
            <v>588.1</v>
          </cell>
          <cell r="B666" t="str">
            <v>MISC DIST EXP - MAPPING</v>
          </cell>
          <cell r="C666">
            <v>5263.47</v>
          </cell>
          <cell r="D666">
            <v>16435.240000000002</v>
          </cell>
          <cell r="E666">
            <v>5263.47</v>
          </cell>
          <cell r="F666">
            <v>16435.240000000002</v>
          </cell>
          <cell r="G666" t="str">
            <v>Expense</v>
          </cell>
          <cell r="H666" t="str">
            <v>Operating</v>
          </cell>
          <cell r="I666">
            <v>0</v>
          </cell>
          <cell r="K666" t="str">
            <v>Active</v>
          </cell>
          <cell r="L666" t="str">
            <v>Income Statement</v>
          </cell>
          <cell r="M666">
            <v>6</v>
          </cell>
        </row>
        <row r="667">
          <cell r="A667">
            <v>588.20000000000005</v>
          </cell>
          <cell r="B667" t="str">
            <v>MISC DIST EXP - TERR DISP</v>
          </cell>
          <cell r="C667">
            <v>0</v>
          </cell>
          <cell r="D667">
            <v>0</v>
          </cell>
          <cell r="E667">
            <v>0</v>
          </cell>
          <cell r="F667">
            <v>0</v>
          </cell>
          <cell r="G667" t="str">
            <v>Expense</v>
          </cell>
          <cell r="H667" t="str">
            <v>Operating</v>
          </cell>
          <cell r="I667">
            <v>0</v>
          </cell>
          <cell r="K667" t="str">
            <v>Active</v>
          </cell>
          <cell r="L667" t="str">
            <v>Income Statement</v>
          </cell>
          <cell r="M667">
            <v>6</v>
          </cell>
        </row>
        <row r="668">
          <cell r="A668">
            <v>588.5</v>
          </cell>
          <cell r="B668" t="str">
            <v>SNOW PLOWING-IN HOUSE (SUBSTATIONS)</v>
          </cell>
          <cell r="C668">
            <v>2244.81</v>
          </cell>
          <cell r="D668">
            <v>3232.11</v>
          </cell>
          <cell r="E668">
            <v>2244.81</v>
          </cell>
          <cell r="F668">
            <v>3232.11</v>
          </cell>
          <cell r="G668" t="str">
            <v>Expense</v>
          </cell>
          <cell r="H668" t="str">
            <v>Operating</v>
          </cell>
          <cell r="I668">
            <v>0</v>
          </cell>
          <cell r="K668" t="str">
            <v>Active</v>
          </cell>
          <cell r="L668" t="str">
            <v>Income Statement</v>
          </cell>
          <cell r="M668">
            <v>6</v>
          </cell>
        </row>
        <row r="669">
          <cell r="A669">
            <v>588.6</v>
          </cell>
          <cell r="B669" t="str">
            <v>MISC DIST EXP - POLE ATTACHMEN</v>
          </cell>
          <cell r="C669">
            <v>1753.19</v>
          </cell>
          <cell r="D669">
            <v>-11.45</v>
          </cell>
          <cell r="E669">
            <v>1753.19</v>
          </cell>
          <cell r="F669">
            <v>-11.45</v>
          </cell>
          <cell r="G669" t="str">
            <v>Expense</v>
          </cell>
          <cell r="H669" t="str">
            <v>Operating</v>
          </cell>
          <cell r="I669">
            <v>0</v>
          </cell>
          <cell r="K669" t="str">
            <v>Active</v>
          </cell>
          <cell r="L669" t="str">
            <v>Income Statement</v>
          </cell>
          <cell r="M669">
            <v>6</v>
          </cell>
        </row>
        <row r="670">
          <cell r="A670">
            <v>588.61</v>
          </cell>
          <cell r="B670" t="str">
            <v>MISC DIST EXP - J.O. VERIZON</v>
          </cell>
          <cell r="C670">
            <v>1502.26</v>
          </cell>
          <cell r="D670">
            <v>3609.68</v>
          </cell>
          <cell r="E670">
            <v>1502.26</v>
          </cell>
          <cell r="F670">
            <v>3609.68</v>
          </cell>
          <cell r="G670" t="str">
            <v>Expense</v>
          </cell>
          <cell r="H670" t="str">
            <v>Operating</v>
          </cell>
          <cell r="I670">
            <v>0</v>
          </cell>
          <cell r="K670" t="str">
            <v>Active</v>
          </cell>
          <cell r="L670" t="str">
            <v>Income Statement</v>
          </cell>
          <cell r="M670">
            <v>6</v>
          </cell>
        </row>
        <row r="671">
          <cell r="A671">
            <v>588.62</v>
          </cell>
          <cell r="B671" t="str">
            <v>MAKE READY WORK FIBER BUILD</v>
          </cell>
          <cell r="C671">
            <v>0</v>
          </cell>
          <cell r="D671">
            <v>0</v>
          </cell>
          <cell r="E671">
            <v>0</v>
          </cell>
          <cell r="F671">
            <v>0</v>
          </cell>
          <cell r="G671" t="str">
            <v>Expense</v>
          </cell>
          <cell r="H671" t="str">
            <v>Operating</v>
          </cell>
          <cell r="I671">
            <v>0</v>
          </cell>
          <cell r="K671" t="str">
            <v>Active</v>
          </cell>
          <cell r="L671" t="str">
            <v>Income Statement</v>
          </cell>
          <cell r="M671">
            <v>6</v>
          </cell>
        </row>
        <row r="672">
          <cell r="A672">
            <v>588.63</v>
          </cell>
          <cell r="B672" t="str">
            <v>MISC DIST EXP-FIBER TRANSFERS</v>
          </cell>
          <cell r="C672">
            <v>0</v>
          </cell>
          <cell r="D672">
            <v>46.2</v>
          </cell>
          <cell r="E672">
            <v>0</v>
          </cell>
          <cell r="F672">
            <v>46.2</v>
          </cell>
          <cell r="G672" t="str">
            <v>Expense</v>
          </cell>
          <cell r="H672" t="str">
            <v>Operating</v>
          </cell>
          <cell r="I672">
            <v>0</v>
          </cell>
          <cell r="K672" t="str">
            <v>Active</v>
          </cell>
          <cell r="L672" t="str">
            <v>Income Statement</v>
          </cell>
          <cell r="M672">
            <v>6</v>
          </cell>
        </row>
        <row r="673">
          <cell r="A673">
            <v>588.70000000000005</v>
          </cell>
          <cell r="B673" t="str">
            <v>PCB, TEST, STORAGE &amp; DISPOSAL</v>
          </cell>
          <cell r="C673">
            <v>8077.48</v>
          </cell>
          <cell r="D673">
            <v>4203.87</v>
          </cell>
          <cell r="E673">
            <v>8077.48</v>
          </cell>
          <cell r="F673">
            <v>4203.87</v>
          </cell>
          <cell r="G673" t="str">
            <v>Expense</v>
          </cell>
          <cell r="H673" t="str">
            <v>Operating</v>
          </cell>
          <cell r="I673">
            <v>0</v>
          </cell>
          <cell r="K673" t="str">
            <v>Active</v>
          </cell>
          <cell r="L673" t="str">
            <v>Income Statement</v>
          </cell>
          <cell r="M673">
            <v>6</v>
          </cell>
        </row>
        <row r="674">
          <cell r="A674">
            <v>588.79999999999995</v>
          </cell>
          <cell r="B674" t="str">
            <v>POLE NUMBERING - SOUTH</v>
          </cell>
          <cell r="C674">
            <v>0</v>
          </cell>
          <cell r="D674">
            <v>0</v>
          </cell>
          <cell r="E674">
            <v>0</v>
          </cell>
          <cell r="F674">
            <v>0</v>
          </cell>
          <cell r="G674" t="str">
            <v>Expense</v>
          </cell>
          <cell r="H674" t="str">
            <v>Operating</v>
          </cell>
          <cell r="I674">
            <v>0</v>
          </cell>
          <cell r="K674" t="str">
            <v>Inactive</v>
          </cell>
          <cell r="L674" t="str">
            <v>Income Statement</v>
          </cell>
          <cell r="M674">
            <v>6</v>
          </cell>
        </row>
        <row r="675">
          <cell r="A675">
            <v>589</v>
          </cell>
          <cell r="B675" t="str">
            <v>RENTS</v>
          </cell>
          <cell r="C675">
            <v>649.54</v>
          </cell>
          <cell r="D675">
            <v>1700</v>
          </cell>
          <cell r="E675">
            <v>649.54</v>
          </cell>
          <cell r="F675">
            <v>1700</v>
          </cell>
          <cell r="G675" t="str">
            <v>Expense</v>
          </cell>
          <cell r="H675" t="str">
            <v>Operating</v>
          </cell>
          <cell r="I675">
            <v>0</v>
          </cell>
          <cell r="K675" t="str">
            <v>Active</v>
          </cell>
          <cell r="L675" t="str">
            <v>Income Statement</v>
          </cell>
          <cell r="M675">
            <v>6</v>
          </cell>
        </row>
        <row r="676">
          <cell r="A676">
            <v>590</v>
          </cell>
          <cell r="B676" t="str">
            <v>SUPV-ENGR MAINT DISTRIBUTION</v>
          </cell>
          <cell r="C676">
            <v>12502.28</v>
          </cell>
          <cell r="D676">
            <v>31544.93</v>
          </cell>
          <cell r="E676">
            <v>12502.28</v>
          </cell>
          <cell r="F676">
            <v>31544.93</v>
          </cell>
          <cell r="G676" t="str">
            <v>Expense</v>
          </cell>
          <cell r="H676" t="str">
            <v>Operating</v>
          </cell>
          <cell r="I676">
            <v>0</v>
          </cell>
          <cell r="K676" t="str">
            <v>Active</v>
          </cell>
          <cell r="L676" t="str">
            <v>Income Statement</v>
          </cell>
          <cell r="M676">
            <v>7</v>
          </cell>
        </row>
        <row r="677">
          <cell r="A677">
            <v>592</v>
          </cell>
          <cell r="B677" t="str">
            <v>MAINT DISTRIBUTION STATION EQUIP</v>
          </cell>
          <cell r="C677">
            <v>4698.21</v>
          </cell>
          <cell r="D677">
            <v>31861.23</v>
          </cell>
          <cell r="E677">
            <v>4698.21</v>
          </cell>
          <cell r="F677">
            <v>31861.23</v>
          </cell>
          <cell r="G677" t="str">
            <v>Expense</v>
          </cell>
          <cell r="H677" t="str">
            <v>Operating</v>
          </cell>
          <cell r="I677">
            <v>0</v>
          </cell>
          <cell r="K677" t="str">
            <v>Active</v>
          </cell>
          <cell r="L677" t="str">
            <v>Income Statement</v>
          </cell>
          <cell r="M677">
            <v>7</v>
          </cell>
        </row>
        <row r="678">
          <cell r="A678">
            <v>592.01</v>
          </cell>
          <cell r="B678" t="str">
            <v>MAINT DISTRIBUTION SUBSTATION-SCADA</v>
          </cell>
          <cell r="C678">
            <v>1453.13</v>
          </cell>
          <cell r="D678">
            <v>1198.05</v>
          </cell>
          <cell r="E678">
            <v>1453.13</v>
          </cell>
          <cell r="F678">
            <v>1198.05</v>
          </cell>
          <cell r="G678" t="str">
            <v>Expense</v>
          </cell>
          <cell r="H678" t="str">
            <v>Operating</v>
          </cell>
          <cell r="I678">
            <v>0</v>
          </cell>
          <cell r="K678" t="str">
            <v>Active</v>
          </cell>
          <cell r="L678" t="str">
            <v>Income Statement</v>
          </cell>
          <cell r="M678">
            <v>7</v>
          </cell>
        </row>
        <row r="679">
          <cell r="A679">
            <v>592.20000000000005</v>
          </cell>
          <cell r="B679" t="str">
            <v>MAINT - AMI SUBSTATION MAINTENANCE</v>
          </cell>
          <cell r="C679">
            <v>1230.6199999999999</v>
          </cell>
          <cell r="D679">
            <v>1.97</v>
          </cell>
          <cell r="E679">
            <v>1230.6199999999999</v>
          </cell>
          <cell r="F679">
            <v>1.97</v>
          </cell>
          <cell r="G679" t="str">
            <v>Expense</v>
          </cell>
          <cell r="H679" t="str">
            <v>Operating</v>
          </cell>
          <cell r="I679">
            <v>0</v>
          </cell>
          <cell r="K679" t="str">
            <v>Active</v>
          </cell>
          <cell r="L679" t="str">
            <v>Income Statement</v>
          </cell>
          <cell r="M679">
            <v>7</v>
          </cell>
        </row>
        <row r="680">
          <cell r="A680">
            <v>593</v>
          </cell>
          <cell r="B680" t="str">
            <v>MAINT OVERHEAD LINES</v>
          </cell>
          <cell r="C680">
            <v>194772.92</v>
          </cell>
          <cell r="D680">
            <v>430291.82</v>
          </cell>
          <cell r="E680">
            <v>194772.92</v>
          </cell>
          <cell r="F680">
            <v>430291.82</v>
          </cell>
          <cell r="G680" t="str">
            <v>Expense</v>
          </cell>
          <cell r="H680" t="str">
            <v>Operating</v>
          </cell>
          <cell r="I680">
            <v>0</v>
          </cell>
          <cell r="K680" t="str">
            <v>Active</v>
          </cell>
          <cell r="L680" t="str">
            <v>Income Statement</v>
          </cell>
          <cell r="M680">
            <v>7</v>
          </cell>
        </row>
        <row r="681">
          <cell r="A681">
            <v>593.1</v>
          </cell>
          <cell r="B681" t="str">
            <v>MAINT OVERHEAD LINES ROW</v>
          </cell>
          <cell r="C681">
            <v>151564.29</v>
          </cell>
          <cell r="D681">
            <v>152268.74</v>
          </cell>
          <cell r="E681">
            <v>151564.29</v>
          </cell>
          <cell r="F681">
            <v>152268.74</v>
          </cell>
          <cell r="G681" t="str">
            <v>Expense</v>
          </cell>
          <cell r="H681" t="str">
            <v>Operating</v>
          </cell>
          <cell r="I681">
            <v>0</v>
          </cell>
          <cell r="K681" t="str">
            <v>Active</v>
          </cell>
          <cell r="L681" t="str">
            <v>Income Statement</v>
          </cell>
          <cell r="M681">
            <v>7</v>
          </cell>
        </row>
        <row r="682">
          <cell r="A682">
            <v>593.11</v>
          </cell>
          <cell r="B682" t="str">
            <v>VEGETATIVE MTCE DANGER TREE REM.</v>
          </cell>
          <cell r="C682">
            <v>21378.04</v>
          </cell>
          <cell r="D682">
            <v>53291.25</v>
          </cell>
          <cell r="E682">
            <v>21378.04</v>
          </cell>
          <cell r="F682">
            <v>53291.25</v>
          </cell>
          <cell r="G682" t="str">
            <v>Expense</v>
          </cell>
          <cell r="H682" t="str">
            <v>Operating</v>
          </cell>
          <cell r="I682">
            <v>0</v>
          </cell>
          <cell r="K682" t="str">
            <v>Active</v>
          </cell>
          <cell r="L682" t="str">
            <v>Income Statement</v>
          </cell>
          <cell r="M682">
            <v>7</v>
          </cell>
        </row>
        <row r="683">
          <cell r="A683">
            <v>593.12</v>
          </cell>
          <cell r="B683" t="str">
            <v>MAINT LINES ROW - BILLING</v>
          </cell>
          <cell r="C683">
            <v>-24622.94</v>
          </cell>
          <cell r="D683">
            <v>0</v>
          </cell>
          <cell r="E683">
            <v>-24622.94</v>
          </cell>
          <cell r="F683">
            <v>0</v>
          </cell>
          <cell r="G683" t="str">
            <v>Expense</v>
          </cell>
          <cell r="H683" t="str">
            <v>Operating</v>
          </cell>
          <cell r="I683">
            <v>0</v>
          </cell>
          <cell r="K683" t="str">
            <v>Active</v>
          </cell>
          <cell r="L683" t="str">
            <v>Income Statement</v>
          </cell>
          <cell r="M683">
            <v>7</v>
          </cell>
        </row>
        <row r="684">
          <cell r="A684">
            <v>593.13</v>
          </cell>
          <cell r="B684" t="str">
            <v>MAINT OF LINES ROW FORCE SOUTH</v>
          </cell>
          <cell r="C684">
            <v>0</v>
          </cell>
          <cell r="D684">
            <v>0</v>
          </cell>
          <cell r="E684">
            <v>0</v>
          </cell>
          <cell r="F684">
            <v>0</v>
          </cell>
          <cell r="G684" t="str">
            <v>Expense</v>
          </cell>
          <cell r="H684" t="str">
            <v>Operating</v>
          </cell>
          <cell r="I684">
            <v>0</v>
          </cell>
          <cell r="K684" t="str">
            <v>Inactive</v>
          </cell>
          <cell r="L684" t="str">
            <v>Income Statement</v>
          </cell>
          <cell r="M684">
            <v>7</v>
          </cell>
        </row>
        <row r="685">
          <cell r="A685">
            <v>593.20000000000005</v>
          </cell>
          <cell r="B685" t="str">
            <v>MAINT MAJOR STORMS NORTH</v>
          </cell>
          <cell r="C685">
            <v>0</v>
          </cell>
          <cell r="D685">
            <v>184233.76</v>
          </cell>
          <cell r="E685">
            <v>0</v>
          </cell>
          <cell r="F685">
            <v>184233.76</v>
          </cell>
          <cell r="G685" t="str">
            <v>Expense</v>
          </cell>
          <cell r="H685" t="str">
            <v>Operating</v>
          </cell>
          <cell r="I685">
            <v>0</v>
          </cell>
          <cell r="K685" t="str">
            <v>Active</v>
          </cell>
          <cell r="L685" t="str">
            <v>Income Statement</v>
          </cell>
          <cell r="M685">
            <v>7</v>
          </cell>
        </row>
        <row r="686">
          <cell r="A686">
            <v>593.21</v>
          </cell>
          <cell r="B686" t="str">
            <v>MAINT-2011 SPRING FLOODING (D/C &amp; R/C)</v>
          </cell>
          <cell r="C686">
            <v>0</v>
          </cell>
          <cell r="D686">
            <v>1623.47</v>
          </cell>
          <cell r="E686">
            <v>0</v>
          </cell>
          <cell r="F686">
            <v>1623.47</v>
          </cell>
          <cell r="G686" t="str">
            <v>Expense</v>
          </cell>
          <cell r="H686" t="str">
            <v>Operating</v>
          </cell>
          <cell r="I686">
            <v>0</v>
          </cell>
          <cell r="K686" t="str">
            <v>Active</v>
          </cell>
          <cell r="L686" t="str">
            <v>Income Statement</v>
          </cell>
          <cell r="M686">
            <v>7</v>
          </cell>
        </row>
        <row r="687">
          <cell r="A687">
            <v>593.29999999999995</v>
          </cell>
          <cell r="B687" t="str">
            <v>MAINTENANCE - STORM MUTUAL AID</v>
          </cell>
          <cell r="C687">
            <v>0</v>
          </cell>
          <cell r="D687">
            <v>0</v>
          </cell>
          <cell r="E687">
            <v>0</v>
          </cell>
          <cell r="F687">
            <v>0</v>
          </cell>
          <cell r="G687" t="str">
            <v>Expense</v>
          </cell>
          <cell r="H687" t="str">
            <v>Operating</v>
          </cell>
          <cell r="I687">
            <v>0</v>
          </cell>
          <cell r="K687" t="str">
            <v>Active</v>
          </cell>
          <cell r="L687" t="str">
            <v>Income Statement</v>
          </cell>
          <cell r="M687">
            <v>7</v>
          </cell>
        </row>
        <row r="688">
          <cell r="A688">
            <v>593.88</v>
          </cell>
          <cell r="B688" t="str">
            <v>MAINT TRANSFORMER NUMBERING</v>
          </cell>
          <cell r="C688">
            <v>0</v>
          </cell>
          <cell r="D688">
            <v>-0.99</v>
          </cell>
          <cell r="E688">
            <v>0</v>
          </cell>
          <cell r="F688">
            <v>-0.99</v>
          </cell>
          <cell r="G688" t="str">
            <v>Expense</v>
          </cell>
          <cell r="H688" t="str">
            <v>Operating</v>
          </cell>
          <cell r="I688">
            <v>0</v>
          </cell>
          <cell r="K688" t="str">
            <v>Active</v>
          </cell>
          <cell r="L688" t="str">
            <v>Income Statement</v>
          </cell>
          <cell r="M688">
            <v>7</v>
          </cell>
        </row>
        <row r="689">
          <cell r="A689">
            <v>593.9</v>
          </cell>
          <cell r="B689" t="str">
            <v>MAINTENANCE - MUTUAL AID</v>
          </cell>
          <cell r="C689">
            <v>0</v>
          </cell>
          <cell r="D689">
            <v>0</v>
          </cell>
          <cell r="E689">
            <v>0</v>
          </cell>
          <cell r="F689">
            <v>0</v>
          </cell>
          <cell r="G689" t="str">
            <v>Expense</v>
          </cell>
          <cell r="H689" t="str">
            <v>Operating</v>
          </cell>
          <cell r="I689">
            <v>0</v>
          </cell>
          <cell r="K689" t="str">
            <v>Active</v>
          </cell>
          <cell r="L689" t="str">
            <v>Income Statement</v>
          </cell>
          <cell r="M689">
            <v>7</v>
          </cell>
        </row>
        <row r="690">
          <cell r="A690">
            <v>593.91</v>
          </cell>
          <cell r="B690" t="str">
            <v>MAINT MATRLS CLRG MAJOR STORM</v>
          </cell>
          <cell r="C690">
            <v>0</v>
          </cell>
          <cell r="D690">
            <v>0</v>
          </cell>
          <cell r="E690">
            <v>0</v>
          </cell>
          <cell r="F690">
            <v>0</v>
          </cell>
          <cell r="G690" t="str">
            <v>Expense</v>
          </cell>
          <cell r="H690" t="str">
            <v>Operating</v>
          </cell>
          <cell r="I690">
            <v>0</v>
          </cell>
          <cell r="K690" t="str">
            <v>Active</v>
          </cell>
          <cell r="L690" t="str">
            <v>Income Statement</v>
          </cell>
          <cell r="M690">
            <v>7</v>
          </cell>
        </row>
        <row r="691">
          <cell r="A691">
            <v>594</v>
          </cell>
          <cell r="B691" t="str">
            <v>MAINT UNDERGROUND LINES</v>
          </cell>
          <cell r="C691">
            <v>2913.18</v>
          </cell>
          <cell r="D691">
            <v>11067.11</v>
          </cell>
          <cell r="E691">
            <v>2913.18</v>
          </cell>
          <cell r="F691">
            <v>11067.11</v>
          </cell>
          <cell r="G691" t="str">
            <v>Expense</v>
          </cell>
          <cell r="H691" t="str">
            <v>Operating</v>
          </cell>
          <cell r="I691">
            <v>0</v>
          </cell>
          <cell r="K691" t="str">
            <v>Active</v>
          </cell>
          <cell r="L691" t="str">
            <v>Income Statement</v>
          </cell>
          <cell r="M691">
            <v>7</v>
          </cell>
        </row>
        <row r="692">
          <cell r="A692">
            <v>595</v>
          </cell>
          <cell r="B692" t="str">
            <v>MAINT LINE TRANSFORMERS</v>
          </cell>
          <cell r="C692">
            <v>0</v>
          </cell>
          <cell r="D692">
            <v>272.13</v>
          </cell>
          <cell r="E692">
            <v>0</v>
          </cell>
          <cell r="F692">
            <v>272.13</v>
          </cell>
          <cell r="G692" t="str">
            <v>Expense</v>
          </cell>
          <cell r="H692" t="str">
            <v>Operating</v>
          </cell>
          <cell r="I692">
            <v>0</v>
          </cell>
          <cell r="K692" t="str">
            <v>Active</v>
          </cell>
          <cell r="L692" t="str">
            <v>Income Statement</v>
          </cell>
          <cell r="M692">
            <v>7</v>
          </cell>
        </row>
        <row r="693">
          <cell r="A693">
            <v>596</v>
          </cell>
          <cell r="B693" t="str">
            <v>MAINT STREET LIGHTS</v>
          </cell>
          <cell r="C693">
            <v>5186.37</v>
          </cell>
          <cell r="D693">
            <v>8515.67</v>
          </cell>
          <cell r="E693">
            <v>5186.37</v>
          </cell>
          <cell r="F693">
            <v>8515.67</v>
          </cell>
          <cell r="G693" t="str">
            <v>Expense</v>
          </cell>
          <cell r="H693" t="str">
            <v>Operating</v>
          </cell>
          <cell r="I693">
            <v>0</v>
          </cell>
          <cell r="K693" t="str">
            <v>Active</v>
          </cell>
          <cell r="L693" t="str">
            <v>Income Statement</v>
          </cell>
          <cell r="M693">
            <v>7</v>
          </cell>
        </row>
        <row r="694">
          <cell r="A694">
            <v>597</v>
          </cell>
          <cell r="B694" t="str">
            <v>MAINT METERS</v>
          </cell>
          <cell r="C694">
            <v>0</v>
          </cell>
          <cell r="D694">
            <v>-18.13</v>
          </cell>
          <cell r="E694">
            <v>0</v>
          </cell>
          <cell r="F694">
            <v>-18.13</v>
          </cell>
          <cell r="G694" t="str">
            <v>Expense</v>
          </cell>
          <cell r="H694" t="str">
            <v>Operating</v>
          </cell>
          <cell r="I694">
            <v>0</v>
          </cell>
          <cell r="K694" t="str">
            <v>Active</v>
          </cell>
          <cell r="L694" t="str">
            <v>Income Statement</v>
          </cell>
          <cell r="M694">
            <v>7</v>
          </cell>
        </row>
        <row r="695">
          <cell r="A695">
            <v>598</v>
          </cell>
          <cell r="B695" t="str">
            <v>MAINT SECURITY LIGHTS</v>
          </cell>
          <cell r="C695">
            <v>1590.55</v>
          </cell>
          <cell r="D695">
            <v>4849.8599999999997</v>
          </cell>
          <cell r="E695">
            <v>1590.55</v>
          </cell>
          <cell r="F695">
            <v>4849.8599999999997</v>
          </cell>
          <cell r="G695" t="str">
            <v>Expense</v>
          </cell>
          <cell r="H695" t="str">
            <v>Operating</v>
          </cell>
          <cell r="I695">
            <v>0</v>
          </cell>
          <cell r="K695" t="str">
            <v>Active</v>
          </cell>
          <cell r="L695" t="str">
            <v>Income Statement</v>
          </cell>
          <cell r="M695">
            <v>7</v>
          </cell>
        </row>
        <row r="696">
          <cell r="A696">
            <v>598.1</v>
          </cell>
          <cell r="B696" t="str">
            <v>MAINT TIME CONTROLS</v>
          </cell>
          <cell r="C696">
            <v>0</v>
          </cell>
          <cell r="D696">
            <v>0</v>
          </cell>
          <cell r="E696">
            <v>0</v>
          </cell>
          <cell r="F696">
            <v>0</v>
          </cell>
          <cell r="G696" t="str">
            <v>Expense</v>
          </cell>
          <cell r="H696" t="str">
            <v>Operating</v>
          </cell>
          <cell r="I696">
            <v>0</v>
          </cell>
          <cell r="K696" t="str">
            <v>Active</v>
          </cell>
          <cell r="L696" t="str">
            <v>Income Statement</v>
          </cell>
          <cell r="M696">
            <v>7</v>
          </cell>
        </row>
        <row r="697">
          <cell r="A697">
            <v>598.20000000000005</v>
          </cell>
          <cell r="B697" t="str">
            <v>MAINT RADIO CONTROLS</v>
          </cell>
          <cell r="C697">
            <v>0</v>
          </cell>
          <cell r="D697">
            <v>0</v>
          </cell>
          <cell r="E697">
            <v>0</v>
          </cell>
          <cell r="F697">
            <v>0</v>
          </cell>
          <cell r="G697" t="str">
            <v>Expense</v>
          </cell>
          <cell r="H697" t="str">
            <v>Operating</v>
          </cell>
          <cell r="I697">
            <v>0</v>
          </cell>
          <cell r="K697" t="str">
            <v>Active</v>
          </cell>
          <cell r="L697" t="str">
            <v>Income Statement</v>
          </cell>
          <cell r="M697">
            <v>7</v>
          </cell>
        </row>
        <row r="698">
          <cell r="A698">
            <v>902</v>
          </cell>
          <cell r="B698" t="str">
            <v>METER READING EXPENSES</v>
          </cell>
          <cell r="C698">
            <v>12188.08</v>
          </cell>
          <cell r="D698">
            <v>34685.279999999999</v>
          </cell>
          <cell r="E698">
            <v>12188.08</v>
          </cell>
          <cell r="F698">
            <v>34685.279999999999</v>
          </cell>
          <cell r="G698" t="str">
            <v>Expense</v>
          </cell>
          <cell r="H698" t="str">
            <v>Operating</v>
          </cell>
          <cell r="I698">
            <v>0</v>
          </cell>
          <cell r="K698" t="str">
            <v>Active</v>
          </cell>
          <cell r="L698" t="str">
            <v>Income Statement</v>
          </cell>
          <cell r="M698">
            <v>8</v>
          </cell>
        </row>
        <row r="699">
          <cell r="A699">
            <v>903</v>
          </cell>
          <cell r="B699" t="str">
            <v>CUSTOMER RECORDS EXPENSE</v>
          </cell>
          <cell r="C699">
            <v>100598.37</v>
          </cell>
          <cell r="D699">
            <v>181896.17</v>
          </cell>
          <cell r="E699">
            <v>100598.37</v>
          </cell>
          <cell r="F699">
            <v>181896.17</v>
          </cell>
          <cell r="G699" t="str">
            <v>Expense</v>
          </cell>
          <cell r="H699" t="str">
            <v>Operating</v>
          </cell>
          <cell r="I699">
            <v>0</v>
          </cell>
          <cell r="K699" t="str">
            <v>Active</v>
          </cell>
          <cell r="L699" t="str">
            <v>Income Statement</v>
          </cell>
          <cell r="M699">
            <v>8</v>
          </cell>
        </row>
        <row r="700">
          <cell r="A700">
            <v>903.04</v>
          </cell>
          <cell r="B700" t="str">
            <v>CUSTOMER DISC &amp; COLLECTION EXP</v>
          </cell>
          <cell r="C700">
            <v>43619.25</v>
          </cell>
          <cell r="D700">
            <v>80606.8</v>
          </cell>
          <cell r="E700">
            <v>43619.25</v>
          </cell>
          <cell r="F700">
            <v>80606.8</v>
          </cell>
          <cell r="G700" t="str">
            <v>Expense</v>
          </cell>
          <cell r="H700" t="str">
            <v>Operating</v>
          </cell>
          <cell r="I700">
            <v>0</v>
          </cell>
          <cell r="K700" t="str">
            <v>Active</v>
          </cell>
          <cell r="L700" t="str">
            <v>Income Statement</v>
          </cell>
          <cell r="M700">
            <v>8</v>
          </cell>
        </row>
        <row r="701">
          <cell r="A701">
            <v>903.1</v>
          </cell>
          <cell r="B701" t="str">
            <v>CUSTOMER EXP - CASH DIFFERENCE</v>
          </cell>
          <cell r="C701">
            <v>5</v>
          </cell>
          <cell r="D701">
            <v>0</v>
          </cell>
          <cell r="E701">
            <v>5</v>
          </cell>
          <cell r="F701">
            <v>0</v>
          </cell>
          <cell r="G701" t="str">
            <v>Expense</v>
          </cell>
          <cell r="H701" t="str">
            <v>Operating</v>
          </cell>
          <cell r="I701">
            <v>0</v>
          </cell>
          <cell r="K701" t="str">
            <v>Active</v>
          </cell>
          <cell r="L701" t="str">
            <v>Income Statement</v>
          </cell>
          <cell r="M701">
            <v>8</v>
          </cell>
        </row>
        <row r="702">
          <cell r="A702">
            <v>903.2</v>
          </cell>
          <cell r="B702" t="str">
            <v>CUST EXP - SQRP ADMINISTRATION</v>
          </cell>
          <cell r="C702">
            <v>2706.2</v>
          </cell>
          <cell r="D702">
            <v>10694.87</v>
          </cell>
          <cell r="E702">
            <v>2706.2</v>
          </cell>
          <cell r="F702">
            <v>10694.87</v>
          </cell>
          <cell r="G702" t="str">
            <v>Expense</v>
          </cell>
          <cell r="H702" t="str">
            <v>Operating</v>
          </cell>
          <cell r="I702">
            <v>0</v>
          </cell>
          <cell r="K702" t="str">
            <v>Active</v>
          </cell>
          <cell r="L702" t="str">
            <v>Income Statement</v>
          </cell>
          <cell r="M702">
            <v>8</v>
          </cell>
        </row>
        <row r="703">
          <cell r="A703">
            <v>903.99</v>
          </cell>
          <cell r="B703" t="str">
            <v>CUST RECORDS EXP - PROPERTY TA</v>
          </cell>
          <cell r="C703">
            <v>2692.34</v>
          </cell>
          <cell r="D703">
            <v>4517.9399999999996</v>
          </cell>
          <cell r="E703">
            <v>2692.34</v>
          </cell>
          <cell r="F703">
            <v>4517.9399999999996</v>
          </cell>
          <cell r="G703" t="str">
            <v>Expense</v>
          </cell>
          <cell r="H703" t="str">
            <v>Operating</v>
          </cell>
          <cell r="I703">
            <v>0</v>
          </cell>
          <cell r="K703" t="str">
            <v>Active</v>
          </cell>
          <cell r="L703" t="str">
            <v>Income Statement</v>
          </cell>
          <cell r="M703">
            <v>8</v>
          </cell>
        </row>
        <row r="704">
          <cell r="A704">
            <v>904</v>
          </cell>
          <cell r="B704" t="str">
            <v>UNCOLLECTABLE ACCOUNTS</v>
          </cell>
          <cell r="C704">
            <v>22130</v>
          </cell>
          <cell r="D704">
            <v>44260</v>
          </cell>
          <cell r="E704">
            <v>22130</v>
          </cell>
          <cell r="F704">
            <v>44260</v>
          </cell>
          <cell r="G704" t="str">
            <v>Expense</v>
          </cell>
          <cell r="H704" t="str">
            <v>Operating</v>
          </cell>
          <cell r="I704">
            <v>0</v>
          </cell>
          <cell r="K704" t="str">
            <v>Active</v>
          </cell>
          <cell r="L704" t="str">
            <v>Income Statement</v>
          </cell>
          <cell r="M704">
            <v>8</v>
          </cell>
        </row>
        <row r="705">
          <cell r="A705">
            <v>905</v>
          </cell>
          <cell r="B705" t="str">
            <v>MISC CUSTOMER A/C'S EXPENSE</v>
          </cell>
          <cell r="C705">
            <v>0</v>
          </cell>
          <cell r="D705">
            <v>350</v>
          </cell>
          <cell r="E705">
            <v>0</v>
          </cell>
          <cell r="F705">
            <v>350</v>
          </cell>
          <cell r="G705" t="str">
            <v>Expense</v>
          </cell>
          <cell r="H705" t="str">
            <v>Operating</v>
          </cell>
          <cell r="I705">
            <v>0</v>
          </cell>
          <cell r="K705" t="str">
            <v>Active</v>
          </cell>
          <cell r="L705" t="str">
            <v>Income Statement</v>
          </cell>
          <cell r="M705">
            <v>8</v>
          </cell>
        </row>
        <row r="706">
          <cell r="A706">
            <v>908</v>
          </cell>
          <cell r="B706" t="str">
            <v>CUSTOMER ASSISTANCE / COMMUNICATION EXP</v>
          </cell>
          <cell r="C706">
            <v>0</v>
          </cell>
          <cell r="D706">
            <v>400</v>
          </cell>
          <cell r="E706">
            <v>0</v>
          </cell>
          <cell r="F706">
            <v>400</v>
          </cell>
          <cell r="G706" t="str">
            <v>Expense</v>
          </cell>
          <cell r="H706" t="str">
            <v>Operating</v>
          </cell>
          <cell r="I706">
            <v>0</v>
          </cell>
          <cell r="K706" t="str">
            <v>Active</v>
          </cell>
          <cell r="L706" t="str">
            <v>Income Statement</v>
          </cell>
          <cell r="M706">
            <v>8</v>
          </cell>
        </row>
        <row r="707">
          <cell r="A707">
            <v>909</v>
          </cell>
          <cell r="B707" t="str">
            <v>INFORM &amp; INSTRUCT ADV EXP</v>
          </cell>
          <cell r="C707">
            <v>0</v>
          </cell>
          <cell r="D707">
            <v>0</v>
          </cell>
          <cell r="E707">
            <v>0</v>
          </cell>
          <cell r="F707">
            <v>0</v>
          </cell>
          <cell r="G707" t="str">
            <v>Expense</v>
          </cell>
          <cell r="H707" t="str">
            <v>Operating</v>
          </cell>
          <cell r="I707">
            <v>0</v>
          </cell>
          <cell r="K707" t="str">
            <v>Active</v>
          </cell>
          <cell r="L707" t="str">
            <v>Income Statement</v>
          </cell>
          <cell r="M707">
            <v>8</v>
          </cell>
        </row>
        <row r="708">
          <cell r="A708">
            <v>912</v>
          </cell>
          <cell r="B708" t="str">
            <v>DEMONSTRATING &amp; SELLING EXP</v>
          </cell>
          <cell r="C708">
            <v>9772.06</v>
          </cell>
          <cell r="D708">
            <v>20747.830000000002</v>
          </cell>
          <cell r="E708">
            <v>9772.06</v>
          </cell>
          <cell r="F708">
            <v>20747.830000000002</v>
          </cell>
          <cell r="G708" t="str">
            <v>Expense</v>
          </cell>
          <cell r="H708" t="str">
            <v>Operating</v>
          </cell>
          <cell r="I708">
            <v>0</v>
          </cell>
          <cell r="K708" t="str">
            <v>Active</v>
          </cell>
          <cell r="L708" t="str">
            <v>Income Statement</v>
          </cell>
          <cell r="M708">
            <v>10</v>
          </cell>
        </row>
        <row r="709">
          <cell r="A709">
            <v>920</v>
          </cell>
          <cell r="B709" t="str">
            <v>ADMIN &amp; GENERAL SALARIES</v>
          </cell>
          <cell r="C709">
            <v>105325.27</v>
          </cell>
          <cell r="D709">
            <v>169145.82</v>
          </cell>
          <cell r="E709">
            <v>105325.27</v>
          </cell>
          <cell r="F709">
            <v>169145.82</v>
          </cell>
          <cell r="G709" t="str">
            <v>Expense</v>
          </cell>
          <cell r="H709" t="str">
            <v>Operating</v>
          </cell>
          <cell r="I709">
            <v>0</v>
          </cell>
          <cell r="K709" t="str">
            <v>Active</v>
          </cell>
          <cell r="L709" t="str">
            <v>Income Statement</v>
          </cell>
          <cell r="M709">
            <v>11</v>
          </cell>
        </row>
        <row r="710">
          <cell r="A710">
            <v>920.01</v>
          </cell>
          <cell r="B710" t="str">
            <v>DEMAND SIDE MANAGEMENT</v>
          </cell>
          <cell r="C710">
            <v>0</v>
          </cell>
          <cell r="D710">
            <v>0</v>
          </cell>
          <cell r="E710">
            <v>0</v>
          </cell>
          <cell r="F710">
            <v>0</v>
          </cell>
          <cell r="G710" t="str">
            <v>Expense</v>
          </cell>
          <cell r="H710" t="str">
            <v>Operating</v>
          </cell>
          <cell r="I710">
            <v>0</v>
          </cell>
          <cell r="K710" t="str">
            <v>Active</v>
          </cell>
          <cell r="L710" t="str">
            <v>Income Statement</v>
          </cell>
          <cell r="M710">
            <v>9</v>
          </cell>
        </row>
        <row r="711">
          <cell r="A711">
            <v>920.02</v>
          </cell>
          <cell r="B711" t="str">
            <v>DEMAND SIDE MANAGEMENT - FARM</v>
          </cell>
          <cell r="C711">
            <v>0</v>
          </cell>
          <cell r="D711">
            <v>0</v>
          </cell>
          <cell r="E711">
            <v>0</v>
          </cell>
          <cell r="F711">
            <v>0</v>
          </cell>
          <cell r="G711" t="str">
            <v>Expense</v>
          </cell>
          <cell r="H711" t="str">
            <v>Operating</v>
          </cell>
          <cell r="I711">
            <v>0</v>
          </cell>
          <cell r="K711" t="str">
            <v>Inactive</v>
          </cell>
          <cell r="L711" t="str">
            <v>Income Statement</v>
          </cell>
          <cell r="M711">
            <v>9</v>
          </cell>
        </row>
        <row r="712">
          <cell r="A712">
            <v>920.03</v>
          </cell>
          <cell r="B712" t="str">
            <v>DEMAND SIDE MANAGEMENT-RETROFI</v>
          </cell>
          <cell r="C712">
            <v>0</v>
          </cell>
          <cell r="D712">
            <v>0</v>
          </cell>
          <cell r="E712">
            <v>0</v>
          </cell>
          <cell r="F712">
            <v>0</v>
          </cell>
          <cell r="G712" t="str">
            <v>Expense</v>
          </cell>
          <cell r="H712" t="str">
            <v>Operating</v>
          </cell>
          <cell r="I712">
            <v>0</v>
          </cell>
          <cell r="K712" t="str">
            <v>Active</v>
          </cell>
          <cell r="L712" t="str">
            <v>Income Statement</v>
          </cell>
          <cell r="M712">
            <v>9</v>
          </cell>
        </row>
        <row r="713">
          <cell r="A713">
            <v>920.04</v>
          </cell>
          <cell r="B713" t="str">
            <v>MICROGRAPHICS EXPENSE</v>
          </cell>
          <cell r="C713">
            <v>689.12</v>
          </cell>
          <cell r="D713">
            <v>1800</v>
          </cell>
          <cell r="E713">
            <v>689.12</v>
          </cell>
          <cell r="F713">
            <v>1800</v>
          </cell>
          <cell r="G713" t="str">
            <v>Expense</v>
          </cell>
          <cell r="H713" t="str">
            <v>Operating</v>
          </cell>
          <cell r="I713">
            <v>0</v>
          </cell>
          <cell r="K713" t="str">
            <v>Active</v>
          </cell>
          <cell r="L713" t="str">
            <v>Income Statement</v>
          </cell>
          <cell r="M713">
            <v>11</v>
          </cell>
        </row>
        <row r="714">
          <cell r="A714">
            <v>920.05</v>
          </cell>
          <cell r="B714" t="str">
            <v>DSM - RES NEW CONST</v>
          </cell>
          <cell r="C714">
            <v>0</v>
          </cell>
          <cell r="D714">
            <v>0</v>
          </cell>
          <cell r="E714">
            <v>0</v>
          </cell>
          <cell r="F714">
            <v>0</v>
          </cell>
          <cell r="G714" t="str">
            <v>Expense</v>
          </cell>
          <cell r="H714" t="str">
            <v>Operating</v>
          </cell>
          <cell r="I714">
            <v>0</v>
          </cell>
          <cell r="K714" t="str">
            <v>Active</v>
          </cell>
          <cell r="L714" t="str">
            <v>Income Statement</v>
          </cell>
          <cell r="M714">
            <v>9</v>
          </cell>
        </row>
        <row r="715">
          <cell r="A715">
            <v>920.06</v>
          </cell>
          <cell r="B715" t="str">
            <v>DSM - EQUIPMENT REPLACEMENT</v>
          </cell>
          <cell r="C715">
            <v>0</v>
          </cell>
          <cell r="D715">
            <v>0</v>
          </cell>
          <cell r="E715">
            <v>0</v>
          </cell>
          <cell r="F715">
            <v>0</v>
          </cell>
          <cell r="G715" t="str">
            <v>Expense</v>
          </cell>
          <cell r="H715" t="str">
            <v>Operating</v>
          </cell>
          <cell r="I715">
            <v>0</v>
          </cell>
          <cell r="K715" t="str">
            <v>Active</v>
          </cell>
          <cell r="L715" t="str">
            <v>Income Statement</v>
          </cell>
          <cell r="M715">
            <v>9</v>
          </cell>
        </row>
        <row r="716">
          <cell r="A716">
            <v>920.07</v>
          </cell>
          <cell r="B716" t="str">
            <v>DSM - POINTOF SALE LIGHTING</v>
          </cell>
          <cell r="C716">
            <v>0</v>
          </cell>
          <cell r="D716">
            <v>0</v>
          </cell>
          <cell r="E716">
            <v>0</v>
          </cell>
          <cell r="F716">
            <v>0</v>
          </cell>
          <cell r="G716" t="str">
            <v>Expense</v>
          </cell>
          <cell r="H716" t="str">
            <v>Operating</v>
          </cell>
          <cell r="I716">
            <v>0</v>
          </cell>
          <cell r="K716" t="str">
            <v>Active</v>
          </cell>
          <cell r="L716" t="str">
            <v>Income Statement</v>
          </cell>
          <cell r="M716">
            <v>9</v>
          </cell>
        </row>
        <row r="717">
          <cell r="A717">
            <v>920.08</v>
          </cell>
          <cell r="B717" t="str">
            <v>DSM - RR FUEL SWITCHING</v>
          </cell>
          <cell r="C717">
            <v>0</v>
          </cell>
          <cell r="D717">
            <v>0</v>
          </cell>
          <cell r="E717">
            <v>0</v>
          </cell>
          <cell r="F717">
            <v>0</v>
          </cell>
          <cell r="G717" t="str">
            <v>Expense</v>
          </cell>
          <cell r="H717" t="str">
            <v>Operating</v>
          </cell>
          <cell r="I717">
            <v>0</v>
          </cell>
          <cell r="K717" t="str">
            <v>Active</v>
          </cell>
          <cell r="L717" t="str">
            <v>Income Statement</v>
          </cell>
          <cell r="M717">
            <v>9</v>
          </cell>
        </row>
        <row r="718">
          <cell r="A718">
            <v>920.09</v>
          </cell>
          <cell r="B718" t="str">
            <v>DSM-EEU BILL BACK</v>
          </cell>
          <cell r="C718">
            <v>0</v>
          </cell>
          <cell r="D718">
            <v>0</v>
          </cell>
          <cell r="E718">
            <v>0</v>
          </cell>
          <cell r="F718">
            <v>0</v>
          </cell>
          <cell r="G718" t="str">
            <v>Expense</v>
          </cell>
          <cell r="H718" t="str">
            <v>Operating</v>
          </cell>
          <cell r="I718">
            <v>0</v>
          </cell>
          <cell r="K718" t="str">
            <v>Active</v>
          </cell>
          <cell r="L718" t="str">
            <v>Income Statement</v>
          </cell>
          <cell r="M718">
            <v>9</v>
          </cell>
        </row>
        <row r="719">
          <cell r="A719">
            <v>920.1</v>
          </cell>
          <cell r="B719" t="str">
            <v>DSM-EEU COORDINATION</v>
          </cell>
          <cell r="C719">
            <v>0</v>
          </cell>
          <cell r="D719">
            <v>0</v>
          </cell>
          <cell r="E719">
            <v>0</v>
          </cell>
          <cell r="F719">
            <v>0</v>
          </cell>
          <cell r="G719" t="str">
            <v>Expense</v>
          </cell>
          <cell r="H719" t="str">
            <v>Operating</v>
          </cell>
          <cell r="I719">
            <v>0</v>
          </cell>
          <cell r="K719" t="str">
            <v>Active</v>
          </cell>
          <cell r="L719" t="str">
            <v>Income Statement</v>
          </cell>
          <cell r="M719">
            <v>9</v>
          </cell>
        </row>
        <row r="720">
          <cell r="A720">
            <v>920.11</v>
          </cell>
          <cell r="B720" t="str">
            <v>DSM-ACCELERATED AMORT DKT 6325</v>
          </cell>
          <cell r="C720">
            <v>0</v>
          </cell>
          <cell r="D720">
            <v>0</v>
          </cell>
          <cell r="E720">
            <v>0</v>
          </cell>
          <cell r="F720">
            <v>0</v>
          </cell>
          <cell r="G720" t="str">
            <v>Expense</v>
          </cell>
          <cell r="H720" t="str">
            <v>Operating</v>
          </cell>
          <cell r="I720">
            <v>0</v>
          </cell>
          <cell r="K720" t="str">
            <v>Active</v>
          </cell>
          <cell r="L720" t="str">
            <v>Income Statement</v>
          </cell>
          <cell r="M720">
            <v>9</v>
          </cell>
        </row>
        <row r="721">
          <cell r="A721">
            <v>920.2</v>
          </cell>
          <cell r="B721" t="str">
            <v>HUMAN RESOURCE</v>
          </cell>
          <cell r="C721">
            <v>26994.89</v>
          </cell>
          <cell r="D721">
            <v>53202.31</v>
          </cell>
          <cell r="E721">
            <v>26994.89</v>
          </cell>
          <cell r="F721">
            <v>53202.31</v>
          </cell>
          <cell r="G721" t="str">
            <v>Expense</v>
          </cell>
          <cell r="H721" t="str">
            <v>Operating</v>
          </cell>
          <cell r="I721">
            <v>0</v>
          </cell>
          <cell r="K721" t="str">
            <v>Active</v>
          </cell>
          <cell r="L721" t="str">
            <v>Income Statement</v>
          </cell>
          <cell r="M721">
            <v>11</v>
          </cell>
        </row>
        <row r="722">
          <cell r="A722">
            <v>920.3</v>
          </cell>
          <cell r="B722" t="str">
            <v>ADMIN &amp; GENERAL - RATES</v>
          </cell>
          <cell r="C722">
            <v>0</v>
          </cell>
          <cell r="D722">
            <v>0</v>
          </cell>
          <cell r="E722">
            <v>0</v>
          </cell>
          <cell r="F722">
            <v>0</v>
          </cell>
          <cell r="G722" t="str">
            <v>Expense</v>
          </cell>
          <cell r="H722" t="str">
            <v>Operating</v>
          </cell>
          <cell r="I722">
            <v>0</v>
          </cell>
          <cell r="K722" t="str">
            <v>Active</v>
          </cell>
          <cell r="L722" t="str">
            <v>Income Statement</v>
          </cell>
          <cell r="M722">
            <v>11</v>
          </cell>
        </row>
        <row r="723">
          <cell r="A723">
            <v>920.4</v>
          </cell>
          <cell r="B723" t="str">
            <v>DISTRIBUTION UTILITY PLANNING</v>
          </cell>
          <cell r="C723">
            <v>0</v>
          </cell>
          <cell r="D723">
            <v>0</v>
          </cell>
          <cell r="E723">
            <v>0</v>
          </cell>
          <cell r="F723">
            <v>0</v>
          </cell>
          <cell r="G723" t="str">
            <v>Expense</v>
          </cell>
          <cell r="H723" t="str">
            <v>Operating</v>
          </cell>
          <cell r="I723">
            <v>0</v>
          </cell>
          <cell r="K723" t="str">
            <v>Active</v>
          </cell>
          <cell r="L723" t="str">
            <v>Income Statement</v>
          </cell>
          <cell r="M723">
            <v>11</v>
          </cell>
        </row>
        <row r="724">
          <cell r="A724">
            <v>920.5</v>
          </cell>
          <cell r="B724" t="str">
            <v>YEAR 2000 AUDIT</v>
          </cell>
          <cell r="C724">
            <v>0</v>
          </cell>
          <cell r="D724">
            <v>0</v>
          </cell>
          <cell r="E724">
            <v>0</v>
          </cell>
          <cell r="F724">
            <v>0</v>
          </cell>
          <cell r="G724" t="str">
            <v>Expense</v>
          </cell>
          <cell r="H724" t="str">
            <v>Operating</v>
          </cell>
          <cell r="I724">
            <v>0</v>
          </cell>
          <cell r="K724" t="str">
            <v>Active</v>
          </cell>
          <cell r="L724" t="str">
            <v>Income Statement</v>
          </cell>
          <cell r="M724">
            <v>11</v>
          </cell>
        </row>
        <row r="725">
          <cell r="A725">
            <v>920.9</v>
          </cell>
          <cell r="B725" t="str">
            <v>EMPLOYEE BUYOUT / SEVERANCE EXP</v>
          </cell>
          <cell r="C725">
            <v>0</v>
          </cell>
          <cell r="D725">
            <v>0</v>
          </cell>
          <cell r="E725">
            <v>0</v>
          </cell>
          <cell r="F725">
            <v>0</v>
          </cell>
          <cell r="G725" t="str">
            <v>Expense</v>
          </cell>
          <cell r="H725" t="str">
            <v>Operating</v>
          </cell>
          <cell r="I725">
            <v>0</v>
          </cell>
          <cell r="K725" t="str">
            <v>Active</v>
          </cell>
          <cell r="L725" t="str">
            <v>Income Statement</v>
          </cell>
          <cell r="M725">
            <v>11</v>
          </cell>
        </row>
        <row r="726">
          <cell r="A726">
            <v>920.99</v>
          </cell>
          <cell r="B726" t="str">
            <v>A &amp; G - R.U.S. LABOR</v>
          </cell>
          <cell r="C726">
            <v>0</v>
          </cell>
          <cell r="D726">
            <v>0</v>
          </cell>
          <cell r="E726">
            <v>0</v>
          </cell>
          <cell r="F726">
            <v>0</v>
          </cell>
          <cell r="G726" t="str">
            <v>Expense</v>
          </cell>
          <cell r="H726" t="str">
            <v>Operating</v>
          </cell>
          <cell r="I726">
            <v>0</v>
          </cell>
          <cell r="K726" t="str">
            <v>Active</v>
          </cell>
          <cell r="L726" t="str">
            <v>Income Statement</v>
          </cell>
          <cell r="M726">
            <v>11</v>
          </cell>
        </row>
        <row r="727">
          <cell r="A727">
            <v>921</v>
          </cell>
          <cell r="B727" t="str">
            <v>OFFICE SUPPLIES &amp; EXPENSE</v>
          </cell>
          <cell r="C727">
            <v>39084.61</v>
          </cell>
          <cell r="D727">
            <v>72295.520000000004</v>
          </cell>
          <cell r="E727">
            <v>39084.61</v>
          </cell>
          <cell r="F727">
            <v>72295.520000000004</v>
          </cell>
          <cell r="G727" t="str">
            <v>Expense</v>
          </cell>
          <cell r="H727" t="str">
            <v>Operating</v>
          </cell>
          <cell r="I727">
            <v>0</v>
          </cell>
          <cell r="K727" t="str">
            <v>Active</v>
          </cell>
          <cell r="L727" t="str">
            <v>Income Statement</v>
          </cell>
          <cell r="M727">
            <v>11</v>
          </cell>
        </row>
        <row r="728">
          <cell r="A728">
            <v>923</v>
          </cell>
          <cell r="B728" t="str">
            <v>OUTSIDE SERVICES EMP</v>
          </cell>
          <cell r="C728">
            <v>5960</v>
          </cell>
          <cell r="D728">
            <v>34867.339999999997</v>
          </cell>
          <cell r="E728">
            <v>5960</v>
          </cell>
          <cell r="F728">
            <v>34867.339999999997</v>
          </cell>
          <cell r="G728" t="str">
            <v>Expense</v>
          </cell>
          <cell r="H728" t="str">
            <v>Operating</v>
          </cell>
          <cell r="I728">
            <v>0</v>
          </cell>
          <cell r="K728" t="str">
            <v>Active</v>
          </cell>
          <cell r="L728" t="str">
            <v>Income Statement</v>
          </cell>
          <cell r="M728">
            <v>11</v>
          </cell>
        </row>
        <row r="729">
          <cell r="A729">
            <v>923.01</v>
          </cell>
          <cell r="B729" t="str">
            <v>OUTSIDE SERVICES-EASEMENT &amp; ROW</v>
          </cell>
          <cell r="C729">
            <v>0</v>
          </cell>
          <cell r="D729">
            <v>0</v>
          </cell>
          <cell r="E729">
            <v>0</v>
          </cell>
          <cell r="F729">
            <v>0</v>
          </cell>
          <cell r="G729" t="str">
            <v>Expense</v>
          </cell>
          <cell r="H729" t="str">
            <v>Operating</v>
          </cell>
          <cell r="I729">
            <v>0</v>
          </cell>
          <cell r="K729" t="str">
            <v>Active</v>
          </cell>
          <cell r="L729" t="str">
            <v>Income Statement</v>
          </cell>
          <cell r="M729">
            <v>11</v>
          </cell>
        </row>
        <row r="730">
          <cell r="A730">
            <v>924</v>
          </cell>
          <cell r="B730" t="str">
            <v>PROPERTY INSURANCE</v>
          </cell>
          <cell r="C730">
            <v>0</v>
          </cell>
          <cell r="D730">
            <v>0</v>
          </cell>
          <cell r="E730">
            <v>0</v>
          </cell>
          <cell r="F730">
            <v>0</v>
          </cell>
          <cell r="G730" t="str">
            <v>Expense</v>
          </cell>
          <cell r="H730" t="str">
            <v>Operating</v>
          </cell>
          <cell r="I730">
            <v>0</v>
          </cell>
          <cell r="K730" t="str">
            <v>Active</v>
          </cell>
          <cell r="L730" t="str">
            <v>Income Statement</v>
          </cell>
          <cell r="M730">
            <v>11</v>
          </cell>
        </row>
        <row r="731">
          <cell r="A731">
            <v>925</v>
          </cell>
          <cell r="B731" t="str">
            <v>INJURIES &amp; DAMAGES</v>
          </cell>
          <cell r="C731">
            <v>4793.1400000000003</v>
          </cell>
          <cell r="D731">
            <v>10772.25</v>
          </cell>
          <cell r="E731">
            <v>4793.1400000000003</v>
          </cell>
          <cell r="F731">
            <v>10772.25</v>
          </cell>
          <cell r="G731" t="str">
            <v>Expense</v>
          </cell>
          <cell r="H731" t="str">
            <v>Operating</v>
          </cell>
          <cell r="I731">
            <v>0</v>
          </cell>
          <cell r="K731" t="str">
            <v>Active</v>
          </cell>
          <cell r="L731" t="str">
            <v>Income Statement</v>
          </cell>
          <cell r="M731">
            <v>11</v>
          </cell>
        </row>
        <row r="732">
          <cell r="A732">
            <v>925.01</v>
          </cell>
          <cell r="B732" t="str">
            <v>SAFETY PROGRAM ADMINISTRATIVE</v>
          </cell>
          <cell r="C732">
            <v>13768.76</v>
          </cell>
          <cell r="D732">
            <v>19565.7</v>
          </cell>
          <cell r="E732">
            <v>13768.76</v>
          </cell>
          <cell r="F732">
            <v>19565.7</v>
          </cell>
          <cell r="G732" t="str">
            <v>Expense</v>
          </cell>
          <cell r="H732" t="str">
            <v>Operating</v>
          </cell>
          <cell r="I732">
            <v>0</v>
          </cell>
          <cell r="K732" t="str">
            <v>Active</v>
          </cell>
          <cell r="L732" t="str">
            <v>Income Statement</v>
          </cell>
          <cell r="M732">
            <v>11</v>
          </cell>
        </row>
        <row r="733">
          <cell r="A733">
            <v>925.02</v>
          </cell>
          <cell r="B733" t="str">
            <v>SAFETY, HAZ MAT RELATED EXP</v>
          </cell>
          <cell r="C733">
            <v>1027.24</v>
          </cell>
          <cell r="D733">
            <v>7638.59</v>
          </cell>
          <cell r="E733">
            <v>1027.24</v>
          </cell>
          <cell r="F733">
            <v>7638.59</v>
          </cell>
          <cell r="G733" t="str">
            <v>Expense</v>
          </cell>
          <cell r="H733" t="str">
            <v>Operating</v>
          </cell>
          <cell r="I733">
            <v>0</v>
          </cell>
          <cell r="K733" t="str">
            <v>Active</v>
          </cell>
          <cell r="L733" t="str">
            <v>Income Statement</v>
          </cell>
          <cell r="M733">
            <v>11</v>
          </cell>
        </row>
        <row r="734">
          <cell r="A734">
            <v>926</v>
          </cell>
          <cell r="B734" t="str">
            <v>HEALTH INSURANCE - IBNR</v>
          </cell>
          <cell r="C734">
            <v>0</v>
          </cell>
          <cell r="D734">
            <v>0</v>
          </cell>
          <cell r="E734">
            <v>0</v>
          </cell>
          <cell r="F734">
            <v>0</v>
          </cell>
          <cell r="G734" t="str">
            <v>Expense</v>
          </cell>
          <cell r="H734" t="str">
            <v>Operating</v>
          </cell>
          <cell r="I734">
            <v>0</v>
          </cell>
          <cell r="K734" t="str">
            <v>Active</v>
          </cell>
          <cell r="L734" t="str">
            <v>Income Statement</v>
          </cell>
          <cell r="M734">
            <v>11</v>
          </cell>
        </row>
        <row r="735">
          <cell r="A735">
            <v>926.01</v>
          </cell>
          <cell r="B735" t="str">
            <v>EMPLOYEE BENEFITS - DENTAL INS</v>
          </cell>
          <cell r="C735">
            <v>0</v>
          </cell>
          <cell r="D735">
            <v>0</v>
          </cell>
          <cell r="E735">
            <v>0</v>
          </cell>
          <cell r="F735">
            <v>0</v>
          </cell>
          <cell r="G735" t="str">
            <v>Expense</v>
          </cell>
          <cell r="H735" t="str">
            <v>Operating</v>
          </cell>
          <cell r="I735">
            <v>0</v>
          </cell>
          <cell r="K735" t="str">
            <v>Active</v>
          </cell>
          <cell r="L735" t="str">
            <v>Income Statement</v>
          </cell>
          <cell r="M735">
            <v>11</v>
          </cell>
        </row>
        <row r="736">
          <cell r="A736">
            <v>926.1</v>
          </cell>
          <cell r="B736" t="str">
            <v>SALES TAX AUDIT EXPENSE</v>
          </cell>
          <cell r="C736">
            <v>0</v>
          </cell>
          <cell r="D736">
            <v>0</v>
          </cell>
          <cell r="E736">
            <v>0</v>
          </cell>
          <cell r="F736">
            <v>0</v>
          </cell>
          <cell r="G736" t="str">
            <v>Expense</v>
          </cell>
          <cell r="H736" t="str">
            <v>Operating</v>
          </cell>
          <cell r="I736">
            <v>0</v>
          </cell>
          <cell r="K736" t="str">
            <v>Active</v>
          </cell>
          <cell r="L736" t="str">
            <v>Income Statement</v>
          </cell>
          <cell r="M736">
            <v>11</v>
          </cell>
        </row>
        <row r="737">
          <cell r="A737">
            <v>926.2</v>
          </cell>
          <cell r="B737" t="str">
            <v>EMPLOYEE BENEFITS - LTD</v>
          </cell>
          <cell r="C737">
            <v>0</v>
          </cell>
          <cell r="D737">
            <v>0</v>
          </cell>
          <cell r="E737">
            <v>0</v>
          </cell>
          <cell r="F737">
            <v>0</v>
          </cell>
          <cell r="G737" t="str">
            <v>Expense</v>
          </cell>
          <cell r="H737" t="str">
            <v>Operating</v>
          </cell>
          <cell r="I737">
            <v>0</v>
          </cell>
          <cell r="K737" t="str">
            <v>Active</v>
          </cell>
          <cell r="L737" t="str">
            <v>Income Statement</v>
          </cell>
          <cell r="M737">
            <v>11</v>
          </cell>
        </row>
        <row r="738">
          <cell r="A738">
            <v>926.3</v>
          </cell>
          <cell r="B738" t="str">
            <v>EMPLOYEE BENEFITS - LIFE</v>
          </cell>
          <cell r="C738">
            <v>0</v>
          </cell>
          <cell r="D738">
            <v>0</v>
          </cell>
          <cell r="E738">
            <v>0</v>
          </cell>
          <cell r="F738">
            <v>0</v>
          </cell>
          <cell r="G738" t="str">
            <v>Expense</v>
          </cell>
          <cell r="H738" t="str">
            <v>Operating</v>
          </cell>
          <cell r="I738">
            <v>0</v>
          </cell>
          <cell r="K738" t="str">
            <v>Active</v>
          </cell>
          <cell r="L738" t="str">
            <v>Income Statement</v>
          </cell>
          <cell r="M738">
            <v>11</v>
          </cell>
        </row>
        <row r="739">
          <cell r="A739">
            <v>926.4</v>
          </cell>
          <cell r="B739" t="str">
            <v>EMPLOYEE BENEFITS - SAV</v>
          </cell>
          <cell r="C739">
            <v>0</v>
          </cell>
          <cell r="D739">
            <v>0</v>
          </cell>
          <cell r="E739">
            <v>0</v>
          </cell>
          <cell r="F739">
            <v>0</v>
          </cell>
          <cell r="G739" t="str">
            <v>Expense</v>
          </cell>
          <cell r="H739" t="str">
            <v>Operating</v>
          </cell>
          <cell r="I739">
            <v>0</v>
          </cell>
          <cell r="K739" t="str">
            <v>Active</v>
          </cell>
          <cell r="L739" t="str">
            <v>Income Statement</v>
          </cell>
          <cell r="M739">
            <v>11</v>
          </cell>
        </row>
        <row r="740">
          <cell r="A740">
            <v>926.5</v>
          </cell>
          <cell r="B740" t="str">
            <v>VACATION &amp; SICK EXPENSE</v>
          </cell>
          <cell r="C740">
            <v>0</v>
          </cell>
          <cell r="D740">
            <v>0</v>
          </cell>
          <cell r="E740">
            <v>0</v>
          </cell>
          <cell r="F740">
            <v>0</v>
          </cell>
          <cell r="G740" t="str">
            <v>Expense</v>
          </cell>
          <cell r="H740" t="str">
            <v>Operating</v>
          </cell>
          <cell r="I740">
            <v>0</v>
          </cell>
          <cell r="K740" t="str">
            <v>Active</v>
          </cell>
          <cell r="L740" t="str">
            <v>Income Statement</v>
          </cell>
          <cell r="M740">
            <v>11</v>
          </cell>
        </row>
        <row r="741">
          <cell r="A741">
            <v>926.6</v>
          </cell>
          <cell r="B741" t="str">
            <v>EMPLOYEE BEN - IBEW PRIOR SERV</v>
          </cell>
          <cell r="C741">
            <v>0</v>
          </cell>
          <cell r="D741">
            <v>0</v>
          </cell>
          <cell r="E741">
            <v>0</v>
          </cell>
          <cell r="F741">
            <v>0</v>
          </cell>
          <cell r="G741" t="str">
            <v>Expense</v>
          </cell>
          <cell r="H741" t="str">
            <v>Operating</v>
          </cell>
          <cell r="I741">
            <v>0</v>
          </cell>
          <cell r="K741" t="str">
            <v>Active</v>
          </cell>
          <cell r="L741" t="str">
            <v>Income Statement</v>
          </cell>
          <cell r="M741">
            <v>11</v>
          </cell>
        </row>
        <row r="742">
          <cell r="A742">
            <v>926.7</v>
          </cell>
          <cell r="B742" t="str">
            <v>EMPLOYEE BENEFITS - BUY BACK</v>
          </cell>
          <cell r="C742">
            <v>0</v>
          </cell>
          <cell r="D742">
            <v>0</v>
          </cell>
          <cell r="E742">
            <v>0</v>
          </cell>
          <cell r="F742">
            <v>0</v>
          </cell>
          <cell r="G742" t="str">
            <v>Expense</v>
          </cell>
          <cell r="H742" t="str">
            <v>Operating</v>
          </cell>
          <cell r="I742">
            <v>0</v>
          </cell>
          <cell r="K742" t="str">
            <v>Active</v>
          </cell>
          <cell r="L742" t="str">
            <v>Income Statement</v>
          </cell>
          <cell r="M742">
            <v>11</v>
          </cell>
        </row>
        <row r="743">
          <cell r="A743">
            <v>926.8</v>
          </cell>
          <cell r="B743" t="str">
            <v>EMP. BENEFITS - EDUCATION REIM</v>
          </cell>
          <cell r="C743">
            <v>0</v>
          </cell>
          <cell r="D743">
            <v>0</v>
          </cell>
          <cell r="E743">
            <v>0</v>
          </cell>
          <cell r="F743">
            <v>0</v>
          </cell>
          <cell r="G743" t="str">
            <v>Expense</v>
          </cell>
          <cell r="H743" t="str">
            <v>Operating</v>
          </cell>
          <cell r="I743">
            <v>0</v>
          </cell>
          <cell r="K743" t="str">
            <v>Active</v>
          </cell>
          <cell r="L743" t="str">
            <v>Income Statement</v>
          </cell>
          <cell r="M743">
            <v>11</v>
          </cell>
        </row>
        <row r="744">
          <cell r="A744">
            <v>926.81</v>
          </cell>
          <cell r="B744" t="str">
            <v>EMPLOYEE BENFT-COMPUTER PRACTI</v>
          </cell>
          <cell r="C744">
            <v>0</v>
          </cell>
          <cell r="D744">
            <v>0</v>
          </cell>
          <cell r="E744">
            <v>0</v>
          </cell>
          <cell r="F744">
            <v>0</v>
          </cell>
          <cell r="G744" t="str">
            <v>Expense</v>
          </cell>
          <cell r="H744" t="str">
            <v>Operating</v>
          </cell>
          <cell r="I744">
            <v>0</v>
          </cell>
          <cell r="K744" t="str">
            <v>Active</v>
          </cell>
          <cell r="L744" t="str">
            <v>Income Statement</v>
          </cell>
          <cell r="M744">
            <v>11</v>
          </cell>
        </row>
        <row r="745">
          <cell r="A745">
            <v>927</v>
          </cell>
          <cell r="B745" t="str">
            <v>DERBY LINE SETTLEMENT-DKT 5246</v>
          </cell>
          <cell r="C745">
            <v>0</v>
          </cell>
          <cell r="D745">
            <v>0</v>
          </cell>
          <cell r="E745">
            <v>0</v>
          </cell>
          <cell r="F745">
            <v>0</v>
          </cell>
          <cell r="G745" t="str">
            <v>Expense</v>
          </cell>
          <cell r="H745" t="str">
            <v>Operating</v>
          </cell>
          <cell r="I745">
            <v>0</v>
          </cell>
          <cell r="K745" t="str">
            <v>Active</v>
          </cell>
          <cell r="L745" t="str">
            <v>Income Statement</v>
          </cell>
          <cell r="M745">
            <v>11</v>
          </cell>
        </row>
        <row r="746">
          <cell r="A746">
            <v>928</v>
          </cell>
          <cell r="B746" t="str">
            <v>REGULATORY COMM EXP</v>
          </cell>
          <cell r="C746">
            <v>8494.77</v>
          </cell>
          <cell r="D746">
            <v>12512.35</v>
          </cell>
          <cell r="E746">
            <v>8494.77</v>
          </cell>
          <cell r="F746">
            <v>12512.35</v>
          </cell>
          <cell r="G746" t="str">
            <v>Expense</v>
          </cell>
          <cell r="H746" t="str">
            <v>Operating</v>
          </cell>
          <cell r="I746">
            <v>0</v>
          </cell>
          <cell r="K746" t="str">
            <v>Active</v>
          </cell>
          <cell r="L746" t="str">
            <v>Income Statement</v>
          </cell>
          <cell r="M746">
            <v>11</v>
          </cell>
        </row>
        <row r="747">
          <cell r="A747">
            <v>928.01</v>
          </cell>
          <cell r="B747" t="str">
            <v>DEMAND SIDE MANAGEMENT COSTS</v>
          </cell>
          <cell r="C747">
            <v>0</v>
          </cell>
          <cell r="D747">
            <v>0</v>
          </cell>
          <cell r="E747">
            <v>0</v>
          </cell>
          <cell r="F747">
            <v>0</v>
          </cell>
          <cell r="G747" t="str">
            <v>Expense</v>
          </cell>
          <cell r="H747" t="str">
            <v>Operating</v>
          </cell>
          <cell r="I747">
            <v>0</v>
          </cell>
          <cell r="K747" t="str">
            <v>Active</v>
          </cell>
          <cell r="L747" t="str">
            <v>Income Statement</v>
          </cell>
          <cell r="M747">
            <v>11</v>
          </cell>
        </row>
        <row r="748">
          <cell r="A748">
            <v>928.02</v>
          </cell>
          <cell r="B748" t="str">
            <v>VEC SPECIAL MEETING</v>
          </cell>
          <cell r="C748">
            <v>0</v>
          </cell>
          <cell r="D748">
            <v>0</v>
          </cell>
          <cell r="E748">
            <v>0</v>
          </cell>
          <cell r="F748">
            <v>0</v>
          </cell>
          <cell r="G748" t="str">
            <v>Expense</v>
          </cell>
          <cell r="H748" t="str">
            <v>Operating</v>
          </cell>
          <cell r="I748">
            <v>0</v>
          </cell>
          <cell r="K748" t="str">
            <v>Active</v>
          </cell>
          <cell r="L748" t="str">
            <v>Income Statement</v>
          </cell>
          <cell r="M748">
            <v>11</v>
          </cell>
        </row>
        <row r="749">
          <cell r="A749">
            <v>928.03</v>
          </cell>
          <cell r="B749" t="str">
            <v>BIOMAS FEASIBILITY STUDY</v>
          </cell>
          <cell r="C749">
            <v>0</v>
          </cell>
          <cell r="D749">
            <v>0</v>
          </cell>
          <cell r="E749">
            <v>0</v>
          </cell>
          <cell r="F749">
            <v>0</v>
          </cell>
          <cell r="G749" t="str">
            <v>Expense</v>
          </cell>
          <cell r="H749" t="str">
            <v>Operating</v>
          </cell>
          <cell r="I749">
            <v>0</v>
          </cell>
          <cell r="K749" t="str">
            <v>Active</v>
          </cell>
          <cell r="L749" t="str">
            <v>Income Statement</v>
          </cell>
          <cell r="M749">
            <v>11</v>
          </cell>
        </row>
        <row r="750">
          <cell r="A750">
            <v>928.04</v>
          </cell>
          <cell r="B750" t="str">
            <v>SMART GRID GRANT ADMINISTRATION</v>
          </cell>
          <cell r="C750">
            <v>9601.5499999999993</v>
          </cell>
          <cell r="D750">
            <v>9988.1</v>
          </cell>
          <cell r="E750">
            <v>9601.5499999999993</v>
          </cell>
          <cell r="F750">
            <v>9988.1</v>
          </cell>
          <cell r="G750" t="str">
            <v>Expense</v>
          </cell>
          <cell r="H750" t="str">
            <v>Operating</v>
          </cell>
          <cell r="I750">
            <v>0</v>
          </cell>
          <cell r="K750" t="str">
            <v>Active</v>
          </cell>
          <cell r="L750" t="str">
            <v>Income Statement</v>
          </cell>
          <cell r="M750">
            <v>11</v>
          </cell>
        </row>
        <row r="751">
          <cell r="A751">
            <v>928.05</v>
          </cell>
          <cell r="B751" t="str">
            <v>SMART GRID CUSTOMER SYSTEMS ADM.</v>
          </cell>
          <cell r="C751">
            <v>7950.08</v>
          </cell>
          <cell r="D751">
            <v>9571.34</v>
          </cell>
          <cell r="E751">
            <v>7950.08</v>
          </cell>
          <cell r="F751">
            <v>9571.34</v>
          </cell>
          <cell r="G751" t="str">
            <v>Expense</v>
          </cell>
          <cell r="H751" t="str">
            <v>Operating</v>
          </cell>
          <cell r="I751">
            <v>0</v>
          </cell>
          <cell r="K751" t="str">
            <v>Active</v>
          </cell>
          <cell r="L751" t="str">
            <v>Income Statement</v>
          </cell>
          <cell r="M751">
            <v>11</v>
          </cell>
        </row>
        <row r="752">
          <cell r="A752">
            <v>928.06</v>
          </cell>
          <cell r="B752" t="str">
            <v>DOCKET #6290 DUP/DSM</v>
          </cell>
          <cell r="C752">
            <v>0</v>
          </cell>
          <cell r="D752">
            <v>0</v>
          </cell>
          <cell r="E752">
            <v>0</v>
          </cell>
          <cell r="F752">
            <v>0</v>
          </cell>
          <cell r="G752" t="str">
            <v>Expense</v>
          </cell>
          <cell r="H752" t="str">
            <v>Operating</v>
          </cell>
          <cell r="I752">
            <v>0</v>
          </cell>
          <cell r="K752" t="str">
            <v>Active</v>
          </cell>
          <cell r="L752" t="str">
            <v>Income Statement</v>
          </cell>
          <cell r="M752">
            <v>11</v>
          </cell>
        </row>
        <row r="753">
          <cell r="A753">
            <v>928.07</v>
          </cell>
          <cell r="B753" t="str">
            <v>DKT #6708-RICHMOND SUB ACT 248</v>
          </cell>
          <cell r="C753">
            <v>0</v>
          </cell>
          <cell r="D753">
            <v>0</v>
          </cell>
          <cell r="E753">
            <v>0</v>
          </cell>
          <cell r="F753">
            <v>0</v>
          </cell>
          <cell r="G753" t="str">
            <v>Expense</v>
          </cell>
          <cell r="H753" t="str">
            <v>Operating</v>
          </cell>
          <cell r="I753">
            <v>0</v>
          </cell>
          <cell r="K753" t="str">
            <v>Active</v>
          </cell>
          <cell r="L753" t="str">
            <v>Income Statement</v>
          </cell>
          <cell r="M753">
            <v>11</v>
          </cell>
        </row>
        <row r="754">
          <cell r="A754">
            <v>928.08</v>
          </cell>
          <cell r="B754" t="str">
            <v>DKTS #6608/6655 - POLE ATTACHMEN</v>
          </cell>
          <cell r="C754">
            <v>0</v>
          </cell>
          <cell r="D754">
            <v>0</v>
          </cell>
          <cell r="E754">
            <v>0</v>
          </cell>
          <cell r="F754">
            <v>0</v>
          </cell>
          <cell r="G754" t="str">
            <v>Expense</v>
          </cell>
          <cell r="H754" t="str">
            <v>Operating</v>
          </cell>
          <cell r="I754">
            <v>0</v>
          </cell>
          <cell r="K754" t="str">
            <v>Active</v>
          </cell>
          <cell r="L754" t="str">
            <v>Income Statement</v>
          </cell>
          <cell r="M754">
            <v>11</v>
          </cell>
        </row>
        <row r="755">
          <cell r="A755">
            <v>928.09</v>
          </cell>
          <cell r="B755" t="str">
            <v>VEC GREEN TEAM (VOLUNTARY PRICE PROGRAM)</v>
          </cell>
          <cell r="C755">
            <v>21.21</v>
          </cell>
          <cell r="D755">
            <v>0</v>
          </cell>
          <cell r="E755">
            <v>21.21</v>
          </cell>
          <cell r="F755">
            <v>0</v>
          </cell>
          <cell r="G755" t="str">
            <v>Expense</v>
          </cell>
          <cell r="H755" t="str">
            <v>Operating</v>
          </cell>
          <cell r="I755">
            <v>0</v>
          </cell>
          <cell r="K755" t="str">
            <v>Active</v>
          </cell>
          <cell r="L755" t="str">
            <v>Income Statement</v>
          </cell>
          <cell r="M755">
            <v>11</v>
          </cell>
        </row>
        <row r="756">
          <cell r="A756">
            <v>928.1</v>
          </cell>
          <cell r="B756" t="str">
            <v>DOCKET #6704 JOHNSON SUB ACT 248</v>
          </cell>
          <cell r="C756">
            <v>0</v>
          </cell>
          <cell r="D756">
            <v>0</v>
          </cell>
          <cell r="E756">
            <v>0</v>
          </cell>
          <cell r="F756">
            <v>0</v>
          </cell>
          <cell r="G756" t="str">
            <v>Expense</v>
          </cell>
          <cell r="H756" t="str">
            <v>Operating</v>
          </cell>
          <cell r="I756">
            <v>0</v>
          </cell>
          <cell r="K756" t="str">
            <v>Active</v>
          </cell>
          <cell r="L756" t="str">
            <v>Income Statement</v>
          </cell>
          <cell r="M756">
            <v>11</v>
          </cell>
        </row>
        <row r="757">
          <cell r="A757">
            <v>928.11</v>
          </cell>
          <cell r="B757" t="str">
            <v>DOCKET #6470-VEPP-PURCH PWR AGMT</v>
          </cell>
          <cell r="C757">
            <v>0</v>
          </cell>
          <cell r="D757">
            <v>0</v>
          </cell>
          <cell r="E757">
            <v>0</v>
          </cell>
          <cell r="F757">
            <v>0</v>
          </cell>
          <cell r="G757" t="str">
            <v>Expense</v>
          </cell>
          <cell r="H757" t="str">
            <v>Operating</v>
          </cell>
          <cell r="I757">
            <v>0</v>
          </cell>
          <cell r="K757" t="str">
            <v>Active</v>
          </cell>
          <cell r="L757" t="str">
            <v>Income Statement</v>
          </cell>
          <cell r="M757">
            <v>11</v>
          </cell>
        </row>
        <row r="758">
          <cell r="A758">
            <v>928.12</v>
          </cell>
          <cell r="B758" t="str">
            <v>DKT #6721 PLEASANT VALLEY 248</v>
          </cell>
          <cell r="C758">
            <v>0</v>
          </cell>
          <cell r="D758">
            <v>0</v>
          </cell>
          <cell r="E758">
            <v>0</v>
          </cell>
          <cell r="F758">
            <v>0</v>
          </cell>
          <cell r="G758" t="str">
            <v>Expense</v>
          </cell>
          <cell r="H758" t="str">
            <v>Operating</v>
          </cell>
          <cell r="I758">
            <v>0</v>
          </cell>
          <cell r="K758" t="str">
            <v>Active</v>
          </cell>
          <cell r="L758" t="str">
            <v>Income Statement</v>
          </cell>
          <cell r="M758">
            <v>11</v>
          </cell>
        </row>
        <row r="759">
          <cell r="A759">
            <v>928.13</v>
          </cell>
          <cell r="B759" t="str">
            <v>DKT #6789-LOWELL SUB ACT 248</v>
          </cell>
          <cell r="C759">
            <v>0</v>
          </cell>
          <cell r="D759">
            <v>0</v>
          </cell>
          <cell r="E759">
            <v>0</v>
          </cell>
          <cell r="F759">
            <v>0</v>
          </cell>
          <cell r="G759" t="str">
            <v>Expense</v>
          </cell>
          <cell r="H759" t="str">
            <v>Operating</v>
          </cell>
          <cell r="I759">
            <v>0</v>
          </cell>
          <cell r="K759" t="str">
            <v>Active</v>
          </cell>
          <cell r="L759" t="str">
            <v>Income Statement</v>
          </cell>
          <cell r="M759">
            <v>11</v>
          </cell>
        </row>
        <row r="760">
          <cell r="A760">
            <v>928.14</v>
          </cell>
          <cell r="B760" t="str">
            <v>IRP-INTERNAL &amp; LEGAL</v>
          </cell>
          <cell r="C760">
            <v>480.38</v>
          </cell>
          <cell r="D760">
            <v>1437.79</v>
          </cell>
          <cell r="E760">
            <v>480.38</v>
          </cell>
          <cell r="F760">
            <v>1437.79</v>
          </cell>
          <cell r="G760" t="str">
            <v>Expense</v>
          </cell>
          <cell r="H760" t="str">
            <v>Operating</v>
          </cell>
          <cell r="I760">
            <v>0</v>
          </cell>
          <cell r="K760" t="str">
            <v>Active</v>
          </cell>
          <cell r="L760" t="str">
            <v>Income Statement</v>
          </cell>
          <cell r="M760">
            <v>11</v>
          </cell>
        </row>
        <row r="761">
          <cell r="A761">
            <v>928.15</v>
          </cell>
          <cell r="B761" t="str">
            <v>DKT #6785-EDEN SUB ACT 248</v>
          </cell>
          <cell r="C761">
            <v>0</v>
          </cell>
          <cell r="D761">
            <v>0</v>
          </cell>
          <cell r="E761">
            <v>0</v>
          </cell>
          <cell r="F761">
            <v>0</v>
          </cell>
          <cell r="G761" t="str">
            <v>Expense</v>
          </cell>
          <cell r="H761" t="str">
            <v>Operating</v>
          </cell>
          <cell r="I761">
            <v>0</v>
          </cell>
          <cell r="K761" t="str">
            <v>Active</v>
          </cell>
          <cell r="L761" t="str">
            <v>Income Statement</v>
          </cell>
          <cell r="M761">
            <v>11</v>
          </cell>
        </row>
        <row r="762">
          <cell r="A762">
            <v>928.16</v>
          </cell>
          <cell r="B762" t="str">
            <v>DKT #6741 - EEU 2003</v>
          </cell>
          <cell r="C762">
            <v>0</v>
          </cell>
          <cell r="D762">
            <v>0</v>
          </cell>
          <cell r="E762">
            <v>0</v>
          </cell>
          <cell r="F762">
            <v>0</v>
          </cell>
          <cell r="G762" t="str">
            <v>Expense</v>
          </cell>
          <cell r="H762" t="str">
            <v>Operating</v>
          </cell>
          <cell r="I762">
            <v>0</v>
          </cell>
          <cell r="K762" t="str">
            <v>Active</v>
          </cell>
          <cell r="L762" t="str">
            <v>Income Statement</v>
          </cell>
          <cell r="M762">
            <v>11</v>
          </cell>
        </row>
        <row r="763">
          <cell r="A763">
            <v>928.17</v>
          </cell>
          <cell r="B763" t="str">
            <v>PSB LOAD STUDY/RATE DESIGN 2002</v>
          </cell>
          <cell r="C763">
            <v>0</v>
          </cell>
          <cell r="D763">
            <v>0</v>
          </cell>
          <cell r="E763">
            <v>0</v>
          </cell>
          <cell r="F763">
            <v>0</v>
          </cell>
          <cell r="G763" t="str">
            <v>Expense</v>
          </cell>
          <cell r="H763" t="str">
            <v>Operating</v>
          </cell>
          <cell r="I763">
            <v>0</v>
          </cell>
          <cell r="K763" t="str">
            <v>Active</v>
          </cell>
          <cell r="L763" t="str">
            <v>Income Statement</v>
          </cell>
          <cell r="M763">
            <v>11</v>
          </cell>
        </row>
        <row r="764">
          <cell r="A764">
            <v>928.18</v>
          </cell>
          <cell r="B764" t="str">
            <v>DKT #6750-6.93% RATE INC 2002</v>
          </cell>
          <cell r="C764">
            <v>0</v>
          </cell>
          <cell r="D764">
            <v>0</v>
          </cell>
          <cell r="E764">
            <v>0</v>
          </cell>
          <cell r="F764">
            <v>0</v>
          </cell>
          <cell r="G764" t="str">
            <v>Expense</v>
          </cell>
          <cell r="H764" t="str">
            <v>Operating</v>
          </cell>
          <cell r="I764">
            <v>0</v>
          </cell>
          <cell r="K764" t="str">
            <v>Active</v>
          </cell>
          <cell r="L764" t="str">
            <v>Income Statement</v>
          </cell>
          <cell r="M764">
            <v>11</v>
          </cell>
        </row>
        <row r="765">
          <cell r="A765">
            <v>928.19</v>
          </cell>
          <cell r="B765" t="str">
            <v>DKT #6763-VERIZON(CREOSOTE POLE)</v>
          </cell>
          <cell r="C765">
            <v>0</v>
          </cell>
          <cell r="D765">
            <v>0</v>
          </cell>
          <cell r="E765">
            <v>0</v>
          </cell>
          <cell r="F765">
            <v>0</v>
          </cell>
          <cell r="G765" t="str">
            <v>Expense</v>
          </cell>
          <cell r="H765" t="str">
            <v>Operating</v>
          </cell>
          <cell r="I765">
            <v>0</v>
          </cell>
          <cell r="K765" t="str">
            <v>Active</v>
          </cell>
          <cell r="L765" t="str">
            <v>Income Statement</v>
          </cell>
          <cell r="M765">
            <v>11</v>
          </cell>
        </row>
        <row r="766">
          <cell r="A766">
            <v>928.2</v>
          </cell>
          <cell r="B766" t="str">
            <v>DKT #6797-DIGITAL INJ LINE TARGT</v>
          </cell>
          <cell r="C766">
            <v>0</v>
          </cell>
          <cell r="D766">
            <v>0</v>
          </cell>
          <cell r="E766">
            <v>0</v>
          </cell>
          <cell r="F766">
            <v>0</v>
          </cell>
          <cell r="G766" t="str">
            <v>Expense</v>
          </cell>
          <cell r="H766" t="str">
            <v>Operating</v>
          </cell>
          <cell r="I766">
            <v>0</v>
          </cell>
          <cell r="K766" t="str">
            <v>Active</v>
          </cell>
          <cell r="L766" t="str">
            <v>Income Statement</v>
          </cell>
          <cell r="M766">
            <v>11</v>
          </cell>
        </row>
        <row r="767">
          <cell r="A767">
            <v>928.21</v>
          </cell>
          <cell r="B767" t="str">
            <v>DKT 6801 TAFT CNR AREA SPEC COLL</v>
          </cell>
          <cell r="C767">
            <v>0</v>
          </cell>
          <cell r="D767">
            <v>0</v>
          </cell>
          <cell r="E767">
            <v>0</v>
          </cell>
          <cell r="F767">
            <v>0</v>
          </cell>
          <cell r="G767" t="str">
            <v>Expense</v>
          </cell>
          <cell r="H767" t="str">
            <v>Operating</v>
          </cell>
          <cell r="I767">
            <v>0</v>
          </cell>
          <cell r="K767" t="str">
            <v>Active</v>
          </cell>
          <cell r="L767" t="str">
            <v>Income Statement</v>
          </cell>
          <cell r="M767">
            <v>11</v>
          </cell>
        </row>
        <row r="768">
          <cell r="A768">
            <v>928.22</v>
          </cell>
          <cell r="B768" t="str">
            <v>PSB RENEWABLE PORTFOLIO STANDARD</v>
          </cell>
          <cell r="C768">
            <v>0</v>
          </cell>
          <cell r="D768">
            <v>0</v>
          </cell>
          <cell r="E768">
            <v>0</v>
          </cell>
          <cell r="F768">
            <v>0</v>
          </cell>
          <cell r="G768" t="str">
            <v>Expense</v>
          </cell>
          <cell r="H768" t="str">
            <v>Operating</v>
          </cell>
          <cell r="I768">
            <v>0</v>
          </cell>
          <cell r="K768" t="str">
            <v>Active</v>
          </cell>
          <cell r="L768" t="str">
            <v>Income Statement</v>
          </cell>
          <cell r="M768">
            <v>11</v>
          </cell>
        </row>
        <row r="769">
          <cell r="A769">
            <v>928.23</v>
          </cell>
          <cell r="B769" t="str">
            <v>2004 VERMONT ELECTRIC PLAN (DPS)</v>
          </cell>
          <cell r="C769">
            <v>0</v>
          </cell>
          <cell r="D769">
            <v>0</v>
          </cell>
          <cell r="E769">
            <v>0</v>
          </cell>
          <cell r="F769">
            <v>0</v>
          </cell>
          <cell r="G769" t="str">
            <v>Expense</v>
          </cell>
          <cell r="H769" t="str">
            <v>Operating</v>
          </cell>
          <cell r="I769">
            <v>0</v>
          </cell>
          <cell r="K769" t="str">
            <v>Active</v>
          </cell>
          <cell r="L769" t="str">
            <v>Income Statement</v>
          </cell>
          <cell r="M769">
            <v>11</v>
          </cell>
        </row>
        <row r="770">
          <cell r="A770">
            <v>928.24</v>
          </cell>
          <cell r="B770" t="str">
            <v>DKT #7120-2004 RATE DESIGN STUDY</v>
          </cell>
          <cell r="C770">
            <v>0</v>
          </cell>
          <cell r="D770">
            <v>0</v>
          </cell>
          <cell r="E770">
            <v>0</v>
          </cell>
          <cell r="F770">
            <v>0</v>
          </cell>
          <cell r="G770" t="str">
            <v>Expense</v>
          </cell>
          <cell r="H770" t="str">
            <v>Operating</v>
          </cell>
          <cell r="I770">
            <v>0</v>
          </cell>
          <cell r="K770" t="str">
            <v>Active</v>
          </cell>
          <cell r="L770" t="str">
            <v>Income Statement</v>
          </cell>
          <cell r="M770">
            <v>11</v>
          </cell>
        </row>
        <row r="771">
          <cell r="A771">
            <v>928.25</v>
          </cell>
          <cell r="B771" t="str">
            <v>CVPS SOUTHERN LOOP TRANSM PROJEC</v>
          </cell>
          <cell r="C771">
            <v>0</v>
          </cell>
          <cell r="D771">
            <v>0</v>
          </cell>
          <cell r="E771">
            <v>0</v>
          </cell>
          <cell r="F771">
            <v>0</v>
          </cell>
          <cell r="G771" t="str">
            <v>Expense</v>
          </cell>
          <cell r="H771" t="str">
            <v>Operating</v>
          </cell>
          <cell r="I771">
            <v>0</v>
          </cell>
          <cell r="K771" t="str">
            <v>Inactive</v>
          </cell>
          <cell r="L771" t="str">
            <v>Income Statement</v>
          </cell>
          <cell r="M771">
            <v>11</v>
          </cell>
        </row>
        <row r="772">
          <cell r="A772">
            <v>928.26</v>
          </cell>
          <cell r="B772" t="str">
            <v>DKT #    -COST OF SERVICE STUDY</v>
          </cell>
          <cell r="C772">
            <v>0</v>
          </cell>
          <cell r="D772">
            <v>0</v>
          </cell>
          <cell r="E772">
            <v>0</v>
          </cell>
          <cell r="F772">
            <v>0</v>
          </cell>
          <cell r="G772" t="str">
            <v>Expense</v>
          </cell>
          <cell r="H772" t="str">
            <v>Operating</v>
          </cell>
          <cell r="I772">
            <v>0</v>
          </cell>
          <cell r="K772" t="str">
            <v>Active</v>
          </cell>
          <cell r="L772" t="str">
            <v>Income Statement</v>
          </cell>
          <cell r="M772">
            <v>11</v>
          </cell>
        </row>
        <row r="773">
          <cell r="A773">
            <v>928.27</v>
          </cell>
          <cell r="B773" t="str">
            <v>DKT #    - RATE CASE</v>
          </cell>
          <cell r="C773">
            <v>0</v>
          </cell>
          <cell r="D773">
            <v>3740.63</v>
          </cell>
          <cell r="E773">
            <v>0</v>
          </cell>
          <cell r="F773">
            <v>3740.63</v>
          </cell>
          <cell r="G773" t="str">
            <v>Expense</v>
          </cell>
          <cell r="H773" t="str">
            <v>Operating</v>
          </cell>
          <cell r="I773">
            <v>0</v>
          </cell>
          <cell r="K773" t="str">
            <v>Active</v>
          </cell>
          <cell r="L773" t="str">
            <v>Income Statement</v>
          </cell>
          <cell r="M773">
            <v>11</v>
          </cell>
        </row>
        <row r="774">
          <cell r="A774">
            <v>928.28</v>
          </cell>
          <cell r="B774" t="str">
            <v>DKT #7273-SQRP INVESTIGATION</v>
          </cell>
          <cell r="C774">
            <v>0</v>
          </cell>
          <cell r="D774">
            <v>0</v>
          </cell>
          <cell r="E774">
            <v>0</v>
          </cell>
          <cell r="F774">
            <v>0</v>
          </cell>
          <cell r="G774" t="str">
            <v>Expense</v>
          </cell>
          <cell r="H774" t="str">
            <v>Operating</v>
          </cell>
          <cell r="I774">
            <v>0</v>
          </cell>
          <cell r="K774" t="str">
            <v>Active</v>
          </cell>
          <cell r="L774" t="str">
            <v>Income Statement</v>
          </cell>
          <cell r="M774">
            <v>11</v>
          </cell>
        </row>
        <row r="775">
          <cell r="A775">
            <v>928.29</v>
          </cell>
          <cell r="B775" t="str">
            <v>VEC EASEMENTS</v>
          </cell>
          <cell r="C775">
            <v>0</v>
          </cell>
          <cell r="D775">
            <v>6224.82</v>
          </cell>
          <cell r="E775">
            <v>0</v>
          </cell>
          <cell r="F775">
            <v>6224.82</v>
          </cell>
          <cell r="G775" t="str">
            <v>Expense</v>
          </cell>
          <cell r="H775" t="str">
            <v>Operating</v>
          </cell>
          <cell r="I775">
            <v>0</v>
          </cell>
          <cell r="K775" t="str">
            <v>Active</v>
          </cell>
          <cell r="L775" t="str">
            <v>Income Statement</v>
          </cell>
          <cell r="M775">
            <v>11</v>
          </cell>
        </row>
        <row r="776">
          <cell r="A776">
            <v>930.01</v>
          </cell>
          <cell r="B776" t="str">
            <v>MISC GENERAL EXPENSE</v>
          </cell>
          <cell r="C776">
            <v>0</v>
          </cell>
          <cell r="D776">
            <v>0</v>
          </cell>
          <cell r="E776">
            <v>0</v>
          </cell>
          <cell r="F776">
            <v>0</v>
          </cell>
          <cell r="G776" t="str">
            <v>Expense</v>
          </cell>
          <cell r="H776" t="str">
            <v>Operating</v>
          </cell>
          <cell r="I776">
            <v>0</v>
          </cell>
          <cell r="K776" t="str">
            <v>Active</v>
          </cell>
          <cell r="L776" t="str">
            <v>Income Statement</v>
          </cell>
          <cell r="M776">
            <v>11</v>
          </cell>
        </row>
        <row r="777">
          <cell r="A777">
            <v>930.1</v>
          </cell>
          <cell r="B777" t="str">
            <v>GENERAL ADVERTISING EXP</v>
          </cell>
          <cell r="C777">
            <v>0</v>
          </cell>
          <cell r="D777">
            <v>0</v>
          </cell>
          <cell r="E777">
            <v>0</v>
          </cell>
          <cell r="F777">
            <v>0</v>
          </cell>
          <cell r="G777" t="str">
            <v>Expense</v>
          </cell>
          <cell r="H777" t="str">
            <v>Operating</v>
          </cell>
          <cell r="I777">
            <v>0</v>
          </cell>
          <cell r="K777" t="str">
            <v>Active</v>
          </cell>
          <cell r="L777" t="str">
            <v>Income Statement</v>
          </cell>
          <cell r="M777">
            <v>11</v>
          </cell>
        </row>
        <row r="778">
          <cell r="A778">
            <v>930.2</v>
          </cell>
          <cell r="B778" t="str">
            <v>MISC GEN EXP/SURVEY/ASSOC DUES</v>
          </cell>
          <cell r="C778">
            <v>0</v>
          </cell>
          <cell r="D778">
            <v>0</v>
          </cell>
          <cell r="E778">
            <v>0</v>
          </cell>
          <cell r="F778">
            <v>0</v>
          </cell>
          <cell r="G778" t="str">
            <v>Expense</v>
          </cell>
          <cell r="H778" t="str">
            <v>Operating</v>
          </cell>
          <cell r="I778">
            <v>0</v>
          </cell>
          <cell r="K778" t="str">
            <v>Active</v>
          </cell>
          <cell r="L778" t="str">
            <v>Income Statement</v>
          </cell>
          <cell r="M778">
            <v>11</v>
          </cell>
        </row>
        <row r="779">
          <cell r="A779">
            <v>930.25</v>
          </cell>
          <cell r="B779" t="str">
            <v>BUSINESS DEVELOPMENT</v>
          </cell>
          <cell r="C779">
            <v>0</v>
          </cell>
          <cell r="D779">
            <v>940.16</v>
          </cell>
          <cell r="E779">
            <v>0</v>
          </cell>
          <cell r="F779">
            <v>940.16</v>
          </cell>
          <cell r="G779" t="str">
            <v>Expense</v>
          </cell>
          <cell r="H779" t="str">
            <v>Operating</v>
          </cell>
          <cell r="I779">
            <v>0</v>
          </cell>
          <cell r="K779" t="str">
            <v>Active</v>
          </cell>
          <cell r="L779" t="str">
            <v>Income Statement</v>
          </cell>
          <cell r="M779">
            <v>11</v>
          </cell>
        </row>
        <row r="780">
          <cell r="A780">
            <v>930.4</v>
          </cell>
          <cell r="B780" t="str">
            <v>MISC GEN EXP EMP, ASSOC MTGS</v>
          </cell>
          <cell r="C780">
            <v>0</v>
          </cell>
          <cell r="D780">
            <v>0</v>
          </cell>
          <cell r="E780">
            <v>0</v>
          </cell>
          <cell r="F780">
            <v>0</v>
          </cell>
          <cell r="G780" t="str">
            <v>Expense</v>
          </cell>
          <cell r="H780" t="str">
            <v>Operating</v>
          </cell>
          <cell r="I780">
            <v>0</v>
          </cell>
          <cell r="K780" t="str">
            <v>Active</v>
          </cell>
          <cell r="L780" t="str">
            <v>Income Statement</v>
          </cell>
          <cell r="M780">
            <v>11</v>
          </cell>
        </row>
        <row r="781">
          <cell r="A781">
            <v>930.41</v>
          </cell>
          <cell r="B781" t="str">
            <v>MISC ANNUAL MTG GEN EXP</v>
          </cell>
          <cell r="C781">
            <v>531.05999999999995</v>
          </cell>
          <cell r="D781">
            <v>31882.13</v>
          </cell>
          <cell r="E781">
            <v>531.05999999999995</v>
          </cell>
          <cell r="F781">
            <v>31882.13</v>
          </cell>
          <cell r="G781" t="str">
            <v>Expense</v>
          </cell>
          <cell r="H781" t="str">
            <v>Operating</v>
          </cell>
          <cell r="I781">
            <v>0</v>
          </cell>
          <cell r="K781" t="str">
            <v>Active</v>
          </cell>
          <cell r="L781" t="str">
            <v>Income Statement</v>
          </cell>
          <cell r="M781">
            <v>11</v>
          </cell>
        </row>
        <row r="782">
          <cell r="A782">
            <v>930.42</v>
          </cell>
          <cell r="B782" t="str">
            <v>MISC GEN EXP EMP MTGS</v>
          </cell>
          <cell r="C782">
            <v>610.1</v>
          </cell>
          <cell r="D782">
            <v>9225.9699999999993</v>
          </cell>
          <cell r="E782">
            <v>610.1</v>
          </cell>
          <cell r="F782">
            <v>9225.9699999999993</v>
          </cell>
          <cell r="G782" t="str">
            <v>Expense</v>
          </cell>
          <cell r="H782" t="str">
            <v>Operating</v>
          </cell>
          <cell r="I782">
            <v>0</v>
          </cell>
          <cell r="K782" t="str">
            <v>Active</v>
          </cell>
          <cell r="L782" t="str">
            <v>Income Statement</v>
          </cell>
          <cell r="M782">
            <v>11</v>
          </cell>
        </row>
        <row r="783">
          <cell r="A783">
            <v>930.43</v>
          </cell>
          <cell r="B783" t="str">
            <v>MISC GEN EXP-STRATEGIC PLANNING</v>
          </cell>
          <cell r="C783">
            <v>174.28</v>
          </cell>
          <cell r="D783">
            <v>3092.15</v>
          </cell>
          <cell r="E783">
            <v>174.28</v>
          </cell>
          <cell r="F783">
            <v>3092.15</v>
          </cell>
          <cell r="G783" t="str">
            <v>Expense</v>
          </cell>
          <cell r="H783" t="str">
            <v>Operating</v>
          </cell>
          <cell r="I783">
            <v>0</v>
          </cell>
          <cell r="K783" t="str">
            <v>Active</v>
          </cell>
          <cell r="L783" t="str">
            <v>Income Statement</v>
          </cell>
          <cell r="M783">
            <v>11</v>
          </cell>
        </row>
        <row r="784">
          <cell r="A784">
            <v>930.44</v>
          </cell>
          <cell r="B784" t="str">
            <v>MISC GEN EXP:LINEWORKERS RODEO</v>
          </cell>
          <cell r="C784">
            <v>0</v>
          </cell>
          <cell r="D784">
            <v>0</v>
          </cell>
          <cell r="E784">
            <v>0</v>
          </cell>
          <cell r="F784">
            <v>0</v>
          </cell>
          <cell r="G784" t="str">
            <v>Expense</v>
          </cell>
          <cell r="H784" t="str">
            <v>Operating</v>
          </cell>
          <cell r="I784">
            <v>0</v>
          </cell>
          <cell r="K784" t="str">
            <v>Active</v>
          </cell>
          <cell r="L784" t="str">
            <v>Income Statement</v>
          </cell>
          <cell r="M784">
            <v>11</v>
          </cell>
        </row>
        <row r="785">
          <cell r="A785">
            <v>930.5</v>
          </cell>
          <cell r="B785" t="str">
            <v>MISC GEN EXP DIRECTORS</v>
          </cell>
          <cell r="C785">
            <v>18381.32</v>
          </cell>
          <cell r="D785">
            <v>39887.17</v>
          </cell>
          <cell r="E785">
            <v>18381.32</v>
          </cell>
          <cell r="F785">
            <v>39887.17</v>
          </cell>
          <cell r="G785" t="str">
            <v>Expense</v>
          </cell>
          <cell r="H785" t="str">
            <v>Operating</v>
          </cell>
          <cell r="I785">
            <v>0</v>
          </cell>
          <cell r="K785" t="str">
            <v>Active</v>
          </cell>
          <cell r="L785" t="str">
            <v>Income Statement</v>
          </cell>
          <cell r="M785">
            <v>11</v>
          </cell>
        </row>
        <row r="786">
          <cell r="A786">
            <v>930.8</v>
          </cell>
          <cell r="B786" t="str">
            <v>MISC GEN EXP COOP LIFE</v>
          </cell>
          <cell r="C786">
            <v>5781.38</v>
          </cell>
          <cell r="D786">
            <v>44518.26</v>
          </cell>
          <cell r="E786">
            <v>5781.38</v>
          </cell>
          <cell r="F786">
            <v>44518.26</v>
          </cell>
          <cell r="G786" t="str">
            <v>Expense</v>
          </cell>
          <cell r="H786" t="str">
            <v>Operating</v>
          </cell>
          <cell r="I786">
            <v>0</v>
          </cell>
          <cell r="K786" t="str">
            <v>Active</v>
          </cell>
          <cell r="L786" t="str">
            <v>Income Statement</v>
          </cell>
          <cell r="M786">
            <v>11</v>
          </cell>
        </row>
        <row r="787">
          <cell r="A787">
            <v>930.99</v>
          </cell>
          <cell r="B787" t="str">
            <v>MISC GEN EXPENSE - PROPERTY TA</v>
          </cell>
          <cell r="C787">
            <v>2692.34</v>
          </cell>
          <cell r="D787">
            <v>4517.9399999999996</v>
          </cell>
          <cell r="E787">
            <v>2692.34</v>
          </cell>
          <cell r="F787">
            <v>4517.9399999999996</v>
          </cell>
          <cell r="G787" t="str">
            <v>Expense</v>
          </cell>
          <cell r="H787" t="str">
            <v>Operating</v>
          </cell>
          <cell r="I787">
            <v>0</v>
          </cell>
          <cell r="K787" t="str">
            <v>Active</v>
          </cell>
          <cell r="L787" t="str">
            <v>Income Statement</v>
          </cell>
          <cell r="M787">
            <v>11</v>
          </cell>
        </row>
        <row r="788">
          <cell r="A788">
            <v>932.1</v>
          </cell>
          <cell r="B788" t="str">
            <v>MAINT GEN PROP HDQTRS</v>
          </cell>
          <cell r="C788">
            <v>10194.83</v>
          </cell>
          <cell r="D788">
            <v>12942.38</v>
          </cell>
          <cell r="E788">
            <v>10194.83</v>
          </cell>
          <cell r="F788">
            <v>12942.38</v>
          </cell>
          <cell r="G788" t="str">
            <v>Expense</v>
          </cell>
          <cell r="H788" t="str">
            <v>Operating</v>
          </cell>
          <cell r="I788">
            <v>0</v>
          </cell>
          <cell r="K788" t="str">
            <v>Active</v>
          </cell>
          <cell r="L788" t="str">
            <v>Income Statement</v>
          </cell>
          <cell r="M788">
            <v>11</v>
          </cell>
        </row>
        <row r="789">
          <cell r="A789">
            <v>932.2</v>
          </cell>
          <cell r="B789" t="str">
            <v>MAINT GEN PROP OFFICE EQUIP</v>
          </cell>
          <cell r="C789">
            <v>0</v>
          </cell>
          <cell r="D789">
            <v>0</v>
          </cell>
          <cell r="E789">
            <v>0</v>
          </cell>
          <cell r="F789">
            <v>0</v>
          </cell>
          <cell r="G789" t="str">
            <v>Expense</v>
          </cell>
          <cell r="H789" t="str">
            <v>Operating</v>
          </cell>
          <cell r="I789">
            <v>0</v>
          </cell>
          <cell r="K789" t="str">
            <v>Inactive</v>
          </cell>
          <cell r="L789" t="str">
            <v>Income Statement</v>
          </cell>
          <cell r="M789">
            <v>11</v>
          </cell>
        </row>
        <row r="790">
          <cell r="A790">
            <v>932.5</v>
          </cell>
          <cell r="B790" t="str">
            <v>MAINT GEN PROP MISC EQUIP</v>
          </cell>
          <cell r="C790">
            <v>0</v>
          </cell>
          <cell r="D790">
            <v>43.9</v>
          </cell>
          <cell r="E790">
            <v>0</v>
          </cell>
          <cell r="F790">
            <v>43.9</v>
          </cell>
          <cell r="G790" t="str">
            <v>Expense</v>
          </cell>
          <cell r="H790" t="str">
            <v>Operating</v>
          </cell>
          <cell r="I790">
            <v>0</v>
          </cell>
          <cell r="K790" t="str">
            <v>Active</v>
          </cell>
          <cell r="L790" t="str">
            <v>Income Statement</v>
          </cell>
          <cell r="M790">
            <v>11</v>
          </cell>
        </row>
        <row r="791">
          <cell r="A791">
            <v>932.7</v>
          </cell>
          <cell r="B791" t="str">
            <v>MAINT WHSE &amp; GARAGE NORTH</v>
          </cell>
          <cell r="C791">
            <v>9184.24</v>
          </cell>
          <cell r="D791">
            <v>13361.48</v>
          </cell>
          <cell r="E791">
            <v>9184.24</v>
          </cell>
          <cell r="F791">
            <v>13361.48</v>
          </cell>
          <cell r="G791" t="str">
            <v>Expense</v>
          </cell>
          <cell r="H791" t="str">
            <v>Operating</v>
          </cell>
          <cell r="I791">
            <v>0</v>
          </cell>
          <cell r="K791" t="str">
            <v>Active</v>
          </cell>
          <cell r="L791" t="str">
            <v>Income Statement</v>
          </cell>
          <cell r="M791">
            <v>11</v>
          </cell>
        </row>
        <row r="792">
          <cell r="A792">
            <v>932.71</v>
          </cell>
          <cell r="B792" t="str">
            <v>MAINT WHSE &amp; GARAGE SOUTH</v>
          </cell>
          <cell r="C792">
            <v>0</v>
          </cell>
          <cell r="D792">
            <v>0</v>
          </cell>
          <cell r="E792">
            <v>0</v>
          </cell>
          <cell r="F792">
            <v>0</v>
          </cell>
          <cell r="G792" t="str">
            <v>Expense</v>
          </cell>
          <cell r="H792" t="str">
            <v>Operating</v>
          </cell>
          <cell r="I792">
            <v>0</v>
          </cell>
          <cell r="K792" t="str">
            <v>Active</v>
          </cell>
          <cell r="L792" t="str">
            <v>Income Statement</v>
          </cell>
          <cell r="M792">
            <v>11</v>
          </cell>
        </row>
        <row r="793">
          <cell r="A793">
            <v>932.75</v>
          </cell>
          <cell r="B793" t="str">
            <v>GAS CLEAN NORTH TANK #1</v>
          </cell>
          <cell r="C793">
            <v>0</v>
          </cell>
          <cell r="D793">
            <v>0</v>
          </cell>
          <cell r="E793">
            <v>0</v>
          </cell>
          <cell r="F793">
            <v>0</v>
          </cell>
          <cell r="G793" t="str">
            <v>Expense</v>
          </cell>
          <cell r="H793" t="str">
            <v>Operating</v>
          </cell>
          <cell r="I793">
            <v>0</v>
          </cell>
          <cell r="K793" t="str">
            <v>Active</v>
          </cell>
          <cell r="L793" t="str">
            <v>Income Statement</v>
          </cell>
          <cell r="M793">
            <v>11</v>
          </cell>
        </row>
        <row r="794">
          <cell r="A794">
            <v>932.76</v>
          </cell>
          <cell r="B794" t="str">
            <v>GAS CLEAN UP SOUTH</v>
          </cell>
          <cell r="C794">
            <v>0</v>
          </cell>
          <cell r="D794">
            <v>0</v>
          </cell>
          <cell r="E794">
            <v>0</v>
          </cell>
          <cell r="F794">
            <v>0</v>
          </cell>
          <cell r="G794" t="str">
            <v>Expense</v>
          </cell>
          <cell r="H794" t="str">
            <v>Operating</v>
          </cell>
          <cell r="I794">
            <v>0</v>
          </cell>
          <cell r="K794" t="str">
            <v>Inactive</v>
          </cell>
          <cell r="L794" t="str">
            <v>Income Statement</v>
          </cell>
          <cell r="M794">
            <v>11</v>
          </cell>
        </row>
        <row r="795">
          <cell r="A795">
            <v>998</v>
          </cell>
          <cell r="B795" t="str">
            <v>998 Clearing</v>
          </cell>
          <cell r="C795">
            <v>0</v>
          </cell>
          <cell r="D795">
            <v>0</v>
          </cell>
          <cell r="E795">
            <v>0</v>
          </cell>
          <cell r="F795">
            <v>0</v>
          </cell>
          <cell r="G795" t="str">
            <v>Clearing</v>
          </cell>
          <cell r="I795">
            <v>0</v>
          </cell>
          <cell r="K795" t="str">
            <v>Active</v>
          </cell>
          <cell r="M795">
            <v>0</v>
          </cell>
        </row>
        <row r="796">
          <cell r="A796">
            <v>998.1</v>
          </cell>
          <cell r="B796" t="str">
            <v>Profit Clearing Operating</v>
          </cell>
          <cell r="C796">
            <v>0</v>
          </cell>
          <cell r="D796">
            <v>0</v>
          </cell>
          <cell r="E796">
            <v>0</v>
          </cell>
          <cell r="F796">
            <v>0</v>
          </cell>
          <cell r="G796" t="str">
            <v>Clearing</v>
          </cell>
          <cell r="I796">
            <v>0</v>
          </cell>
          <cell r="K796" t="str">
            <v>Active</v>
          </cell>
          <cell r="L796" t="str">
            <v>Balance Sheet</v>
          </cell>
          <cell r="M796">
            <v>31</v>
          </cell>
        </row>
        <row r="797">
          <cell r="A797">
            <v>998.2</v>
          </cell>
          <cell r="B797" t="str">
            <v>Profit Clearing Non Operating</v>
          </cell>
          <cell r="C797">
            <v>0</v>
          </cell>
          <cell r="D797">
            <v>0</v>
          </cell>
          <cell r="E797">
            <v>0</v>
          </cell>
          <cell r="F797">
            <v>0</v>
          </cell>
          <cell r="G797" t="str">
            <v>Clearing</v>
          </cell>
          <cell r="I797">
            <v>0</v>
          </cell>
          <cell r="K797" t="str">
            <v>Active</v>
          </cell>
          <cell r="L797" t="str">
            <v>Balance Sheet</v>
          </cell>
          <cell r="M797">
            <v>31</v>
          </cell>
        </row>
        <row r="798">
          <cell r="A798">
            <v>999</v>
          </cell>
          <cell r="B798" t="str">
            <v>999 Clearing</v>
          </cell>
          <cell r="C798">
            <v>0</v>
          </cell>
          <cell r="D798">
            <v>0</v>
          </cell>
          <cell r="E798">
            <v>0</v>
          </cell>
          <cell r="F798">
            <v>0</v>
          </cell>
          <cell r="G798" t="str">
            <v>Clearing</v>
          </cell>
          <cell r="I798">
            <v>0</v>
          </cell>
          <cell r="K798" t="str">
            <v>Active</v>
          </cell>
          <cell r="M798">
            <v>0</v>
          </cell>
        </row>
        <row r="799">
          <cell r="A799">
            <v>999.99</v>
          </cell>
          <cell r="B799" t="str">
            <v>FOR COMPOUND JE</v>
          </cell>
          <cell r="C799">
            <v>0</v>
          </cell>
          <cell r="D799">
            <v>0</v>
          </cell>
          <cell r="E799">
            <v>0</v>
          </cell>
          <cell r="F799">
            <v>0</v>
          </cell>
          <cell r="G799" t="str">
            <v>Expense</v>
          </cell>
          <cell r="H799" t="str">
            <v>Operating</v>
          </cell>
          <cell r="I799">
            <v>0</v>
          </cell>
          <cell r="K799" t="str">
            <v>Active</v>
          </cell>
          <cell r="L799" t="str">
            <v>Income Statement</v>
          </cell>
          <cell r="M799">
            <v>11</v>
          </cell>
        </row>
        <row r="801">
          <cell r="C801">
            <v>0</v>
          </cell>
        </row>
      </sheetData>
      <sheetData sheetId="17">
        <row r="1">
          <cell r="A1" t="str">
            <v>Account</v>
          </cell>
        </row>
      </sheetData>
      <sheetData sheetId="18">
        <row r="1">
          <cell r="A1" t="str">
            <v>Account</v>
          </cell>
        </row>
      </sheetData>
      <sheetData sheetId="19">
        <row r="1">
          <cell r="A1" t="str">
            <v>Account</v>
          </cell>
        </row>
      </sheetData>
      <sheetData sheetId="20">
        <row r="1">
          <cell r="A1" t="str">
            <v>Account</v>
          </cell>
        </row>
      </sheetData>
      <sheetData sheetId="21">
        <row r="1">
          <cell r="A1" t="str">
            <v>Account</v>
          </cell>
        </row>
      </sheetData>
      <sheetData sheetId="22">
        <row r="1">
          <cell r="A1" t="str">
            <v>Account</v>
          </cell>
        </row>
      </sheetData>
      <sheetData sheetId="23">
        <row r="1">
          <cell r="A1" t="str">
            <v>Account</v>
          </cell>
        </row>
      </sheetData>
      <sheetData sheetId="24">
        <row r="1">
          <cell r="A1" t="str">
            <v>Account</v>
          </cell>
        </row>
      </sheetData>
      <sheetData sheetId="25">
        <row r="1">
          <cell r="A1" t="str">
            <v>Account</v>
          </cell>
        </row>
      </sheetData>
      <sheetData sheetId="26">
        <row r="1">
          <cell r="A1" t="str">
            <v>Account</v>
          </cell>
        </row>
      </sheetData>
      <sheetData sheetId="27">
        <row r="1">
          <cell r="A1" t="str">
            <v>Account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1- VEC Master Summary"/>
      <sheetName val="S1-1.5 TIER"/>
      <sheetName val="S2 - Power Supply"/>
      <sheetName val="S3 - Transmission"/>
      <sheetName val="S4 - Dist Ops &amp; Mtce"/>
      <sheetName val="S5 - Customer Accounts"/>
      <sheetName val="S6 - Admin &amp; Gen"/>
      <sheetName val="S6A Total Payroll by Function"/>
      <sheetName val="S6B Total Payroll + Benefits"/>
      <sheetName val="S7 - Insurance"/>
      <sheetName val="S7A Information Technology"/>
      <sheetName val="S8 - Deprec &amp; Amortiz Exp "/>
      <sheetName val="S9 - Interest Exp"/>
      <sheetName val="S10 - Int, Div, Capital Income"/>
      <sheetName val="S11 - Revenues &amp; Non-Op Margins"/>
      <sheetName val="S12 - Chart of Accts Trial Bal."/>
      <sheetName val="S13A - Chart of Major Items"/>
      <sheetName val="S13B - Major Items of Change"/>
      <sheetName val="S14 - Financial Ratio Analysi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>
        <row r="14">
          <cell r="C14">
            <v>578137.78</v>
          </cell>
        </row>
        <row r="17">
          <cell r="C17">
            <v>1846448.64</v>
          </cell>
        </row>
        <row r="18">
          <cell r="C18">
            <v>59915</v>
          </cell>
        </row>
        <row r="275">
          <cell r="C275">
            <v>-694299.98</v>
          </cell>
        </row>
      </sheetData>
      <sheetData sheetId="16" refreshError="1"/>
      <sheetData sheetId="17" refreshError="1"/>
      <sheetData sheetId="18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Slipstream">
      <a:dk1>
        <a:sysClr val="windowText" lastClr="000000"/>
      </a:dk1>
      <a:lt1>
        <a:sysClr val="window" lastClr="FFFFFF"/>
      </a:lt1>
      <a:dk2>
        <a:srgbClr val="212745"/>
      </a:dk2>
      <a:lt2>
        <a:srgbClr val="B4DCFA"/>
      </a:lt2>
      <a:accent1>
        <a:srgbClr val="4E67C8"/>
      </a:accent1>
      <a:accent2>
        <a:srgbClr val="5ECCF3"/>
      </a:accent2>
      <a:accent3>
        <a:srgbClr val="A7EA52"/>
      </a:accent3>
      <a:accent4>
        <a:srgbClr val="5DCEAF"/>
      </a:accent4>
      <a:accent5>
        <a:srgbClr val="FF8021"/>
      </a:accent5>
      <a:accent6>
        <a:srgbClr val="F14124"/>
      </a:accent6>
      <a:hlink>
        <a:srgbClr val="56C7AA"/>
      </a:hlink>
      <a:folHlink>
        <a:srgbClr val="59A8D1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79"/>
  <sheetViews>
    <sheetView showGridLines="0" tabSelected="1" zoomScale="80" zoomScaleNormal="80" workbookViewId="0"/>
  </sheetViews>
  <sheetFormatPr defaultColWidth="8" defaultRowHeight="13.2" x14ac:dyDescent="0.25"/>
  <cols>
    <col min="1" max="1" width="4.1796875" style="59" customWidth="1"/>
    <col min="2" max="2" width="50.08984375" style="59" customWidth="1"/>
    <col min="3" max="3" width="14.453125" style="59" bestFit="1" customWidth="1"/>
    <col min="4" max="4" width="12.54296875" style="59" customWidth="1"/>
    <col min="5" max="5" width="13.36328125" style="59" customWidth="1"/>
    <col min="6" max="6" width="11.81640625" style="59" bestFit="1" customWidth="1"/>
    <col min="7" max="7" width="4.54296875" style="59" customWidth="1"/>
    <col min="8" max="8" width="9.36328125" style="267" customWidth="1"/>
    <col min="9" max="9" width="10.6328125" style="267" bestFit="1" customWidth="1"/>
    <col min="10" max="10" width="19.36328125" style="267" bestFit="1" customWidth="1"/>
    <col min="11" max="11" width="10.6328125" style="267" bestFit="1" customWidth="1"/>
    <col min="12" max="12" width="9.81640625" style="267" bestFit="1" customWidth="1"/>
    <col min="13" max="13" width="10.6328125" style="267" bestFit="1" customWidth="1"/>
    <col min="14" max="16384" width="8" style="267"/>
  </cols>
  <sheetData>
    <row r="1" spans="1:8" x14ac:dyDescent="0.25">
      <c r="A1" s="324" t="s">
        <v>882</v>
      </c>
      <c r="C1" s="66" t="s">
        <v>881</v>
      </c>
      <c r="H1" s="356"/>
    </row>
    <row r="2" spans="1:8" ht="21.75" customHeight="1" x14ac:dyDescent="0.25">
      <c r="A2" s="324" t="s">
        <v>298</v>
      </c>
      <c r="C2" s="267"/>
      <c r="H2" s="356"/>
    </row>
    <row r="3" spans="1:8" ht="21.75" customHeight="1" x14ac:dyDescent="0.25">
      <c r="A3" s="66" t="s">
        <v>124</v>
      </c>
      <c r="C3" s="529" t="s">
        <v>774</v>
      </c>
      <c r="D3" s="530"/>
      <c r="E3" s="530"/>
      <c r="F3" s="531"/>
      <c r="H3" s="356"/>
    </row>
    <row r="4" spans="1:8" ht="21.75" customHeight="1" x14ac:dyDescent="0.25">
      <c r="A4" s="98"/>
      <c r="B4" s="98"/>
      <c r="C4" s="108" t="s">
        <v>299</v>
      </c>
      <c r="D4" s="108" t="s">
        <v>146</v>
      </c>
      <c r="E4" s="108" t="s">
        <v>180</v>
      </c>
      <c r="F4" s="108" t="s">
        <v>309</v>
      </c>
      <c r="G4" s="108"/>
      <c r="H4" s="356"/>
    </row>
    <row r="5" spans="1:8" ht="21.75" customHeight="1" x14ac:dyDescent="0.25">
      <c r="A5" s="109" t="s">
        <v>310</v>
      </c>
      <c r="B5" s="141" t="s">
        <v>311</v>
      </c>
      <c r="C5" s="109" t="s">
        <v>1063</v>
      </c>
      <c r="D5" s="109" t="s">
        <v>147</v>
      </c>
      <c r="E5" s="109">
        <v>2025</v>
      </c>
      <c r="F5" s="109" t="s">
        <v>314</v>
      </c>
      <c r="G5" s="109"/>
      <c r="H5" s="356"/>
    </row>
    <row r="6" spans="1:8" ht="21.75" customHeight="1" x14ac:dyDescent="0.25">
      <c r="A6" s="98">
        <v>1</v>
      </c>
      <c r="B6" s="59" t="s">
        <v>673</v>
      </c>
      <c r="C6" s="79">
        <f>+'S12 Chart of Accts Trial Bal.'!C35-'S12 Chart of Accts Trial Bal.'!C13-'S12 Chart of Accts Trial Bal.'!C19</f>
        <v>39218203.460000001</v>
      </c>
      <c r="D6" s="79">
        <f>+'S2 Power Supply'!F17</f>
        <v>-822867.87838635664</v>
      </c>
      <c r="E6" s="79">
        <f>+C6+D6</f>
        <v>38395335.581613645</v>
      </c>
      <c r="F6" s="98">
        <v>2</v>
      </c>
      <c r="G6" s="111"/>
      <c r="H6" s="356"/>
    </row>
    <row r="7" spans="1:8" ht="21.75" customHeight="1" x14ac:dyDescent="0.25">
      <c r="A7" s="98">
        <f t="shared" ref="A7:A41" si="0">A6+1</f>
        <v>2</v>
      </c>
      <c r="B7" s="79" t="s">
        <v>316</v>
      </c>
      <c r="C7" s="79">
        <f>+'S12 Chart of Accts Trial Bal.'!C62-'S12 Chart of Accts Trial Bal.'!C58-'S12 Chart of Accts Trial Bal.'!C59-'S12 Chart of Accts Trial Bal.'!C60-'S12 Chart of Accts Trial Bal.'!C61</f>
        <v>16360311.540000001</v>
      </c>
      <c r="D7" s="79">
        <f>+'S3 Transmission'!E23</f>
        <v>2421166.3992556515</v>
      </c>
      <c r="E7" s="79">
        <f>C7+D7</f>
        <v>18781477.939255651</v>
      </c>
      <c r="F7" s="98">
        <v>3</v>
      </c>
      <c r="G7" s="111"/>
      <c r="H7" s="356"/>
    </row>
    <row r="8" spans="1:8" ht="21.75" customHeight="1" x14ac:dyDescent="0.25">
      <c r="A8" s="98">
        <f t="shared" si="0"/>
        <v>3</v>
      </c>
      <c r="B8" s="59" t="s">
        <v>58</v>
      </c>
      <c r="C8" s="79">
        <f>+'S12 Chart of Accts Trial Bal.'!C95</f>
        <v>7660257.9100000001</v>
      </c>
      <c r="D8" s="79">
        <f>+'S4 Dist Ops &amp; Mtce'!H56</f>
        <v>1488137.4163946258</v>
      </c>
      <c r="E8" s="79">
        <f>C8+D8</f>
        <v>9148395.326394625</v>
      </c>
      <c r="F8" s="98">
        <v>4</v>
      </c>
      <c r="G8" s="111"/>
      <c r="H8" s="356"/>
    </row>
    <row r="9" spans="1:8" ht="21.75" customHeight="1" x14ac:dyDescent="0.25">
      <c r="A9" s="98">
        <f t="shared" si="0"/>
        <v>4</v>
      </c>
      <c r="B9" s="59" t="s">
        <v>59</v>
      </c>
      <c r="C9" s="79">
        <f>+'S12 Chart of Accts Trial Bal.'!C116+'S12 Chart of Accts Trial Bal.'!C58+'S12 Chart of Accts Trial Bal.'!C59+'S12 Chart of Accts Trial Bal.'!C60+'S12 Chart of Accts Trial Bal.'!C61</f>
        <v>11552506.559999999</v>
      </c>
      <c r="D9" s="79">
        <f>+'S4 Dist Ops &amp; Mtce'!H34</f>
        <v>988303.56331742927</v>
      </c>
      <c r="E9" s="79">
        <f>C9+D9</f>
        <v>12540810.123317428</v>
      </c>
      <c r="F9" s="98">
        <v>4</v>
      </c>
      <c r="G9" s="111"/>
      <c r="H9" s="356"/>
    </row>
    <row r="10" spans="1:8" ht="21.75" customHeight="1" x14ac:dyDescent="0.25">
      <c r="A10" s="98">
        <f t="shared" si="0"/>
        <v>5</v>
      </c>
      <c r="B10" s="203" t="s">
        <v>60</v>
      </c>
      <c r="C10" s="79">
        <f>+'S12 Chart of Accts Trial Bal.'!C129+'S12 Chart of Accts Trial Bal.'!C132</f>
        <v>3142380.2300000004</v>
      </c>
      <c r="D10" s="79">
        <f>+'S5 Customer Accounts'!H18</f>
        <v>498089.09666491963</v>
      </c>
      <c r="E10" s="79">
        <f>C10+D10</f>
        <v>3640469.32666492</v>
      </c>
      <c r="F10" s="98">
        <v>5</v>
      </c>
      <c r="G10" s="111"/>
      <c r="H10" s="356"/>
    </row>
    <row r="11" spans="1:8" ht="21.75" customHeight="1" x14ac:dyDescent="0.25">
      <c r="A11" s="98">
        <f t="shared" si="0"/>
        <v>6</v>
      </c>
      <c r="B11" s="203" t="s">
        <v>320</v>
      </c>
      <c r="C11" s="79">
        <f>+'S12 Chart of Accts Trial Bal.'!C183</f>
        <v>5065840.2499999991</v>
      </c>
      <c r="D11" s="79">
        <f>+'S6 Admin &amp; Gen'!H21</f>
        <v>460313.94459015009</v>
      </c>
      <c r="E11" s="79">
        <f>C11+D11</f>
        <v>5526154.1945901494</v>
      </c>
      <c r="F11" s="98">
        <v>6</v>
      </c>
      <c r="G11" s="98"/>
      <c r="H11" s="356"/>
    </row>
    <row r="12" spans="1:8" ht="21.75" customHeight="1" x14ac:dyDescent="0.25">
      <c r="A12" s="98">
        <f t="shared" si="0"/>
        <v>7</v>
      </c>
      <c r="B12" s="358"/>
      <c r="C12" s="358"/>
      <c r="D12" s="358"/>
      <c r="E12" s="358"/>
      <c r="F12" s="98"/>
      <c r="G12" s="98"/>
      <c r="H12" s="356"/>
    </row>
    <row r="13" spans="1:8" ht="21.75" customHeight="1" x14ac:dyDescent="0.25">
      <c r="A13" s="98">
        <f t="shared" si="0"/>
        <v>8</v>
      </c>
      <c r="B13" s="203" t="s">
        <v>62</v>
      </c>
      <c r="C13" s="79">
        <f>SUM(C6:C11)</f>
        <v>82999499.950000003</v>
      </c>
      <c r="D13" s="79">
        <f>SUM(D6:D11)</f>
        <v>5033142.5418364201</v>
      </c>
      <c r="E13" s="79">
        <f>SUM(E6:E11)</f>
        <v>88032642.491836429</v>
      </c>
      <c r="F13" s="359"/>
      <c r="G13" s="359"/>
      <c r="H13" s="356"/>
    </row>
    <row r="14" spans="1:8" ht="21.75" customHeight="1" x14ac:dyDescent="0.25">
      <c r="A14" s="98">
        <f t="shared" si="0"/>
        <v>9</v>
      </c>
      <c r="B14" s="203"/>
      <c r="C14" s="203"/>
      <c r="D14" s="203"/>
      <c r="F14" s="98"/>
      <c r="G14" s="98"/>
      <c r="H14" s="356"/>
    </row>
    <row r="15" spans="1:8" ht="21.75" customHeight="1" x14ac:dyDescent="0.25">
      <c r="A15" s="98">
        <f t="shared" si="0"/>
        <v>10</v>
      </c>
      <c r="B15" s="203" t="s">
        <v>63</v>
      </c>
      <c r="C15" s="79">
        <f>+'S12 Chart of Accts Trial Bal.'!C196-'S12 Chart of Accts Trial Bal.'!C195</f>
        <v>6606656.6699999999</v>
      </c>
      <c r="D15" s="79">
        <f>+'S8 Deprec &amp; Amort Exp '!D12</f>
        <v>228848.33000000007</v>
      </c>
      <c r="E15" s="79">
        <f t="shared" ref="E15:E20" si="1">C15+D15</f>
        <v>6835505</v>
      </c>
      <c r="F15" s="98">
        <v>8</v>
      </c>
      <c r="G15" s="98"/>
      <c r="H15" s="356"/>
    </row>
    <row r="16" spans="1:8" ht="21.75" customHeight="1" x14ac:dyDescent="0.25">
      <c r="A16" s="98">
        <f t="shared" si="0"/>
        <v>11</v>
      </c>
      <c r="B16" s="59" t="s">
        <v>677</v>
      </c>
      <c r="C16" s="79">
        <f>+'S12 Chart of Accts Trial Bal.'!C195</f>
        <v>-1.68</v>
      </c>
      <c r="D16" s="79">
        <f>+'S8 Deprec &amp; Amort Exp '!D70</f>
        <v>1.68</v>
      </c>
      <c r="E16" s="79">
        <f t="shared" si="1"/>
        <v>0</v>
      </c>
      <c r="F16" s="98">
        <v>8</v>
      </c>
      <c r="G16" s="98"/>
      <c r="H16" s="356"/>
    </row>
    <row r="17" spans="1:8" ht="21.75" customHeight="1" x14ac:dyDescent="0.25">
      <c r="A17" s="98">
        <f t="shared" si="0"/>
        <v>12</v>
      </c>
      <c r="B17" s="59" t="s">
        <v>871</v>
      </c>
      <c r="C17" s="79">
        <f>+'S12 Chart of Accts Trial Bal.'!C199</f>
        <v>449738.55</v>
      </c>
      <c r="D17" s="79">
        <f>-C17</f>
        <v>-449738.55</v>
      </c>
      <c r="E17" s="79">
        <f t="shared" si="1"/>
        <v>0</v>
      </c>
      <c r="F17" s="98" t="s">
        <v>306</v>
      </c>
      <c r="G17" s="98"/>
      <c r="H17" s="356"/>
    </row>
    <row r="18" spans="1:8" ht="21.75" customHeight="1" x14ac:dyDescent="0.25">
      <c r="A18" s="98">
        <f t="shared" si="0"/>
        <v>13</v>
      </c>
      <c r="B18" s="59" t="s">
        <v>64</v>
      </c>
      <c r="C18" s="79">
        <f>+'S12 Chart of Accts Trial Bal.'!C198</f>
        <v>513815.75</v>
      </c>
      <c r="D18" s="79">
        <f>-C18</f>
        <v>-513815.75</v>
      </c>
      <c r="E18" s="79">
        <f t="shared" si="1"/>
        <v>0</v>
      </c>
      <c r="F18" s="98" t="s">
        <v>306</v>
      </c>
      <c r="G18" s="98"/>
      <c r="H18" s="356"/>
    </row>
    <row r="19" spans="1:8" ht="21.75" customHeight="1" x14ac:dyDescent="0.25">
      <c r="A19" s="98">
        <f t="shared" si="0"/>
        <v>14</v>
      </c>
      <c r="B19" s="59" t="s">
        <v>28</v>
      </c>
      <c r="C19" s="79">
        <f>+'S12 Chart of Accts Trial Bal.'!C226</f>
        <v>4141895.19</v>
      </c>
      <c r="D19" s="79">
        <f>+'S9 Interest Exp'!D32</f>
        <v>509065.81000000006</v>
      </c>
      <c r="E19" s="79">
        <f t="shared" si="1"/>
        <v>4650961</v>
      </c>
      <c r="F19" s="98">
        <v>9</v>
      </c>
      <c r="G19" s="98"/>
      <c r="H19" s="356"/>
    </row>
    <row r="20" spans="1:8" ht="21.75" customHeight="1" x14ac:dyDescent="0.25">
      <c r="A20" s="98">
        <f t="shared" si="0"/>
        <v>15</v>
      </c>
      <c r="B20" s="59" t="s">
        <v>65</v>
      </c>
      <c r="C20" s="79">
        <f>+'S12 Chart of Accts Trial Bal.'!C229</f>
        <v>670668.47</v>
      </c>
      <c r="D20" s="79">
        <f>+'S9 Interest Exp'!D36</f>
        <v>245387.53000000003</v>
      </c>
      <c r="E20" s="79">
        <f t="shared" si="1"/>
        <v>916056</v>
      </c>
      <c r="F20" s="98">
        <v>9</v>
      </c>
      <c r="G20" s="98"/>
      <c r="H20" s="356"/>
    </row>
    <row r="21" spans="1:8" ht="21.75" customHeight="1" x14ac:dyDescent="0.25">
      <c r="A21" s="98">
        <f t="shared" si="0"/>
        <v>16</v>
      </c>
      <c r="B21" s="59" t="s">
        <v>66</v>
      </c>
      <c r="C21" s="79">
        <f>+'S12 Chart of Accts Trial Bal.'!C234</f>
        <v>7313.2</v>
      </c>
      <c r="D21" s="79">
        <f>+E21-C21</f>
        <v>66.800000000000182</v>
      </c>
      <c r="E21" s="79">
        <v>7380</v>
      </c>
      <c r="F21" s="98" t="s">
        <v>210</v>
      </c>
      <c r="G21" s="98"/>
      <c r="H21" s="356"/>
    </row>
    <row r="22" spans="1:8" ht="21.75" customHeight="1" x14ac:dyDescent="0.25">
      <c r="A22" s="98">
        <f t="shared" si="0"/>
        <v>17</v>
      </c>
      <c r="B22" s="360"/>
      <c r="C22" s="99"/>
      <c r="D22" s="99"/>
      <c r="E22" s="99"/>
      <c r="F22" s="267"/>
      <c r="G22" s="267"/>
      <c r="H22" s="356"/>
    </row>
    <row r="23" spans="1:8" ht="21.75" customHeight="1" x14ac:dyDescent="0.25">
      <c r="A23" s="98">
        <f t="shared" si="0"/>
        <v>18</v>
      </c>
      <c r="B23" s="59" t="s">
        <v>67</v>
      </c>
      <c r="C23" s="79">
        <f>SUM(C13:C22)</f>
        <v>95389586.099999994</v>
      </c>
      <c r="D23" s="79">
        <f>SUM(D13:D22)</f>
        <v>5052958.3918364197</v>
      </c>
      <c r="E23" s="79">
        <f>SUM(E13:E22)</f>
        <v>100442544.49183643</v>
      </c>
      <c r="F23" s="98"/>
      <c r="G23" s="98"/>
      <c r="H23" s="356"/>
    </row>
    <row r="24" spans="1:8" ht="21.75" customHeight="1" x14ac:dyDescent="0.25">
      <c r="A24" s="98">
        <f t="shared" si="0"/>
        <v>19</v>
      </c>
      <c r="C24" s="79"/>
      <c r="D24" s="79"/>
      <c r="E24" s="79"/>
      <c r="F24" s="98"/>
      <c r="G24" s="98"/>
      <c r="H24" s="356"/>
    </row>
    <row r="25" spans="1:8" ht="21.75" customHeight="1" x14ac:dyDescent="0.25">
      <c r="A25" s="98">
        <f t="shared" si="0"/>
        <v>20</v>
      </c>
      <c r="B25" s="59" t="s">
        <v>699</v>
      </c>
      <c r="C25" s="79">
        <f>+'S12 Chart of Accts Trial Bal.'!C242</f>
        <v>-5655390.8899999997</v>
      </c>
      <c r="D25" s="79">
        <f>-'S10 Int, Div, Capital Income'!E14</f>
        <v>-522770.70999999903</v>
      </c>
      <c r="E25" s="79">
        <f>C25+D25</f>
        <v>-6178161.5999999987</v>
      </c>
      <c r="F25" s="98">
        <v>10</v>
      </c>
      <c r="G25" s="98"/>
      <c r="H25" s="356"/>
    </row>
    <row r="26" spans="1:8" ht="21.75" customHeight="1" x14ac:dyDescent="0.25">
      <c r="A26" s="98">
        <f t="shared" si="0"/>
        <v>21</v>
      </c>
      <c r="B26" s="59" t="s">
        <v>674</v>
      </c>
      <c r="C26" s="361">
        <f>-SUM('S12 Chart of Accts Trial Bal.'!C14:C18)+'S12 Chart of Accts Trial Bal.'!C277</f>
        <v>-3629844.8</v>
      </c>
      <c r="D26" s="79">
        <f>+'S11 Revenues &amp; Non-Op Margins'!D19-'S11 Revenues &amp; Non-Op Margins'!D13</f>
        <v>868064.43557284074</v>
      </c>
      <c r="E26" s="79">
        <f>C26+D26</f>
        <v>-2761780.3644271591</v>
      </c>
      <c r="F26" s="98">
        <v>11</v>
      </c>
      <c r="G26" s="98"/>
      <c r="H26" s="356"/>
    </row>
    <row r="27" spans="1:8" ht="21.75" customHeight="1" x14ac:dyDescent="0.25">
      <c r="A27" s="98">
        <f t="shared" si="0"/>
        <v>22</v>
      </c>
      <c r="B27" s="59" t="s">
        <v>68</v>
      </c>
      <c r="C27" s="79">
        <f>+'S12 Chart of Accts Trial Bal.'!C285</f>
        <v>-571001.2699999999</v>
      </c>
      <c r="D27" s="79">
        <f>-'S10 Int, Div, Capital Income'!E32</f>
        <v>-180</v>
      </c>
      <c r="E27" s="79">
        <f>C27+D27</f>
        <v>-571181.2699999999</v>
      </c>
      <c r="F27" s="98">
        <v>10</v>
      </c>
      <c r="G27" s="98"/>
      <c r="H27" s="356"/>
    </row>
    <row r="28" spans="1:8" ht="21.75" customHeight="1" x14ac:dyDescent="0.25">
      <c r="A28" s="98">
        <f t="shared" si="0"/>
        <v>23</v>
      </c>
      <c r="B28" s="59" t="s">
        <v>840</v>
      </c>
      <c r="C28" s="79">
        <f>+'S10 Int, Div, Capital Income'!D21+'S10 Int, Div, Capital Income'!D25+'S10 Int, Div, Capital Income'!D31+'S10 Int, Div, Capital Income'!D23+'S10 Int, Div, Capital Income'!D27</f>
        <v>231656</v>
      </c>
      <c r="D28" s="79">
        <f>+'S10 Int, Div, Capital Income'!E21+'S10 Int, Div, Capital Income'!E23</f>
        <v>0</v>
      </c>
      <c r="E28" s="79">
        <f>C28+D28</f>
        <v>231656</v>
      </c>
      <c r="F28" s="98">
        <v>10</v>
      </c>
      <c r="G28" s="98"/>
      <c r="H28" s="356"/>
    </row>
    <row r="29" spans="1:8" ht="21.75" customHeight="1" x14ac:dyDescent="0.25">
      <c r="A29" s="98">
        <f t="shared" si="0"/>
        <v>24</v>
      </c>
      <c r="B29" s="360"/>
      <c r="C29" s="99"/>
      <c r="D29" s="99"/>
      <c r="E29" s="99"/>
      <c r="F29" s="98"/>
      <c r="G29" s="98"/>
      <c r="H29" s="356"/>
    </row>
    <row r="30" spans="1:8" ht="21.75" customHeight="1" x14ac:dyDescent="0.25">
      <c r="A30" s="98">
        <f t="shared" si="0"/>
        <v>25</v>
      </c>
      <c r="B30" s="59" t="s">
        <v>13</v>
      </c>
      <c r="C30" s="79">
        <f>SUM(C23:C28)</f>
        <v>85765005.140000001</v>
      </c>
      <c r="D30" s="79">
        <f>SUM(D23:D28)</f>
        <v>5398072.1174092609</v>
      </c>
      <c r="E30" s="79">
        <f>SUM(E23:E28)</f>
        <v>91163077.257409275</v>
      </c>
      <c r="F30" s="98"/>
      <c r="G30" s="98"/>
      <c r="H30" s="356"/>
    </row>
    <row r="31" spans="1:8" ht="21.75" customHeight="1" x14ac:dyDescent="0.25">
      <c r="A31" s="98">
        <f>A30+1</f>
        <v>26</v>
      </c>
      <c r="C31" s="79"/>
      <c r="D31" s="79"/>
      <c r="E31" s="79"/>
      <c r="F31" s="98"/>
      <c r="G31" s="98"/>
      <c r="H31" s="356"/>
    </row>
    <row r="32" spans="1:8" ht="21.75" customHeight="1" x14ac:dyDescent="0.25">
      <c r="A32" s="98">
        <f t="shared" si="0"/>
        <v>27</v>
      </c>
      <c r="B32" s="360" t="s">
        <v>70</v>
      </c>
      <c r="C32" s="99">
        <f>SUM('S12 Chart of Accts Trial Bal.'!C6:C12)</f>
        <v>90275576.939999998</v>
      </c>
      <c r="D32" s="99">
        <f>-'S11 Revenues &amp; Non-Op Margins'!D13</f>
        <v>2979041.0600000024</v>
      </c>
      <c r="E32" s="99">
        <f>C32+D32</f>
        <v>93254618</v>
      </c>
      <c r="F32" s="98">
        <v>11</v>
      </c>
      <c r="G32" s="98"/>
      <c r="H32" s="356"/>
    </row>
    <row r="33" spans="1:11" ht="21.75" customHeight="1" x14ac:dyDescent="0.25">
      <c r="A33" s="98">
        <f t="shared" si="0"/>
        <v>28</v>
      </c>
      <c r="B33" s="59" t="s">
        <v>84</v>
      </c>
      <c r="C33" s="79">
        <f>C32-C30</f>
        <v>4510571.799999997</v>
      </c>
      <c r="D33" s="79"/>
      <c r="E33" s="362">
        <f>E32-E30</f>
        <v>2091540.7425907254</v>
      </c>
      <c r="F33" s="98"/>
      <c r="G33" s="98"/>
      <c r="H33" s="356"/>
    </row>
    <row r="34" spans="1:11" ht="21.75" customHeight="1" x14ac:dyDescent="0.25">
      <c r="A34" s="98">
        <f t="shared" si="0"/>
        <v>29</v>
      </c>
      <c r="C34" s="79"/>
      <c r="D34" s="79"/>
      <c r="E34" s="79"/>
      <c r="F34" s="98"/>
      <c r="G34" s="98"/>
      <c r="H34" s="356"/>
    </row>
    <row r="35" spans="1:11" ht="21.75" customHeight="1" x14ac:dyDescent="0.25">
      <c r="A35" s="98">
        <f t="shared" si="0"/>
        <v>30</v>
      </c>
      <c r="B35" s="360" t="s">
        <v>876</v>
      </c>
      <c r="C35" s="99">
        <f>1*(C19+C20)</f>
        <v>4812563.66</v>
      </c>
      <c r="D35" s="99"/>
      <c r="E35" s="99">
        <f>1*(E19+E20)</f>
        <v>5567017</v>
      </c>
      <c r="F35" s="98"/>
      <c r="G35" s="359"/>
      <c r="H35" s="363"/>
      <c r="I35" s="357"/>
      <c r="J35" s="374" t="s">
        <v>1120</v>
      </c>
      <c r="K35" s="375" t="s">
        <v>693</v>
      </c>
    </row>
    <row r="36" spans="1:11" ht="21.75" customHeight="1" x14ac:dyDescent="0.25">
      <c r="A36" s="98">
        <f t="shared" si="0"/>
        <v>31</v>
      </c>
      <c r="C36" s="79"/>
      <c r="D36" s="79"/>
      <c r="E36" s="79"/>
      <c r="F36" s="359"/>
      <c r="G36" s="359"/>
      <c r="H36" s="356"/>
      <c r="J36" s="376" t="s">
        <v>1122</v>
      </c>
      <c r="K36" s="377">
        <f>+D30+D39</f>
        <v>6436641.5465725055</v>
      </c>
    </row>
    <row r="37" spans="1:11" ht="21.75" customHeight="1" x14ac:dyDescent="0.25">
      <c r="A37" s="98">
        <f t="shared" si="0"/>
        <v>32</v>
      </c>
      <c r="B37" s="59" t="s">
        <v>11</v>
      </c>
      <c r="C37" s="79">
        <f>+C35-C33</f>
        <v>301991.86000000313</v>
      </c>
      <c r="D37" s="79"/>
      <c r="E37" s="79">
        <f>+E35-E33</f>
        <v>3475476.2574092746</v>
      </c>
      <c r="F37" s="98"/>
      <c r="G37" s="98"/>
      <c r="H37" s="356"/>
      <c r="J37" s="378" t="s">
        <v>1123</v>
      </c>
      <c r="K37" s="377">
        <f>+C40</f>
        <v>301991.86000000313</v>
      </c>
    </row>
    <row r="38" spans="1:11" ht="21.75" customHeight="1" x14ac:dyDescent="0.25">
      <c r="A38" s="98">
        <f t="shared" si="0"/>
        <v>33</v>
      </c>
      <c r="C38" s="79"/>
      <c r="D38" s="79"/>
      <c r="E38" s="79"/>
      <c r="F38" s="98"/>
      <c r="G38" s="98"/>
      <c r="H38" s="356"/>
      <c r="J38" s="376" t="s">
        <v>1124</v>
      </c>
      <c r="K38" s="377">
        <f>+D19+D20</f>
        <v>754453.34000000008</v>
      </c>
    </row>
    <row r="39" spans="1:11" ht="21.75" customHeight="1" thickBot="1" x14ac:dyDescent="0.3">
      <c r="A39" s="98">
        <f t="shared" si="0"/>
        <v>34</v>
      </c>
      <c r="B39" s="364" t="s">
        <v>175</v>
      </c>
      <c r="C39" s="365">
        <v>0</v>
      </c>
      <c r="D39" s="365">
        <f>+E39-C39</f>
        <v>1038569.4291632446</v>
      </c>
      <c r="E39" s="365">
        <f>+((E32+4514045)*0.005)+((E32+4514045-'S11 Revenues &amp; Non-Op Margins'!E14-'S11 Revenues &amp; Non-Op Margins'!E15+'S12 Chart of Accts Trial Bal.'!C15-'S2 Power Supply'!H12)*0.00525)</f>
        <v>1038569.4291632446</v>
      </c>
      <c r="F39" s="532"/>
      <c r="G39" s="98"/>
      <c r="H39" s="356"/>
      <c r="I39" s="357"/>
      <c r="J39" s="376" t="s">
        <v>1121</v>
      </c>
      <c r="K39" s="379">
        <f>-D32</f>
        <v>-2979041.0600000024</v>
      </c>
    </row>
    <row r="40" spans="1:11" ht="21.75" customHeight="1" thickTop="1" x14ac:dyDescent="0.25">
      <c r="A40" s="98">
        <f t="shared" si="0"/>
        <v>35</v>
      </c>
      <c r="B40" s="59" t="s">
        <v>305</v>
      </c>
      <c r="C40" s="79">
        <f>+C37+C39</f>
        <v>301991.86000000313</v>
      </c>
      <c r="D40" s="79"/>
      <c r="E40" s="79">
        <f>+E37+E39</f>
        <v>4514045.6865725191</v>
      </c>
      <c r="F40" s="532"/>
      <c r="G40" s="98"/>
      <c r="H40" s="356"/>
      <c r="J40" s="380" t="s">
        <v>1120</v>
      </c>
      <c r="K40" s="381">
        <f>SUM(K36:K39)</f>
        <v>4514045.6865725061</v>
      </c>
    </row>
    <row r="41" spans="1:11" ht="21.75" customHeight="1" x14ac:dyDescent="0.25">
      <c r="A41" s="98">
        <f t="shared" si="0"/>
        <v>36</v>
      </c>
      <c r="B41" s="59" t="s">
        <v>12</v>
      </c>
      <c r="C41" s="366"/>
      <c r="D41" s="367"/>
      <c r="E41" s="366">
        <f>+E40/E32</f>
        <v>4.8405599458597529E-2</v>
      </c>
      <c r="F41" s="532"/>
      <c r="G41" s="105"/>
      <c r="H41" s="356"/>
    </row>
    <row r="42" spans="1:11" ht="55.2" customHeight="1" x14ac:dyDescent="0.25">
      <c r="A42" s="368"/>
      <c r="B42" s="368"/>
      <c r="C42" s="368"/>
      <c r="D42" s="369"/>
      <c r="E42" s="368"/>
      <c r="F42" s="370"/>
      <c r="G42" s="370"/>
      <c r="H42" s="356"/>
    </row>
    <row r="43" spans="1:11" x14ac:dyDescent="0.25">
      <c r="A43" s="98"/>
      <c r="B43" s="98"/>
      <c r="C43" s="98"/>
      <c r="D43" s="98"/>
      <c r="E43" s="98"/>
      <c r="F43" s="98"/>
      <c r="G43" s="98"/>
    </row>
    <row r="44" spans="1:11" x14ac:dyDescent="0.25">
      <c r="A44" s="98"/>
      <c r="B44" s="98"/>
      <c r="C44" s="98"/>
      <c r="D44" s="98"/>
      <c r="E44" s="98"/>
      <c r="F44" s="98"/>
      <c r="G44" s="98"/>
    </row>
    <row r="45" spans="1:11" x14ac:dyDescent="0.25">
      <c r="A45" s="98"/>
      <c r="C45" s="203"/>
      <c r="D45" s="203"/>
      <c r="E45" s="203"/>
      <c r="F45" s="98"/>
      <c r="G45" s="98"/>
    </row>
    <row r="46" spans="1:11" x14ac:dyDescent="0.25">
      <c r="A46" s="98"/>
      <c r="C46" s="203"/>
      <c r="D46" s="203"/>
      <c r="E46" s="203"/>
      <c r="F46" s="98"/>
      <c r="G46" s="98"/>
    </row>
    <row r="47" spans="1:11" x14ac:dyDescent="0.25">
      <c r="A47" s="98"/>
      <c r="C47" s="203"/>
      <c r="D47" s="203"/>
      <c r="E47" s="203"/>
      <c r="F47" s="98"/>
      <c r="G47" s="98"/>
    </row>
    <row r="48" spans="1:11" x14ac:dyDescent="0.25">
      <c r="A48" s="98"/>
      <c r="C48" s="203"/>
      <c r="D48" s="203"/>
      <c r="E48" s="203"/>
      <c r="F48" s="98"/>
      <c r="G48" s="98"/>
    </row>
    <row r="49" spans="1:7" x14ac:dyDescent="0.25">
      <c r="A49" s="98"/>
      <c r="C49" s="203"/>
      <c r="D49" s="203"/>
      <c r="E49" s="203"/>
      <c r="F49" s="98"/>
      <c r="G49" s="98"/>
    </row>
    <row r="50" spans="1:7" x14ac:dyDescent="0.25">
      <c r="A50" s="98"/>
      <c r="C50" s="203"/>
      <c r="D50" s="203"/>
      <c r="E50" s="203"/>
      <c r="F50" s="98"/>
      <c r="G50" s="98"/>
    </row>
    <row r="51" spans="1:7" x14ac:dyDescent="0.25">
      <c r="A51" s="98"/>
      <c r="C51" s="203"/>
      <c r="D51" s="203"/>
      <c r="E51" s="203"/>
      <c r="F51" s="98"/>
      <c r="G51" s="98"/>
    </row>
    <row r="52" spans="1:7" x14ac:dyDescent="0.25">
      <c r="A52" s="98"/>
      <c r="C52" s="203"/>
      <c r="D52" s="203"/>
      <c r="E52" s="203"/>
      <c r="F52" s="98"/>
      <c r="G52" s="98"/>
    </row>
    <row r="53" spans="1:7" x14ac:dyDescent="0.25">
      <c r="A53" s="98"/>
      <c r="C53" s="203"/>
      <c r="D53" s="203"/>
      <c r="E53" s="203"/>
      <c r="F53" s="98"/>
      <c r="G53" s="98"/>
    </row>
    <row r="54" spans="1:7" x14ac:dyDescent="0.25">
      <c r="A54" s="98"/>
      <c r="C54" s="203"/>
      <c r="D54" s="203"/>
      <c r="E54" s="203"/>
      <c r="F54" s="98"/>
      <c r="G54" s="98"/>
    </row>
    <row r="55" spans="1:7" x14ac:dyDescent="0.25">
      <c r="A55" s="98"/>
      <c r="C55" s="203"/>
      <c r="D55" s="203"/>
      <c r="E55" s="203"/>
      <c r="F55" s="98"/>
      <c r="G55" s="98"/>
    </row>
    <row r="56" spans="1:7" x14ac:dyDescent="0.25">
      <c r="A56" s="98"/>
      <c r="C56" s="203"/>
      <c r="D56" s="203"/>
      <c r="E56" s="203"/>
      <c r="F56" s="98"/>
      <c r="G56" s="98"/>
    </row>
    <row r="57" spans="1:7" x14ac:dyDescent="0.25">
      <c r="A57" s="98"/>
      <c r="F57" s="98"/>
      <c r="G57" s="98"/>
    </row>
    <row r="58" spans="1:7" x14ac:dyDescent="0.25">
      <c r="A58" s="98"/>
      <c r="C58" s="203"/>
      <c r="D58" s="203"/>
      <c r="E58" s="203"/>
      <c r="F58" s="98"/>
      <c r="G58" s="98"/>
    </row>
    <row r="59" spans="1:7" x14ac:dyDescent="0.25">
      <c r="A59" s="98"/>
      <c r="C59" s="203"/>
      <c r="D59" s="203"/>
      <c r="E59" s="203"/>
      <c r="F59" s="98"/>
      <c r="G59" s="98"/>
    </row>
    <row r="60" spans="1:7" x14ac:dyDescent="0.25">
      <c r="A60" s="98"/>
      <c r="F60" s="98"/>
      <c r="G60" s="98"/>
    </row>
    <row r="61" spans="1:7" x14ac:dyDescent="0.25">
      <c r="A61" s="98"/>
      <c r="C61" s="203"/>
      <c r="D61" s="203"/>
      <c r="E61" s="203"/>
      <c r="F61" s="98"/>
      <c r="G61" s="98"/>
    </row>
    <row r="62" spans="1:7" x14ac:dyDescent="0.25">
      <c r="A62" s="98"/>
      <c r="C62" s="203"/>
      <c r="D62" s="203"/>
      <c r="E62" s="203"/>
      <c r="F62" s="98"/>
      <c r="G62" s="98"/>
    </row>
    <row r="63" spans="1:7" x14ac:dyDescent="0.25">
      <c r="A63" s="98"/>
      <c r="C63" s="203"/>
      <c r="D63" s="203"/>
      <c r="E63" s="203"/>
      <c r="F63" s="98"/>
      <c r="G63" s="98"/>
    </row>
    <row r="64" spans="1:7" x14ac:dyDescent="0.25">
      <c r="A64" s="98"/>
      <c r="C64" s="203"/>
      <c r="D64" s="203"/>
      <c r="F64" s="98"/>
      <c r="G64" s="98"/>
    </row>
    <row r="65" spans="1:7" x14ac:dyDescent="0.25">
      <c r="A65" s="98"/>
      <c r="C65" s="203"/>
      <c r="D65" s="203"/>
      <c r="E65" s="203"/>
      <c r="F65" s="98"/>
      <c r="G65" s="98"/>
    </row>
    <row r="66" spans="1:7" x14ac:dyDescent="0.25">
      <c r="A66" s="98"/>
      <c r="C66" s="203"/>
      <c r="D66" s="203"/>
      <c r="E66" s="203"/>
      <c r="F66" s="98"/>
      <c r="G66" s="98"/>
    </row>
    <row r="67" spans="1:7" x14ac:dyDescent="0.25">
      <c r="A67" s="98"/>
      <c r="F67" s="98"/>
      <c r="G67" s="98"/>
    </row>
    <row r="68" spans="1:7" x14ac:dyDescent="0.25">
      <c r="A68" s="98"/>
      <c r="C68" s="203"/>
      <c r="D68" s="203"/>
      <c r="E68" s="203"/>
      <c r="F68" s="98"/>
      <c r="G68" s="98"/>
    </row>
    <row r="69" spans="1:7" x14ac:dyDescent="0.25">
      <c r="A69" s="98"/>
      <c r="C69" s="371"/>
      <c r="D69" s="371"/>
      <c r="E69" s="371"/>
      <c r="F69" s="98"/>
      <c r="G69" s="98"/>
    </row>
    <row r="70" spans="1:7" x14ac:dyDescent="0.25">
      <c r="A70" s="98"/>
      <c r="C70" s="203"/>
      <c r="D70" s="203"/>
      <c r="E70" s="203"/>
      <c r="F70" s="98"/>
      <c r="G70" s="98"/>
    </row>
    <row r="71" spans="1:7" x14ac:dyDescent="0.25">
      <c r="A71" s="98"/>
      <c r="C71" s="203"/>
      <c r="D71" s="203"/>
      <c r="E71" s="203"/>
      <c r="F71" s="98"/>
      <c r="G71" s="98"/>
    </row>
    <row r="72" spans="1:7" x14ac:dyDescent="0.25">
      <c r="A72" s="98"/>
      <c r="C72" s="203"/>
      <c r="D72" s="203"/>
      <c r="E72" s="203"/>
      <c r="F72" s="98"/>
      <c r="G72" s="98"/>
    </row>
    <row r="73" spans="1:7" x14ac:dyDescent="0.25">
      <c r="A73" s="98"/>
      <c r="C73" s="371"/>
      <c r="D73" s="371"/>
      <c r="E73" s="371"/>
      <c r="F73" s="98"/>
      <c r="G73" s="98"/>
    </row>
    <row r="74" spans="1:7" x14ac:dyDescent="0.25">
      <c r="A74" s="98"/>
      <c r="C74" s="371"/>
      <c r="D74" s="203"/>
      <c r="E74" s="203"/>
      <c r="F74" s="98"/>
      <c r="G74" s="98"/>
    </row>
    <row r="75" spans="1:7" x14ac:dyDescent="0.25">
      <c r="A75" s="98"/>
      <c r="F75" s="98"/>
      <c r="G75" s="98"/>
    </row>
    <row r="76" spans="1:7" x14ac:dyDescent="0.25">
      <c r="A76" s="98"/>
      <c r="C76" s="203"/>
      <c r="E76" s="203"/>
      <c r="F76" s="98"/>
      <c r="G76" s="98"/>
    </row>
    <row r="77" spans="1:7" x14ac:dyDescent="0.25">
      <c r="A77" s="98"/>
      <c r="C77" s="203"/>
      <c r="E77" s="203"/>
      <c r="F77" s="98"/>
      <c r="G77" s="98"/>
    </row>
    <row r="78" spans="1:7" x14ac:dyDescent="0.25">
      <c r="A78" s="98"/>
      <c r="C78" s="203"/>
      <c r="E78" s="203"/>
      <c r="F78" s="98"/>
      <c r="G78" s="98"/>
    </row>
    <row r="79" spans="1:7" x14ac:dyDescent="0.25">
      <c r="C79" s="372"/>
      <c r="D79" s="373"/>
      <c r="E79" s="372"/>
      <c r="F79" s="98"/>
      <c r="G79" s="98"/>
    </row>
  </sheetData>
  <mergeCells count="2">
    <mergeCell ref="C3:F3"/>
    <mergeCell ref="F39:F41"/>
  </mergeCells>
  <phoneticPr fontId="6" type="noConversion"/>
  <pageMargins left="0.25" right="0.25" top="0.5" bottom="0.5" header="0.3" footer="0.3"/>
  <pageSetup scale="70" orientation="portrait" horizontalDpi="4294967295" verticalDpi="4294967295" r:id="rId1"/>
  <headerFooter alignWithMargins="0">
    <oddHeader>&amp;R&amp;A</oddHeader>
    <oddFooter>&amp;L&amp;8&amp;Z&amp;F&amp;A&amp;R&amp;8&amp;T &amp;D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J92"/>
  <sheetViews>
    <sheetView workbookViewId="0"/>
  </sheetViews>
  <sheetFormatPr defaultColWidth="8" defaultRowHeight="15" x14ac:dyDescent="0.25"/>
  <cols>
    <col min="1" max="1" width="4.1796875" style="2" customWidth="1"/>
    <col min="2" max="2" width="50.08984375" style="2" customWidth="1"/>
    <col min="3" max="3" width="13" style="2" customWidth="1"/>
    <col min="4" max="4" width="12.54296875" style="2" customWidth="1"/>
    <col min="5" max="5" width="13.36328125" style="2" customWidth="1"/>
    <col min="6" max="6" width="11.81640625" style="2" bestFit="1" customWidth="1"/>
    <col min="7" max="7" width="11.08984375" style="8" customWidth="1"/>
    <col min="8" max="9" width="8" style="8" customWidth="1"/>
    <col min="10" max="10" width="11.54296875" style="8" customWidth="1"/>
    <col min="11" max="16384" width="8" style="8"/>
  </cols>
  <sheetData>
    <row r="1" spans="1:10" x14ac:dyDescent="0.25">
      <c r="A1" s="68" t="s">
        <v>239</v>
      </c>
      <c r="B1" s="40"/>
      <c r="C1" s="34"/>
      <c r="D1" s="34"/>
      <c r="E1" s="34"/>
      <c r="F1" s="34"/>
      <c r="G1" s="33"/>
    </row>
    <row r="2" spans="1:10" ht="21.75" customHeight="1" x14ac:dyDescent="0.25">
      <c r="A2" s="68" t="s">
        <v>272</v>
      </c>
      <c r="B2" s="40"/>
      <c r="C2" s="40"/>
      <c r="D2" s="40"/>
      <c r="E2" s="40"/>
      <c r="F2" s="40"/>
      <c r="G2" s="53"/>
    </row>
    <row r="3" spans="1:10" ht="21.75" customHeight="1" x14ac:dyDescent="0.25">
      <c r="A3" s="40" t="s">
        <v>241</v>
      </c>
      <c r="B3" s="40"/>
      <c r="C3" s="40"/>
      <c r="D3" s="40"/>
      <c r="E3" s="45"/>
      <c r="F3" s="40"/>
      <c r="G3" s="53"/>
    </row>
    <row r="4" spans="1:10" ht="21.75" customHeight="1" x14ac:dyDescent="0.25">
      <c r="A4" s="40"/>
      <c r="B4" s="40"/>
      <c r="C4" s="40"/>
      <c r="D4" s="34"/>
      <c r="E4" s="40"/>
      <c r="F4" s="40"/>
      <c r="G4" s="40"/>
    </row>
    <row r="5" spans="1:10" ht="21.75" customHeight="1" x14ac:dyDescent="0.25">
      <c r="A5" s="40"/>
      <c r="B5" s="40"/>
      <c r="C5" s="32" t="s">
        <v>192</v>
      </c>
      <c r="D5" s="40"/>
      <c r="E5" s="40"/>
      <c r="F5" s="40"/>
      <c r="G5" s="5"/>
    </row>
    <row r="6" spans="1:10" ht="21.75" customHeight="1" x14ac:dyDescent="0.25">
      <c r="A6" s="45"/>
      <c r="B6" s="45"/>
      <c r="C6" s="45" t="s">
        <v>307</v>
      </c>
      <c r="D6" s="45"/>
      <c r="E6" s="45" t="s">
        <v>308</v>
      </c>
      <c r="F6" s="45" t="s">
        <v>309</v>
      </c>
      <c r="G6" s="5"/>
    </row>
    <row r="7" spans="1:10" ht="21.75" customHeight="1" x14ac:dyDescent="0.25">
      <c r="A7" s="46" t="s">
        <v>310</v>
      </c>
      <c r="B7" s="46" t="s">
        <v>311</v>
      </c>
      <c r="C7" s="46" t="s">
        <v>312</v>
      </c>
      <c r="D7" s="88" t="s">
        <v>313</v>
      </c>
      <c r="E7" s="46" t="s">
        <v>307</v>
      </c>
      <c r="F7" s="46" t="s">
        <v>314</v>
      </c>
      <c r="G7" s="19"/>
    </row>
    <row r="8" spans="1:10" ht="21.75" customHeight="1" x14ac:dyDescent="0.25">
      <c r="A8" s="45">
        <v>1</v>
      </c>
      <c r="B8" s="40" t="s">
        <v>315</v>
      </c>
      <c r="C8" s="42">
        <f>'S12 Chart of Accts Trial Bal.'!C37</f>
        <v>100964.47</v>
      </c>
      <c r="D8" s="42" t="e">
        <f>+'S2 Power Supply'!#REF!</f>
        <v>#REF!</v>
      </c>
      <c r="E8" s="42" t="e">
        <f>+C8+D8</f>
        <v>#REF!</v>
      </c>
      <c r="F8" s="45" t="s">
        <v>125</v>
      </c>
      <c r="G8" s="23"/>
      <c r="J8" s="24"/>
    </row>
    <row r="9" spans="1:10" ht="21.75" customHeight="1" x14ac:dyDescent="0.25">
      <c r="A9" s="45">
        <f t="shared" ref="A9:A47" si="0">A8+1</f>
        <v>2</v>
      </c>
      <c r="B9" s="42" t="s">
        <v>316</v>
      </c>
      <c r="C9" s="42">
        <f>'S12 Chart of Accts Trial Bal.'!C60</f>
        <v>192565.32</v>
      </c>
      <c r="D9" s="42" t="e">
        <f>+'S3 Transmission'!#REF!</f>
        <v>#REF!</v>
      </c>
      <c r="E9" s="42" t="e">
        <f>+'S3 Transmission'!#REF!</f>
        <v>#REF!</v>
      </c>
      <c r="F9" s="45">
        <v>3</v>
      </c>
      <c r="J9" s="24"/>
    </row>
    <row r="10" spans="1:10" ht="21.75" customHeight="1" x14ac:dyDescent="0.25">
      <c r="A10" s="45">
        <f t="shared" si="0"/>
        <v>3</v>
      </c>
      <c r="B10" s="40" t="s">
        <v>58</v>
      </c>
      <c r="C10" s="42">
        <f>'S12 Chart of Accts Trial Bal.'!C92</f>
        <v>14120.45</v>
      </c>
      <c r="D10" s="42">
        <f>'S4 Dist Ops &amp; Mtce'!I56</f>
        <v>9028994.0249329433</v>
      </c>
      <c r="E10" s="42">
        <f>C10+D10</f>
        <v>9043114.4749329425</v>
      </c>
      <c r="F10" s="45">
        <v>4</v>
      </c>
      <c r="J10" s="24"/>
    </row>
    <row r="11" spans="1:10" ht="21.75" customHeight="1" x14ac:dyDescent="0.25">
      <c r="A11" s="45">
        <f t="shared" si="0"/>
        <v>4</v>
      </c>
      <c r="B11" s="40" t="s">
        <v>59</v>
      </c>
      <c r="C11" s="42">
        <f>'S12 Chart of Accts Trial Bal.'!C118</f>
        <v>39857.51</v>
      </c>
      <c r="D11" s="42" t="e">
        <f>'S4 Dist Ops &amp; Mtce'!#REF!</f>
        <v>#REF!</v>
      </c>
      <c r="E11" s="42" t="e">
        <f>C11+D11</f>
        <v>#REF!</v>
      </c>
      <c r="F11" s="45">
        <v>4</v>
      </c>
      <c r="J11" s="24"/>
    </row>
    <row r="12" spans="1:10" ht="21.75" customHeight="1" x14ac:dyDescent="0.25">
      <c r="A12" s="45">
        <f t="shared" si="0"/>
        <v>5</v>
      </c>
      <c r="B12" s="48" t="s">
        <v>60</v>
      </c>
      <c r="C12" s="42">
        <f>'S12 Chart of Accts Trial Bal.'!C138</f>
        <v>0</v>
      </c>
      <c r="D12" s="42">
        <f>'S5 Customer Accounts'!I18</f>
        <v>3022381.7823635614</v>
      </c>
      <c r="E12" s="42">
        <f>C12+D12</f>
        <v>3022381.7823635614</v>
      </c>
      <c r="F12" s="45">
        <v>5</v>
      </c>
      <c r="J12" s="24"/>
    </row>
    <row r="13" spans="1:10" ht="21.75" customHeight="1" x14ac:dyDescent="0.25">
      <c r="A13" s="45">
        <f t="shared" si="0"/>
        <v>6</v>
      </c>
      <c r="B13" s="48" t="s">
        <v>61</v>
      </c>
      <c r="C13" s="42">
        <f>'S12 Chart of Accts Trial Bal.'!C213+'S12 Chart of Accts Trial Bal.'!C147+'S12 Chart of Accts Trial Bal.'!C153</f>
        <v>27508.21</v>
      </c>
      <c r="D13" s="42" t="e">
        <f>#REF!</f>
        <v>#REF!</v>
      </c>
      <c r="E13" s="42" t="e">
        <f>C13+D13</f>
        <v>#REF!</v>
      </c>
      <c r="F13" s="45">
        <v>6</v>
      </c>
      <c r="J13" s="24"/>
    </row>
    <row r="14" spans="1:10" ht="21.75" customHeight="1" x14ac:dyDescent="0.25">
      <c r="A14" s="45">
        <f>A13+1</f>
        <v>7</v>
      </c>
      <c r="B14" s="48" t="s">
        <v>275</v>
      </c>
      <c r="C14" s="42">
        <f>'S12 Chart of Accts Trial Bal.'!C214</f>
        <v>29710.81</v>
      </c>
      <c r="D14" s="42" t="e">
        <f>#REF!</f>
        <v>#REF!</v>
      </c>
      <c r="E14" s="42" t="e">
        <f>D14+C14</f>
        <v>#REF!</v>
      </c>
      <c r="F14" s="45">
        <v>7</v>
      </c>
      <c r="G14" s="5"/>
      <c r="J14" s="24"/>
    </row>
    <row r="15" spans="1:10" ht="21.75" customHeight="1" x14ac:dyDescent="0.25">
      <c r="A15" s="45">
        <v>8</v>
      </c>
      <c r="B15" s="47"/>
      <c r="C15" s="47"/>
      <c r="D15" s="47"/>
      <c r="E15" s="47"/>
      <c r="F15" s="45"/>
      <c r="J15" s="24"/>
    </row>
    <row r="16" spans="1:10" ht="21.75" customHeight="1" x14ac:dyDescent="0.25">
      <c r="A16" s="45">
        <v>9</v>
      </c>
      <c r="B16" s="48" t="s">
        <v>62</v>
      </c>
      <c r="C16" s="42">
        <f>SUM(C8:C14)</f>
        <v>404726.77000000008</v>
      </c>
      <c r="D16" s="42" t="e">
        <f>SUM(D8:D14)</f>
        <v>#REF!</v>
      </c>
      <c r="E16" s="42" t="e">
        <f>SUM(E8:E14)</f>
        <v>#REF!</v>
      </c>
      <c r="F16" s="71"/>
      <c r="G16" s="42"/>
      <c r="J16" s="24"/>
    </row>
    <row r="17" spans="1:10" ht="21.75" customHeight="1" x14ac:dyDescent="0.25">
      <c r="A17" s="45">
        <f t="shared" si="0"/>
        <v>10</v>
      </c>
      <c r="B17" s="48"/>
      <c r="C17" s="48"/>
      <c r="D17" s="48"/>
      <c r="E17" s="40"/>
      <c r="F17" s="45"/>
      <c r="J17" s="24"/>
    </row>
    <row r="18" spans="1:10" ht="21.75" customHeight="1" x14ac:dyDescent="0.25">
      <c r="A18" s="45">
        <f t="shared" si="0"/>
        <v>11</v>
      </c>
      <c r="B18" s="48" t="s">
        <v>63</v>
      </c>
      <c r="C18" s="42">
        <f>'S12 Chart of Accts Trial Bal.'!C238</f>
        <v>-2214444.9699999839</v>
      </c>
      <c r="D18" s="42" t="e">
        <f>+'S8 Deprec &amp; Amort Exp '!#REF!</f>
        <v>#REF!</v>
      </c>
      <c r="E18" s="42" t="e">
        <f>C18+D18+0.02</f>
        <v>#REF!</v>
      </c>
      <c r="F18" s="45">
        <v>8</v>
      </c>
      <c r="G18" s="20"/>
      <c r="J18" s="24"/>
    </row>
    <row r="19" spans="1:10" ht="21.75" customHeight="1" x14ac:dyDescent="0.25">
      <c r="A19" s="45">
        <f t="shared" si="0"/>
        <v>12</v>
      </c>
      <c r="B19" s="40" t="s">
        <v>182</v>
      </c>
      <c r="C19" s="42">
        <f>+'S12 Chart of Accts Trial Bal.'!C236</f>
        <v>101623307.60999998</v>
      </c>
      <c r="D19" s="42" t="e">
        <f>+E19-C19</f>
        <v>#REF!</v>
      </c>
      <c r="E19" s="42" t="e">
        <f>-#REF!</f>
        <v>#REF!</v>
      </c>
      <c r="F19" s="45">
        <v>8</v>
      </c>
      <c r="G19" s="11"/>
      <c r="J19" s="24"/>
    </row>
    <row r="20" spans="1:10" ht="21.75" customHeight="1" x14ac:dyDescent="0.25">
      <c r="A20" s="45">
        <f t="shared" si="0"/>
        <v>13</v>
      </c>
      <c r="B20" s="40" t="s">
        <v>183</v>
      </c>
      <c r="C20" s="42">
        <f>+'S12 Chart of Accts Trial Bal.'!C233+'S12 Chart of Accts Trial Bal.'!C234+'S12 Chart of Accts Trial Bal.'!C232</f>
        <v>14626.4</v>
      </c>
      <c r="D20" s="42" t="e">
        <f>+E20-C20</f>
        <v>#REF!</v>
      </c>
      <c r="E20" s="42" t="e">
        <f>-#REF!</f>
        <v>#REF!</v>
      </c>
      <c r="F20" s="45">
        <v>8</v>
      </c>
      <c r="J20" s="24"/>
    </row>
    <row r="21" spans="1:10" ht="21.75" customHeight="1" x14ac:dyDescent="0.25">
      <c r="A21" s="45">
        <f t="shared" si="0"/>
        <v>14</v>
      </c>
      <c r="B21" s="40" t="s">
        <v>288</v>
      </c>
      <c r="C21" s="42">
        <f>'S12 Chart of Accts Trial Bal.'!C247</f>
        <v>-32659.25</v>
      </c>
      <c r="D21" s="42">
        <v>0</v>
      </c>
      <c r="E21" s="42">
        <f>C21+D21</f>
        <v>-32659.25</v>
      </c>
      <c r="F21" s="45">
        <v>9</v>
      </c>
      <c r="J21" s="24"/>
    </row>
    <row r="22" spans="1:10" ht="21.75" customHeight="1" x14ac:dyDescent="0.25">
      <c r="A22" s="45">
        <f t="shared" si="0"/>
        <v>15</v>
      </c>
      <c r="B22" s="40" t="s">
        <v>150</v>
      </c>
      <c r="C22" s="42">
        <f>'S12 Chart of Accts Trial Bal.'!C260-'S12 Chart of Accts Trial Bal.'!C254</f>
        <v>10640.24</v>
      </c>
      <c r="D22" s="42">
        <f>-C22</f>
        <v>-10640.24</v>
      </c>
      <c r="E22" s="42">
        <f>C22+D22</f>
        <v>0</v>
      </c>
      <c r="F22" s="45" t="s">
        <v>306</v>
      </c>
      <c r="J22" s="24"/>
    </row>
    <row r="23" spans="1:10" ht="21.75" customHeight="1" x14ac:dyDescent="0.25">
      <c r="A23" s="45">
        <f t="shared" si="0"/>
        <v>16</v>
      </c>
      <c r="B23" s="40" t="s">
        <v>64</v>
      </c>
      <c r="C23" s="42">
        <f>'S12 Chart of Accts Trial Bal.'!C254</f>
        <v>-6042.5</v>
      </c>
      <c r="D23" s="42">
        <f>-C23</f>
        <v>6042.5</v>
      </c>
      <c r="E23" s="42">
        <f>C23+D23</f>
        <v>0</v>
      </c>
      <c r="F23" s="45" t="s">
        <v>306</v>
      </c>
      <c r="J23" s="24"/>
    </row>
    <row r="24" spans="1:10" ht="21.75" customHeight="1" x14ac:dyDescent="0.25">
      <c r="A24" s="45">
        <f t="shared" si="0"/>
        <v>17</v>
      </c>
      <c r="B24" s="40"/>
      <c r="C24" s="42"/>
      <c r="D24" s="42"/>
      <c r="E24" s="42"/>
      <c r="F24" s="45"/>
      <c r="J24" s="24"/>
    </row>
    <row r="25" spans="1:10" ht="21.75" customHeight="1" x14ac:dyDescent="0.25">
      <c r="A25" s="45">
        <f t="shared" si="0"/>
        <v>18</v>
      </c>
      <c r="B25" s="40" t="s">
        <v>287</v>
      </c>
      <c r="C25" s="42">
        <f>'S12 Chart of Accts Trial Bal.'!C275</f>
        <v>-694299.98</v>
      </c>
      <c r="D25" s="42">
        <f>+'S9 Interest Exp'!D32</f>
        <v>509065.81000000006</v>
      </c>
      <c r="E25" s="42">
        <f>C25+D25</f>
        <v>-185234.16999999993</v>
      </c>
      <c r="F25" s="45">
        <v>10</v>
      </c>
      <c r="G25" s="7"/>
      <c r="H25" s="15"/>
      <c r="I25" s="5"/>
      <c r="J25" s="24"/>
    </row>
    <row r="26" spans="1:10" ht="21.75" customHeight="1" x14ac:dyDescent="0.25">
      <c r="A26" s="45">
        <f t="shared" si="0"/>
        <v>19</v>
      </c>
      <c r="B26" s="40" t="s">
        <v>65</v>
      </c>
      <c r="C26" s="42">
        <f>'S12 Chart of Accts Trial Bal.'!C282+'S12 Chart of Accts Trial Bal.'!C288</f>
        <v>-13924.09</v>
      </c>
      <c r="D26" s="42" t="e">
        <f>+#REF!</f>
        <v>#REF!</v>
      </c>
      <c r="E26" s="42" t="e">
        <f>C26+D26</f>
        <v>#REF!</v>
      </c>
      <c r="F26" s="45">
        <v>11</v>
      </c>
      <c r="J26" s="24"/>
    </row>
    <row r="27" spans="1:10" ht="21.75" customHeight="1" x14ac:dyDescent="0.25">
      <c r="A27" s="45">
        <f t="shared" si="0"/>
        <v>20</v>
      </c>
      <c r="B27" s="40" t="s">
        <v>83</v>
      </c>
      <c r="C27" s="42"/>
      <c r="D27" s="42"/>
      <c r="E27" s="42"/>
      <c r="F27" s="45"/>
      <c r="J27" s="24"/>
    </row>
    <row r="28" spans="1:10" ht="21.75" customHeight="1" x14ac:dyDescent="0.25">
      <c r="A28" s="45">
        <f t="shared" si="0"/>
        <v>21</v>
      </c>
      <c r="B28" s="40" t="s">
        <v>66</v>
      </c>
      <c r="C28" s="42">
        <f>'S12 Chart of Accts Trial Bal.'!C297</f>
        <v>9430155.9699999988</v>
      </c>
      <c r="D28" s="42" t="e">
        <f>+#REF!</f>
        <v>#REF!</v>
      </c>
      <c r="E28" s="42" t="e">
        <f>C28+D28</f>
        <v>#REF!</v>
      </c>
      <c r="F28" s="45">
        <v>11</v>
      </c>
      <c r="J28" s="24"/>
    </row>
    <row r="29" spans="1:10" ht="21.75" customHeight="1" x14ac:dyDescent="0.25">
      <c r="A29" s="45">
        <f t="shared" si="0"/>
        <v>22</v>
      </c>
      <c r="B29" s="39"/>
      <c r="C29" s="41"/>
      <c r="D29" s="41"/>
      <c r="E29" s="41"/>
      <c r="F29" s="36"/>
      <c r="J29" s="24"/>
    </row>
    <row r="30" spans="1:10" ht="21.75" customHeight="1" x14ac:dyDescent="0.25">
      <c r="A30" s="45">
        <f t="shared" si="0"/>
        <v>23</v>
      </c>
      <c r="B30" s="40" t="s">
        <v>67</v>
      </c>
      <c r="C30" s="42">
        <f>SUM(C16:C28)</f>
        <v>108522086.19999999</v>
      </c>
      <c r="D30" s="42" t="e">
        <f>SUM(D16:D28)</f>
        <v>#REF!</v>
      </c>
      <c r="E30" s="42" t="e">
        <f>SUM(E16:E28)</f>
        <v>#REF!</v>
      </c>
      <c r="F30" s="45"/>
      <c r="J30" s="24"/>
    </row>
    <row r="31" spans="1:10" ht="21.75" customHeight="1" x14ac:dyDescent="0.25">
      <c r="A31" s="45">
        <f t="shared" si="0"/>
        <v>24</v>
      </c>
      <c r="B31" s="40"/>
      <c r="C31" s="42"/>
      <c r="D31" s="42"/>
      <c r="E31" s="42"/>
      <c r="F31" s="45"/>
      <c r="J31" s="24"/>
    </row>
    <row r="32" spans="1:10" ht="21.75" customHeight="1" x14ac:dyDescent="0.25">
      <c r="A32" s="45">
        <f t="shared" si="0"/>
        <v>25</v>
      </c>
      <c r="B32" s="40" t="s">
        <v>290</v>
      </c>
      <c r="C32" s="42">
        <f>'S12 Chart of Accts Trial Bal.'!C312</f>
        <v>-1055887.8999999999</v>
      </c>
      <c r="D32" s="42" t="e">
        <f>-'S10 Int, Div, Capital Income'!#REF!</f>
        <v>#REF!</v>
      </c>
      <c r="E32" s="42" t="e">
        <f>C32+D32</f>
        <v>#REF!</v>
      </c>
      <c r="F32" s="45">
        <v>12</v>
      </c>
      <c r="J32" s="24"/>
    </row>
    <row r="33" spans="1:10" ht="21.75" customHeight="1" x14ac:dyDescent="0.25">
      <c r="A33" s="45">
        <f t="shared" si="0"/>
        <v>26</v>
      </c>
      <c r="B33" s="40" t="s">
        <v>184</v>
      </c>
      <c r="C33" s="83">
        <f>'S12 Chart of Accts Trial Bal.'!C341+SUM('S12 Chart of Accts Trial Bal.'!C14:C20)</f>
        <v>107037192.83</v>
      </c>
      <c r="D33" s="42">
        <f>+'S11 Revenues &amp; Non-Op Margins'!D17</f>
        <v>-2098951.6600000025</v>
      </c>
      <c r="E33" s="42">
        <f>C33+D33</f>
        <v>104938241.17</v>
      </c>
      <c r="F33" s="45">
        <v>13</v>
      </c>
      <c r="J33" s="24"/>
    </row>
    <row r="34" spans="1:10" ht="21.75" customHeight="1" x14ac:dyDescent="0.25">
      <c r="A34" s="45">
        <f t="shared" si="0"/>
        <v>27</v>
      </c>
      <c r="B34" s="40" t="s">
        <v>68</v>
      </c>
      <c r="C34" s="42">
        <f>'S12 Chart of Accts Trial Bal.'!C362</f>
        <v>560534.23</v>
      </c>
      <c r="D34" s="42">
        <f>+'S10 Int, Div, Capital Income'!E32</f>
        <v>180</v>
      </c>
      <c r="E34" s="42">
        <f>C34+D34</f>
        <v>560714.23</v>
      </c>
      <c r="F34" s="45">
        <v>12</v>
      </c>
      <c r="J34" s="24"/>
    </row>
    <row r="35" spans="1:10" ht="21.75" customHeight="1" x14ac:dyDescent="0.25">
      <c r="A35" s="45">
        <f t="shared" si="0"/>
        <v>28</v>
      </c>
      <c r="B35" s="39" t="s">
        <v>185</v>
      </c>
      <c r="C35" s="41">
        <f>('S12 Chart of Accts Trial Bal.'!C347+'S12 Chart of Accts Trial Bal.'!C355)</f>
        <v>3411427.92</v>
      </c>
      <c r="D35" s="41">
        <v>6058</v>
      </c>
      <c r="E35" s="41">
        <v>0</v>
      </c>
      <c r="F35" s="45">
        <v>12</v>
      </c>
      <c r="J35" s="24"/>
    </row>
    <row r="36" spans="1:10" ht="21.75" customHeight="1" x14ac:dyDescent="0.25">
      <c r="A36" s="45">
        <f t="shared" si="0"/>
        <v>29</v>
      </c>
      <c r="B36" s="40" t="s">
        <v>69</v>
      </c>
      <c r="C36" s="42">
        <f>SUM(C30:C35)</f>
        <v>218475353.27999997</v>
      </c>
      <c r="D36" s="42" t="e">
        <f>SUM(D30:D35)</f>
        <v>#REF!</v>
      </c>
      <c r="E36" s="42" t="e">
        <f>SUM(E30:E35)-0.15</f>
        <v>#REF!</v>
      </c>
      <c r="F36" s="45"/>
      <c r="G36" s="17"/>
      <c r="J36" s="24"/>
    </row>
    <row r="37" spans="1:10" ht="21.75" customHeight="1" x14ac:dyDescent="0.25">
      <c r="A37" s="45">
        <f t="shared" si="0"/>
        <v>30</v>
      </c>
      <c r="B37" s="39" t="s">
        <v>70</v>
      </c>
      <c r="C37" s="41">
        <f>-SUM('S12 Chart of Accts Trial Bal.'!C6:C13)</f>
        <v>-91780532.450000003</v>
      </c>
      <c r="D37" s="41" t="e">
        <f>-'S11 Revenues &amp; Non-Op Margins'!#REF!+0.25</f>
        <v>#REF!</v>
      </c>
      <c r="E37" s="41" t="e">
        <f>C37+D37</f>
        <v>#REF!</v>
      </c>
      <c r="F37" s="45">
        <v>13</v>
      </c>
      <c r="G37" s="25"/>
      <c r="H37" s="11"/>
      <c r="J37" s="24"/>
    </row>
    <row r="38" spans="1:10" ht="21.75" customHeight="1" thickBot="1" x14ac:dyDescent="0.3">
      <c r="A38" s="45">
        <f t="shared" si="0"/>
        <v>31</v>
      </c>
      <c r="B38" s="40" t="s">
        <v>71</v>
      </c>
      <c r="C38" s="42">
        <f>C37-C36</f>
        <v>-310255885.72999996</v>
      </c>
      <c r="D38" s="42"/>
      <c r="E38" s="89" t="e">
        <f>E37-E36+0.17</f>
        <v>#REF!</v>
      </c>
      <c r="F38" s="45"/>
      <c r="G38" s="17"/>
      <c r="J38" s="24"/>
    </row>
    <row r="39" spans="1:10" ht="21.75" customHeight="1" thickBot="1" x14ac:dyDescent="0.3">
      <c r="A39" s="45"/>
      <c r="B39" s="70" t="s">
        <v>303</v>
      </c>
      <c r="C39" s="49">
        <f>+C38</f>
        <v>-310255885.72999996</v>
      </c>
      <c r="D39" s="49">
        <f>+E39-C39</f>
        <v>310163268.64499998</v>
      </c>
      <c r="E39" s="84">
        <f>+E40</f>
        <v>-92617.084999999963</v>
      </c>
      <c r="F39" s="45"/>
      <c r="G39" s="17"/>
      <c r="J39" s="24"/>
    </row>
    <row r="40" spans="1:10" ht="21.75" customHeight="1" x14ac:dyDescent="0.25">
      <c r="A40" s="45">
        <f>A38+1</f>
        <v>32</v>
      </c>
      <c r="B40" s="39" t="s">
        <v>240</v>
      </c>
      <c r="C40" s="41">
        <f>0.5*C25</f>
        <v>-347149.99</v>
      </c>
      <c r="D40" s="41"/>
      <c r="E40" s="41">
        <f>0.5*E25</f>
        <v>-92617.084999999963</v>
      </c>
      <c r="F40" s="71"/>
      <c r="G40" s="17"/>
      <c r="J40" s="24"/>
    </row>
    <row r="41" spans="1:10" ht="21.75" customHeight="1" x14ac:dyDescent="0.25">
      <c r="A41" s="45">
        <f t="shared" si="0"/>
        <v>33</v>
      </c>
      <c r="B41" s="40" t="s">
        <v>151</v>
      </c>
      <c r="C41" s="42">
        <f>+C40-C38</f>
        <v>309908735.73999995</v>
      </c>
      <c r="D41" s="42" t="e">
        <f>+D36+D39</f>
        <v>#REF!</v>
      </c>
      <c r="E41" s="42" t="e">
        <f>+E40-E38-0.23</f>
        <v>#REF!</v>
      </c>
      <c r="F41" s="45"/>
      <c r="G41" s="17"/>
      <c r="H41" s="10"/>
      <c r="J41" s="24"/>
    </row>
    <row r="42" spans="1:10" ht="21.75" customHeight="1" thickBot="1" x14ac:dyDescent="0.3">
      <c r="A42" s="45">
        <f t="shared" si="0"/>
        <v>34</v>
      </c>
      <c r="B42" s="43" t="s">
        <v>64</v>
      </c>
      <c r="C42" s="44"/>
      <c r="D42" s="44"/>
      <c r="E42" s="44" t="e">
        <f>(+E37+E41)/99</f>
        <v>#REF!</v>
      </c>
      <c r="F42" s="45"/>
      <c r="G42" s="17"/>
      <c r="J42" s="24"/>
    </row>
    <row r="43" spans="1:10" ht="21.75" customHeight="1" thickTop="1" x14ac:dyDescent="0.25">
      <c r="A43" s="45">
        <f t="shared" si="0"/>
        <v>35</v>
      </c>
      <c r="B43" s="40" t="s">
        <v>305</v>
      </c>
      <c r="C43" s="42">
        <f>+C41+C42</f>
        <v>309908735.73999995</v>
      </c>
      <c r="D43" s="42"/>
      <c r="E43" s="42" t="e">
        <f>+E41+E42-0.17</f>
        <v>#REF!</v>
      </c>
      <c r="F43" s="45"/>
      <c r="G43" s="17"/>
      <c r="J43" s="24"/>
    </row>
    <row r="44" spans="1:10" ht="21.75" customHeight="1" x14ac:dyDescent="0.25">
      <c r="A44" s="45">
        <f t="shared" si="0"/>
        <v>36</v>
      </c>
      <c r="B44" s="52" t="s">
        <v>304</v>
      </c>
      <c r="C44" s="50">
        <f>+C41/C37</f>
        <v>-3.3766282180682636</v>
      </c>
      <c r="D44" s="80"/>
      <c r="E44" s="81" t="e">
        <f>+E43/E37</f>
        <v>#REF!</v>
      </c>
      <c r="F44" s="72"/>
      <c r="H44" s="17"/>
      <c r="J44" s="24"/>
    </row>
    <row r="45" spans="1:10" x14ac:dyDescent="0.25">
      <c r="A45" s="45">
        <f t="shared" si="0"/>
        <v>37</v>
      </c>
      <c r="B45" s="40" t="s">
        <v>242</v>
      </c>
      <c r="C45" s="40"/>
      <c r="D45" s="48"/>
      <c r="E45" s="42">
        <f>+'S1 VEC Master Summary'!E40</f>
        <v>4514045.6865725191</v>
      </c>
      <c r="F45" s="45"/>
      <c r="J45" s="24"/>
    </row>
    <row r="46" spans="1:10" x14ac:dyDescent="0.25">
      <c r="A46" s="45">
        <f t="shared" si="0"/>
        <v>38</v>
      </c>
      <c r="B46" s="76"/>
      <c r="C46" s="34"/>
      <c r="D46" s="77"/>
      <c r="E46" s="60"/>
      <c r="F46" s="35"/>
    </row>
    <row r="47" spans="1:10" ht="15.6" x14ac:dyDescent="0.3">
      <c r="A47" s="45">
        <f t="shared" si="0"/>
        <v>39</v>
      </c>
      <c r="B47" s="90" t="s">
        <v>243</v>
      </c>
      <c r="C47" s="34"/>
      <c r="D47" s="78"/>
      <c r="E47" s="42" t="e">
        <f>+E45-E43</f>
        <v>#REF!</v>
      </c>
      <c r="F47" s="35"/>
      <c r="H47" s="22"/>
    </row>
    <row r="48" spans="1:10" x14ac:dyDescent="0.25">
      <c r="A48" s="26"/>
      <c r="B48" s="28"/>
      <c r="C48" s="6"/>
      <c r="D48" s="28"/>
      <c r="E48" s="6"/>
      <c r="F48" s="13"/>
    </row>
    <row r="49" spans="1:9" x14ac:dyDescent="0.25">
      <c r="A49" s="26"/>
      <c r="B49" s="27"/>
      <c r="D49" s="27"/>
      <c r="F49" s="13"/>
      <c r="G49" s="29"/>
      <c r="H49" s="29"/>
      <c r="I49" s="29"/>
    </row>
    <row r="50" spans="1:9" x14ac:dyDescent="0.25">
      <c r="A50" s="26"/>
      <c r="B50" s="28"/>
      <c r="C50" s="28"/>
      <c r="D50" s="28"/>
      <c r="E50" s="6"/>
      <c r="F50" s="30"/>
      <c r="G50" s="1"/>
      <c r="H50" s="18"/>
      <c r="I50" s="1"/>
    </row>
    <row r="51" spans="1:9" x14ac:dyDescent="0.25">
      <c r="A51" s="3"/>
      <c r="F51" s="9"/>
      <c r="G51" s="1"/>
      <c r="H51" s="1"/>
      <c r="I51" s="1"/>
    </row>
    <row r="52" spans="1:9" x14ac:dyDescent="0.25">
      <c r="A52" s="12"/>
      <c r="D52" s="7"/>
    </row>
    <row r="53" spans="1:9" x14ac:dyDescent="0.25">
      <c r="E53" s="9"/>
    </row>
    <row r="56" spans="1:9" x14ac:dyDescent="0.25">
      <c r="A56" s="9"/>
      <c r="B56" s="9"/>
      <c r="C56" s="9"/>
      <c r="D56" s="9"/>
      <c r="E56" s="9"/>
      <c r="F56" s="9"/>
    </row>
    <row r="57" spans="1:9" x14ac:dyDescent="0.25">
      <c r="A57" s="9"/>
      <c r="B57" s="9"/>
      <c r="C57" s="9"/>
      <c r="D57" s="9"/>
      <c r="E57" s="9"/>
      <c r="F57" s="9"/>
    </row>
    <row r="58" spans="1:9" x14ac:dyDescent="0.25">
      <c r="A58" s="9"/>
      <c r="C58" s="7"/>
      <c r="D58" s="7"/>
      <c r="E58" s="7"/>
      <c r="F58" s="13"/>
    </row>
    <row r="59" spans="1:9" x14ac:dyDescent="0.25">
      <c r="A59" s="9"/>
      <c r="C59" s="7"/>
      <c r="D59" s="7"/>
      <c r="E59" s="7"/>
      <c r="F59" s="9"/>
    </row>
    <row r="60" spans="1:9" x14ac:dyDescent="0.25">
      <c r="A60" s="9"/>
      <c r="C60" s="7"/>
      <c r="D60" s="7"/>
      <c r="E60" s="7"/>
      <c r="F60" s="9"/>
    </row>
    <row r="61" spans="1:9" x14ac:dyDescent="0.25">
      <c r="A61" s="13"/>
      <c r="B61" s="6"/>
      <c r="C61" s="21"/>
      <c r="D61" s="21"/>
      <c r="E61" s="21"/>
      <c r="F61" s="13"/>
    </row>
    <row r="62" spans="1:9" x14ac:dyDescent="0.25">
      <c r="A62" s="9"/>
      <c r="C62" s="7"/>
      <c r="D62" s="7"/>
      <c r="E62" s="7"/>
      <c r="F62" s="9"/>
    </row>
    <row r="63" spans="1:9" x14ac:dyDescent="0.25">
      <c r="A63" s="9"/>
      <c r="C63" s="7"/>
      <c r="D63" s="7"/>
      <c r="E63" s="7"/>
      <c r="F63" s="9"/>
    </row>
    <row r="64" spans="1:9" x14ac:dyDescent="0.25">
      <c r="A64" s="9"/>
      <c r="C64" s="7"/>
      <c r="D64" s="7"/>
      <c r="E64" s="7"/>
      <c r="F64" s="9"/>
    </row>
    <row r="65" spans="1:6" x14ac:dyDescent="0.25">
      <c r="A65" s="9"/>
      <c r="C65" s="7"/>
      <c r="D65" s="7"/>
      <c r="E65" s="7"/>
      <c r="F65" s="9"/>
    </row>
    <row r="66" spans="1:6" x14ac:dyDescent="0.25">
      <c r="A66" s="9"/>
      <c r="C66" s="7"/>
      <c r="D66" s="7"/>
      <c r="E66" s="7"/>
      <c r="F66" s="9"/>
    </row>
    <row r="67" spans="1:6" x14ac:dyDescent="0.25">
      <c r="A67" s="9"/>
      <c r="C67" s="7"/>
      <c r="D67" s="7"/>
      <c r="E67" s="7"/>
      <c r="F67" s="9"/>
    </row>
    <row r="68" spans="1:6" x14ac:dyDescent="0.25">
      <c r="A68" s="9"/>
      <c r="C68" s="7"/>
      <c r="D68" s="7"/>
      <c r="E68" s="7"/>
      <c r="F68" s="9"/>
    </row>
    <row r="69" spans="1:6" x14ac:dyDescent="0.25">
      <c r="A69" s="9"/>
      <c r="C69" s="7"/>
      <c r="D69" s="7"/>
      <c r="E69" s="7"/>
      <c r="F69" s="9"/>
    </row>
    <row r="70" spans="1:6" x14ac:dyDescent="0.25">
      <c r="A70" s="9"/>
      <c r="F70" s="9"/>
    </row>
    <row r="71" spans="1:6" x14ac:dyDescent="0.25">
      <c r="A71" s="9"/>
      <c r="C71" s="7"/>
      <c r="D71" s="7"/>
      <c r="E71" s="7"/>
      <c r="F71" s="9"/>
    </row>
    <row r="72" spans="1:6" x14ac:dyDescent="0.25">
      <c r="A72" s="9"/>
      <c r="B72" s="6"/>
      <c r="C72" s="7"/>
      <c r="D72" s="7"/>
      <c r="E72" s="7"/>
      <c r="F72" s="9"/>
    </row>
    <row r="73" spans="1:6" x14ac:dyDescent="0.25">
      <c r="A73" s="9"/>
      <c r="F73" s="9"/>
    </row>
    <row r="74" spans="1:6" x14ac:dyDescent="0.25">
      <c r="A74" s="9"/>
      <c r="C74" s="7"/>
      <c r="D74" s="7"/>
      <c r="E74" s="7"/>
      <c r="F74" s="9"/>
    </row>
    <row r="75" spans="1:6" x14ac:dyDescent="0.25">
      <c r="A75" s="9"/>
      <c r="C75" s="7"/>
      <c r="D75" s="7"/>
      <c r="E75" s="7"/>
      <c r="F75" s="9"/>
    </row>
    <row r="76" spans="1:6" x14ac:dyDescent="0.25">
      <c r="A76" s="9"/>
      <c r="C76" s="7"/>
      <c r="D76" s="7"/>
      <c r="E76" s="7"/>
      <c r="F76" s="9"/>
    </row>
    <row r="77" spans="1:6" x14ac:dyDescent="0.25">
      <c r="A77" s="9"/>
      <c r="C77" s="7"/>
      <c r="D77" s="7"/>
      <c r="F77" s="9"/>
    </row>
    <row r="78" spans="1:6" x14ac:dyDescent="0.25">
      <c r="A78" s="9"/>
      <c r="C78" s="7"/>
      <c r="D78" s="7"/>
      <c r="E78" s="7"/>
      <c r="F78" s="9"/>
    </row>
    <row r="79" spans="1:6" x14ac:dyDescent="0.25">
      <c r="A79" s="9"/>
      <c r="C79" s="7"/>
      <c r="D79" s="7"/>
      <c r="E79" s="7"/>
      <c r="F79" s="9"/>
    </row>
    <row r="80" spans="1:6" x14ac:dyDescent="0.25">
      <c r="A80" s="9"/>
      <c r="B80" s="6"/>
      <c r="C80" s="6"/>
      <c r="D80" s="6"/>
      <c r="E80" s="6"/>
      <c r="F80" s="13"/>
    </row>
    <row r="81" spans="1:6" x14ac:dyDescent="0.25">
      <c r="A81" s="9"/>
      <c r="C81" s="7"/>
      <c r="D81" s="7"/>
      <c r="E81" s="7"/>
      <c r="F81" s="9"/>
    </row>
    <row r="82" spans="1:6" x14ac:dyDescent="0.25">
      <c r="A82" s="9"/>
      <c r="B82" s="6"/>
      <c r="C82" s="14"/>
      <c r="D82" s="14"/>
      <c r="E82" s="14"/>
      <c r="F82" s="13"/>
    </row>
    <row r="83" spans="1:6" x14ac:dyDescent="0.25">
      <c r="A83" s="9"/>
      <c r="C83" s="7"/>
      <c r="D83" s="7"/>
      <c r="E83" s="7"/>
      <c r="F83" s="9"/>
    </row>
    <row r="84" spans="1:6" x14ac:dyDescent="0.25">
      <c r="A84" s="9"/>
      <c r="C84" s="7"/>
      <c r="D84" s="7"/>
      <c r="E84" s="7"/>
      <c r="F84" s="9"/>
    </row>
    <row r="85" spans="1:6" x14ac:dyDescent="0.25">
      <c r="A85" s="13"/>
      <c r="C85" s="7"/>
      <c r="D85" s="7"/>
      <c r="E85" s="7"/>
      <c r="F85" s="13"/>
    </row>
    <row r="86" spans="1:6" x14ac:dyDescent="0.25">
      <c r="A86" s="9"/>
      <c r="C86" s="14"/>
      <c r="D86" s="14"/>
      <c r="E86" s="14"/>
      <c r="F86" s="9"/>
    </row>
    <row r="87" spans="1:6" x14ac:dyDescent="0.25">
      <c r="A87" s="9"/>
      <c r="C87" s="14"/>
      <c r="D87" s="7"/>
      <c r="E87" s="7"/>
      <c r="F87" s="9"/>
    </row>
    <row r="88" spans="1:6" x14ac:dyDescent="0.25">
      <c r="A88" s="9"/>
      <c r="F88" s="9">
        <v>13</v>
      </c>
    </row>
    <row r="89" spans="1:6" x14ac:dyDescent="0.25">
      <c r="A89" s="9"/>
      <c r="C89" s="7"/>
      <c r="E89" s="7"/>
      <c r="F89" s="9"/>
    </row>
    <row r="90" spans="1:6" x14ac:dyDescent="0.25">
      <c r="A90" s="9"/>
      <c r="C90" s="7"/>
      <c r="E90" s="7"/>
      <c r="F90" s="9"/>
    </row>
    <row r="91" spans="1:6" x14ac:dyDescent="0.25">
      <c r="A91" s="9"/>
      <c r="C91" s="7"/>
      <c r="E91" s="7"/>
      <c r="F91" s="9"/>
    </row>
    <row r="92" spans="1:6" x14ac:dyDescent="0.25">
      <c r="C92" s="31"/>
      <c r="D92" s="16"/>
      <c r="E92" s="31"/>
      <c r="F92" s="9"/>
    </row>
  </sheetData>
  <phoneticPr fontId="6" type="noConversion"/>
  <pageMargins left="0.75" right="0.75" top="1" bottom="1" header="0.5" footer="0.5"/>
  <pageSetup scale="66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X52"/>
  <sheetViews>
    <sheetView workbookViewId="0"/>
  </sheetViews>
  <sheetFormatPr defaultRowHeight="13.2" x14ac:dyDescent="0.25"/>
  <cols>
    <col min="1" max="1" width="29.81640625" style="353" customWidth="1"/>
    <col min="2" max="2" width="8.54296875" style="353" bestFit="1" customWidth="1"/>
    <col min="3" max="3" width="10.54296875" style="353" bestFit="1" customWidth="1"/>
    <col min="4" max="8" width="8.90625" style="353"/>
    <col min="9" max="9" width="10.1796875" style="353" bestFit="1" customWidth="1"/>
    <col min="10" max="256" width="8.90625" style="353"/>
    <col min="257" max="257" width="23.453125" style="353" customWidth="1"/>
    <col min="258" max="258" width="7.54296875" style="353" bestFit="1" customWidth="1"/>
    <col min="259" max="259" width="8.36328125" style="353" bestFit="1" customWidth="1"/>
    <col min="260" max="264" width="8.90625" style="353"/>
    <col min="265" max="265" width="9.90625" style="353" bestFit="1" customWidth="1"/>
    <col min="266" max="512" width="8.90625" style="353"/>
    <col min="513" max="513" width="23.453125" style="353" customWidth="1"/>
    <col min="514" max="514" width="7.54296875" style="353" bestFit="1" customWidth="1"/>
    <col min="515" max="515" width="8.36328125" style="353" bestFit="1" customWidth="1"/>
    <col min="516" max="520" width="8.90625" style="353"/>
    <col min="521" max="521" width="9.90625" style="353" bestFit="1" customWidth="1"/>
    <col min="522" max="768" width="8.90625" style="353"/>
    <col min="769" max="769" width="23.453125" style="353" customWidth="1"/>
    <col min="770" max="770" width="7.54296875" style="353" bestFit="1" customWidth="1"/>
    <col min="771" max="771" width="8.36328125" style="353" bestFit="1" customWidth="1"/>
    <col min="772" max="776" width="8.90625" style="353"/>
    <col min="777" max="777" width="9.90625" style="353" bestFit="1" customWidth="1"/>
    <col min="778" max="1024" width="8.90625" style="353"/>
    <col min="1025" max="1025" width="23.453125" style="353" customWidth="1"/>
    <col min="1026" max="1026" width="7.54296875" style="353" bestFit="1" customWidth="1"/>
    <col min="1027" max="1027" width="8.36328125" style="353" bestFit="1" customWidth="1"/>
    <col min="1028" max="1032" width="8.90625" style="353"/>
    <col min="1033" max="1033" width="9.90625" style="353" bestFit="1" customWidth="1"/>
    <col min="1034" max="1280" width="8.90625" style="353"/>
    <col min="1281" max="1281" width="23.453125" style="353" customWidth="1"/>
    <col min="1282" max="1282" width="7.54296875" style="353" bestFit="1" customWidth="1"/>
    <col min="1283" max="1283" width="8.36328125" style="353" bestFit="1" customWidth="1"/>
    <col min="1284" max="1288" width="8.90625" style="353"/>
    <col min="1289" max="1289" width="9.90625" style="353" bestFit="1" customWidth="1"/>
    <col min="1290" max="1536" width="8.90625" style="353"/>
    <col min="1537" max="1537" width="23.453125" style="353" customWidth="1"/>
    <col min="1538" max="1538" width="7.54296875" style="353" bestFit="1" customWidth="1"/>
    <col min="1539" max="1539" width="8.36328125" style="353" bestFit="1" customWidth="1"/>
    <col min="1540" max="1544" width="8.90625" style="353"/>
    <col min="1545" max="1545" width="9.90625" style="353" bestFit="1" customWidth="1"/>
    <col min="1546" max="1792" width="8.90625" style="353"/>
    <col min="1793" max="1793" width="23.453125" style="353" customWidth="1"/>
    <col min="1794" max="1794" width="7.54296875" style="353" bestFit="1" customWidth="1"/>
    <col min="1795" max="1795" width="8.36328125" style="353" bestFit="1" customWidth="1"/>
    <col min="1796" max="1800" width="8.90625" style="353"/>
    <col min="1801" max="1801" width="9.90625" style="353" bestFit="1" customWidth="1"/>
    <col min="1802" max="2048" width="8.90625" style="353"/>
    <col min="2049" max="2049" width="23.453125" style="353" customWidth="1"/>
    <col min="2050" max="2050" width="7.54296875" style="353" bestFit="1" customWidth="1"/>
    <col min="2051" max="2051" width="8.36328125" style="353" bestFit="1" customWidth="1"/>
    <col min="2052" max="2056" width="8.90625" style="353"/>
    <col min="2057" max="2057" width="9.90625" style="353" bestFit="1" customWidth="1"/>
    <col min="2058" max="2304" width="8.90625" style="353"/>
    <col min="2305" max="2305" width="23.453125" style="353" customWidth="1"/>
    <col min="2306" max="2306" width="7.54296875" style="353" bestFit="1" customWidth="1"/>
    <col min="2307" max="2307" width="8.36328125" style="353" bestFit="1" customWidth="1"/>
    <col min="2308" max="2312" width="8.90625" style="353"/>
    <col min="2313" max="2313" width="9.90625" style="353" bestFit="1" customWidth="1"/>
    <col min="2314" max="2560" width="8.90625" style="353"/>
    <col min="2561" max="2561" width="23.453125" style="353" customWidth="1"/>
    <col min="2562" max="2562" width="7.54296875" style="353" bestFit="1" customWidth="1"/>
    <col min="2563" max="2563" width="8.36328125" style="353" bestFit="1" customWidth="1"/>
    <col min="2564" max="2568" width="8.90625" style="353"/>
    <col min="2569" max="2569" width="9.90625" style="353" bestFit="1" customWidth="1"/>
    <col min="2570" max="2816" width="8.90625" style="353"/>
    <col min="2817" max="2817" width="23.453125" style="353" customWidth="1"/>
    <col min="2818" max="2818" width="7.54296875" style="353" bestFit="1" customWidth="1"/>
    <col min="2819" max="2819" width="8.36328125" style="353" bestFit="1" customWidth="1"/>
    <col min="2820" max="2824" width="8.90625" style="353"/>
    <col min="2825" max="2825" width="9.90625" style="353" bestFit="1" customWidth="1"/>
    <col min="2826" max="3072" width="8.90625" style="353"/>
    <col min="3073" max="3073" width="23.453125" style="353" customWidth="1"/>
    <col min="3074" max="3074" width="7.54296875" style="353" bestFit="1" customWidth="1"/>
    <col min="3075" max="3075" width="8.36328125" style="353" bestFit="1" customWidth="1"/>
    <col min="3076" max="3080" width="8.90625" style="353"/>
    <col min="3081" max="3081" width="9.90625" style="353" bestFit="1" customWidth="1"/>
    <col min="3082" max="3328" width="8.90625" style="353"/>
    <col min="3329" max="3329" width="23.453125" style="353" customWidth="1"/>
    <col min="3330" max="3330" width="7.54296875" style="353" bestFit="1" customWidth="1"/>
    <col min="3331" max="3331" width="8.36328125" style="353" bestFit="1" customWidth="1"/>
    <col min="3332" max="3336" width="8.90625" style="353"/>
    <col min="3337" max="3337" width="9.90625" style="353" bestFit="1" customWidth="1"/>
    <col min="3338" max="3584" width="8.90625" style="353"/>
    <col min="3585" max="3585" width="23.453125" style="353" customWidth="1"/>
    <col min="3586" max="3586" width="7.54296875" style="353" bestFit="1" customWidth="1"/>
    <col min="3587" max="3587" width="8.36328125" style="353" bestFit="1" customWidth="1"/>
    <col min="3588" max="3592" width="8.90625" style="353"/>
    <col min="3593" max="3593" width="9.90625" style="353" bestFit="1" customWidth="1"/>
    <col min="3594" max="3840" width="8.90625" style="353"/>
    <col min="3841" max="3841" width="23.453125" style="353" customWidth="1"/>
    <col min="3842" max="3842" width="7.54296875" style="353" bestFit="1" customWidth="1"/>
    <col min="3843" max="3843" width="8.36328125" style="353" bestFit="1" customWidth="1"/>
    <col min="3844" max="3848" width="8.90625" style="353"/>
    <col min="3849" max="3849" width="9.90625" style="353" bestFit="1" customWidth="1"/>
    <col min="3850" max="4096" width="8.90625" style="353"/>
    <col min="4097" max="4097" width="23.453125" style="353" customWidth="1"/>
    <col min="4098" max="4098" width="7.54296875" style="353" bestFit="1" customWidth="1"/>
    <col min="4099" max="4099" width="8.36328125" style="353" bestFit="1" customWidth="1"/>
    <col min="4100" max="4104" width="8.90625" style="353"/>
    <col min="4105" max="4105" width="9.90625" style="353" bestFit="1" customWidth="1"/>
    <col min="4106" max="4352" width="8.90625" style="353"/>
    <col min="4353" max="4353" width="23.453125" style="353" customWidth="1"/>
    <col min="4354" max="4354" width="7.54296875" style="353" bestFit="1" customWidth="1"/>
    <col min="4355" max="4355" width="8.36328125" style="353" bestFit="1" customWidth="1"/>
    <col min="4356" max="4360" width="8.90625" style="353"/>
    <col min="4361" max="4361" width="9.90625" style="353" bestFit="1" customWidth="1"/>
    <col min="4362" max="4608" width="8.90625" style="353"/>
    <col min="4609" max="4609" width="23.453125" style="353" customWidth="1"/>
    <col min="4610" max="4610" width="7.54296875" style="353" bestFit="1" customWidth="1"/>
    <col min="4611" max="4611" width="8.36328125" style="353" bestFit="1" customWidth="1"/>
    <col min="4612" max="4616" width="8.90625" style="353"/>
    <col min="4617" max="4617" width="9.90625" style="353" bestFit="1" customWidth="1"/>
    <col min="4618" max="4864" width="8.90625" style="353"/>
    <col min="4865" max="4865" width="23.453125" style="353" customWidth="1"/>
    <col min="4866" max="4866" width="7.54296875" style="353" bestFit="1" customWidth="1"/>
    <col min="4867" max="4867" width="8.36328125" style="353" bestFit="1" customWidth="1"/>
    <col min="4868" max="4872" width="8.90625" style="353"/>
    <col min="4873" max="4873" width="9.90625" style="353" bestFit="1" customWidth="1"/>
    <col min="4874" max="5120" width="8.90625" style="353"/>
    <col min="5121" max="5121" width="23.453125" style="353" customWidth="1"/>
    <col min="5122" max="5122" width="7.54296875" style="353" bestFit="1" customWidth="1"/>
    <col min="5123" max="5123" width="8.36328125" style="353" bestFit="1" customWidth="1"/>
    <col min="5124" max="5128" width="8.90625" style="353"/>
    <col min="5129" max="5129" width="9.90625" style="353" bestFit="1" customWidth="1"/>
    <col min="5130" max="5376" width="8.90625" style="353"/>
    <col min="5377" max="5377" width="23.453125" style="353" customWidth="1"/>
    <col min="5378" max="5378" width="7.54296875" style="353" bestFit="1" customWidth="1"/>
    <col min="5379" max="5379" width="8.36328125" style="353" bestFit="1" customWidth="1"/>
    <col min="5380" max="5384" width="8.90625" style="353"/>
    <col min="5385" max="5385" width="9.90625" style="353" bestFit="1" customWidth="1"/>
    <col min="5386" max="5632" width="8.90625" style="353"/>
    <col min="5633" max="5633" width="23.453125" style="353" customWidth="1"/>
    <col min="5634" max="5634" width="7.54296875" style="353" bestFit="1" customWidth="1"/>
    <col min="5635" max="5635" width="8.36328125" style="353" bestFit="1" customWidth="1"/>
    <col min="5636" max="5640" width="8.90625" style="353"/>
    <col min="5641" max="5641" width="9.90625" style="353" bestFit="1" customWidth="1"/>
    <col min="5642" max="5888" width="8.90625" style="353"/>
    <col min="5889" max="5889" width="23.453125" style="353" customWidth="1"/>
    <col min="5890" max="5890" width="7.54296875" style="353" bestFit="1" customWidth="1"/>
    <col min="5891" max="5891" width="8.36328125" style="353" bestFit="1" customWidth="1"/>
    <col min="5892" max="5896" width="8.90625" style="353"/>
    <col min="5897" max="5897" width="9.90625" style="353" bestFit="1" customWidth="1"/>
    <col min="5898" max="6144" width="8.90625" style="353"/>
    <col min="6145" max="6145" width="23.453125" style="353" customWidth="1"/>
    <col min="6146" max="6146" width="7.54296875" style="353" bestFit="1" customWidth="1"/>
    <col min="6147" max="6147" width="8.36328125" style="353" bestFit="1" customWidth="1"/>
    <col min="6148" max="6152" width="8.90625" style="353"/>
    <col min="6153" max="6153" width="9.90625" style="353" bestFit="1" customWidth="1"/>
    <col min="6154" max="6400" width="8.90625" style="353"/>
    <col min="6401" max="6401" width="23.453125" style="353" customWidth="1"/>
    <col min="6402" max="6402" width="7.54296875" style="353" bestFit="1" customWidth="1"/>
    <col min="6403" max="6403" width="8.36328125" style="353" bestFit="1" customWidth="1"/>
    <col min="6404" max="6408" width="8.90625" style="353"/>
    <col min="6409" max="6409" width="9.90625" style="353" bestFit="1" customWidth="1"/>
    <col min="6410" max="6656" width="8.90625" style="353"/>
    <col min="6657" max="6657" width="23.453125" style="353" customWidth="1"/>
    <col min="6658" max="6658" width="7.54296875" style="353" bestFit="1" customWidth="1"/>
    <col min="6659" max="6659" width="8.36328125" style="353" bestFit="1" customWidth="1"/>
    <col min="6660" max="6664" width="8.90625" style="353"/>
    <col min="6665" max="6665" width="9.90625" style="353" bestFit="1" customWidth="1"/>
    <col min="6666" max="6912" width="8.90625" style="353"/>
    <col min="6913" max="6913" width="23.453125" style="353" customWidth="1"/>
    <col min="6914" max="6914" width="7.54296875" style="353" bestFit="1" customWidth="1"/>
    <col min="6915" max="6915" width="8.36328125" style="353" bestFit="1" customWidth="1"/>
    <col min="6916" max="6920" width="8.90625" style="353"/>
    <col min="6921" max="6921" width="9.90625" style="353" bestFit="1" customWidth="1"/>
    <col min="6922" max="7168" width="8.90625" style="353"/>
    <col min="7169" max="7169" width="23.453125" style="353" customWidth="1"/>
    <col min="7170" max="7170" width="7.54296875" style="353" bestFit="1" customWidth="1"/>
    <col min="7171" max="7171" width="8.36328125" style="353" bestFit="1" customWidth="1"/>
    <col min="7172" max="7176" width="8.90625" style="353"/>
    <col min="7177" max="7177" width="9.90625" style="353" bestFit="1" customWidth="1"/>
    <col min="7178" max="7424" width="8.90625" style="353"/>
    <col min="7425" max="7425" width="23.453125" style="353" customWidth="1"/>
    <col min="7426" max="7426" width="7.54296875" style="353" bestFit="1" customWidth="1"/>
    <col min="7427" max="7427" width="8.36328125" style="353" bestFit="1" customWidth="1"/>
    <col min="7428" max="7432" width="8.90625" style="353"/>
    <col min="7433" max="7433" width="9.90625" style="353" bestFit="1" customWidth="1"/>
    <col min="7434" max="7680" width="8.90625" style="353"/>
    <col min="7681" max="7681" width="23.453125" style="353" customWidth="1"/>
    <col min="7682" max="7682" width="7.54296875" style="353" bestFit="1" customWidth="1"/>
    <col min="7683" max="7683" width="8.36328125" style="353" bestFit="1" customWidth="1"/>
    <col min="7684" max="7688" width="8.90625" style="353"/>
    <col min="7689" max="7689" width="9.90625" style="353" bestFit="1" customWidth="1"/>
    <col min="7690" max="7936" width="8.90625" style="353"/>
    <col min="7937" max="7937" width="23.453125" style="353" customWidth="1"/>
    <col min="7938" max="7938" width="7.54296875" style="353" bestFit="1" customWidth="1"/>
    <col min="7939" max="7939" width="8.36328125" style="353" bestFit="1" customWidth="1"/>
    <col min="7940" max="7944" width="8.90625" style="353"/>
    <col min="7945" max="7945" width="9.90625" style="353" bestFit="1" customWidth="1"/>
    <col min="7946" max="8192" width="8.90625" style="353"/>
    <col min="8193" max="8193" width="23.453125" style="353" customWidth="1"/>
    <col min="8194" max="8194" width="7.54296875" style="353" bestFit="1" customWidth="1"/>
    <col min="8195" max="8195" width="8.36328125" style="353" bestFit="1" customWidth="1"/>
    <col min="8196" max="8200" width="8.90625" style="353"/>
    <col min="8201" max="8201" width="9.90625" style="353" bestFit="1" customWidth="1"/>
    <col min="8202" max="8448" width="8.90625" style="353"/>
    <col min="8449" max="8449" width="23.453125" style="353" customWidth="1"/>
    <col min="8450" max="8450" width="7.54296875" style="353" bestFit="1" customWidth="1"/>
    <col min="8451" max="8451" width="8.36328125" style="353" bestFit="1" customWidth="1"/>
    <col min="8452" max="8456" width="8.90625" style="353"/>
    <col min="8457" max="8457" width="9.90625" style="353" bestFit="1" customWidth="1"/>
    <col min="8458" max="8704" width="8.90625" style="353"/>
    <col min="8705" max="8705" width="23.453125" style="353" customWidth="1"/>
    <col min="8706" max="8706" width="7.54296875" style="353" bestFit="1" customWidth="1"/>
    <col min="8707" max="8707" width="8.36328125" style="353" bestFit="1" customWidth="1"/>
    <col min="8708" max="8712" width="8.90625" style="353"/>
    <col min="8713" max="8713" width="9.90625" style="353" bestFit="1" customWidth="1"/>
    <col min="8714" max="8960" width="8.90625" style="353"/>
    <col min="8961" max="8961" width="23.453125" style="353" customWidth="1"/>
    <col min="8962" max="8962" width="7.54296875" style="353" bestFit="1" customWidth="1"/>
    <col min="8963" max="8963" width="8.36328125" style="353" bestFit="1" customWidth="1"/>
    <col min="8964" max="8968" width="8.90625" style="353"/>
    <col min="8969" max="8969" width="9.90625" style="353" bestFit="1" customWidth="1"/>
    <col min="8970" max="9216" width="8.90625" style="353"/>
    <col min="9217" max="9217" width="23.453125" style="353" customWidth="1"/>
    <col min="9218" max="9218" width="7.54296875" style="353" bestFit="1" customWidth="1"/>
    <col min="9219" max="9219" width="8.36328125" style="353" bestFit="1" customWidth="1"/>
    <col min="9220" max="9224" width="8.90625" style="353"/>
    <col min="9225" max="9225" width="9.90625" style="353" bestFit="1" customWidth="1"/>
    <col min="9226" max="9472" width="8.90625" style="353"/>
    <col min="9473" max="9473" width="23.453125" style="353" customWidth="1"/>
    <col min="9474" max="9474" width="7.54296875" style="353" bestFit="1" customWidth="1"/>
    <col min="9475" max="9475" width="8.36328125" style="353" bestFit="1" customWidth="1"/>
    <col min="9476" max="9480" width="8.90625" style="353"/>
    <col min="9481" max="9481" width="9.90625" style="353" bestFit="1" customWidth="1"/>
    <col min="9482" max="9728" width="8.90625" style="353"/>
    <col min="9729" max="9729" width="23.453125" style="353" customWidth="1"/>
    <col min="9730" max="9730" width="7.54296875" style="353" bestFit="1" customWidth="1"/>
    <col min="9731" max="9731" width="8.36328125" style="353" bestFit="1" customWidth="1"/>
    <col min="9732" max="9736" width="8.90625" style="353"/>
    <col min="9737" max="9737" width="9.90625" style="353" bestFit="1" customWidth="1"/>
    <col min="9738" max="9984" width="8.90625" style="353"/>
    <col min="9985" max="9985" width="23.453125" style="353" customWidth="1"/>
    <col min="9986" max="9986" width="7.54296875" style="353" bestFit="1" customWidth="1"/>
    <col min="9987" max="9987" width="8.36328125" style="353" bestFit="1" customWidth="1"/>
    <col min="9988" max="9992" width="8.90625" style="353"/>
    <col min="9993" max="9993" width="9.90625" style="353" bestFit="1" customWidth="1"/>
    <col min="9994" max="10240" width="8.90625" style="353"/>
    <col min="10241" max="10241" width="23.453125" style="353" customWidth="1"/>
    <col min="10242" max="10242" width="7.54296875" style="353" bestFit="1" customWidth="1"/>
    <col min="10243" max="10243" width="8.36328125" style="353" bestFit="1" customWidth="1"/>
    <col min="10244" max="10248" width="8.90625" style="353"/>
    <col min="10249" max="10249" width="9.90625" style="353" bestFit="1" customWidth="1"/>
    <col min="10250" max="10496" width="8.90625" style="353"/>
    <col min="10497" max="10497" width="23.453125" style="353" customWidth="1"/>
    <col min="10498" max="10498" width="7.54296875" style="353" bestFit="1" customWidth="1"/>
    <col min="10499" max="10499" width="8.36328125" style="353" bestFit="1" customWidth="1"/>
    <col min="10500" max="10504" width="8.90625" style="353"/>
    <col min="10505" max="10505" width="9.90625" style="353" bestFit="1" customWidth="1"/>
    <col min="10506" max="10752" width="8.90625" style="353"/>
    <col min="10753" max="10753" width="23.453125" style="353" customWidth="1"/>
    <col min="10754" max="10754" width="7.54296875" style="353" bestFit="1" customWidth="1"/>
    <col min="10755" max="10755" width="8.36328125" style="353" bestFit="1" customWidth="1"/>
    <col min="10756" max="10760" width="8.90625" style="353"/>
    <col min="10761" max="10761" width="9.90625" style="353" bestFit="1" customWidth="1"/>
    <col min="10762" max="11008" width="8.90625" style="353"/>
    <col min="11009" max="11009" width="23.453125" style="353" customWidth="1"/>
    <col min="11010" max="11010" width="7.54296875" style="353" bestFit="1" customWidth="1"/>
    <col min="11011" max="11011" width="8.36328125" style="353" bestFit="1" customWidth="1"/>
    <col min="11012" max="11016" width="8.90625" style="353"/>
    <col min="11017" max="11017" width="9.90625" style="353" bestFit="1" customWidth="1"/>
    <col min="11018" max="11264" width="8.90625" style="353"/>
    <col min="11265" max="11265" width="23.453125" style="353" customWidth="1"/>
    <col min="11266" max="11266" width="7.54296875" style="353" bestFit="1" customWidth="1"/>
    <col min="11267" max="11267" width="8.36328125" style="353" bestFit="1" customWidth="1"/>
    <col min="11268" max="11272" width="8.90625" style="353"/>
    <col min="11273" max="11273" width="9.90625" style="353" bestFit="1" customWidth="1"/>
    <col min="11274" max="11520" width="8.90625" style="353"/>
    <col min="11521" max="11521" width="23.453125" style="353" customWidth="1"/>
    <col min="11522" max="11522" width="7.54296875" style="353" bestFit="1" customWidth="1"/>
    <col min="11523" max="11523" width="8.36328125" style="353" bestFit="1" customWidth="1"/>
    <col min="11524" max="11528" width="8.90625" style="353"/>
    <col min="11529" max="11529" width="9.90625" style="353" bestFit="1" customWidth="1"/>
    <col min="11530" max="11776" width="8.90625" style="353"/>
    <col min="11777" max="11777" width="23.453125" style="353" customWidth="1"/>
    <col min="11778" max="11778" width="7.54296875" style="353" bestFit="1" customWidth="1"/>
    <col min="11779" max="11779" width="8.36328125" style="353" bestFit="1" customWidth="1"/>
    <col min="11780" max="11784" width="8.90625" style="353"/>
    <col min="11785" max="11785" width="9.90625" style="353" bestFit="1" customWidth="1"/>
    <col min="11786" max="12032" width="8.90625" style="353"/>
    <col min="12033" max="12033" width="23.453125" style="353" customWidth="1"/>
    <col min="12034" max="12034" width="7.54296875" style="353" bestFit="1" customWidth="1"/>
    <col min="12035" max="12035" width="8.36328125" style="353" bestFit="1" customWidth="1"/>
    <col min="12036" max="12040" width="8.90625" style="353"/>
    <col min="12041" max="12041" width="9.90625" style="353" bestFit="1" customWidth="1"/>
    <col min="12042" max="12288" width="8.90625" style="353"/>
    <col min="12289" max="12289" width="23.453125" style="353" customWidth="1"/>
    <col min="12290" max="12290" width="7.54296875" style="353" bestFit="1" customWidth="1"/>
    <col min="12291" max="12291" width="8.36328125" style="353" bestFit="1" customWidth="1"/>
    <col min="12292" max="12296" width="8.90625" style="353"/>
    <col min="12297" max="12297" width="9.90625" style="353" bestFit="1" customWidth="1"/>
    <col min="12298" max="12544" width="8.90625" style="353"/>
    <col min="12545" max="12545" width="23.453125" style="353" customWidth="1"/>
    <col min="12546" max="12546" width="7.54296875" style="353" bestFit="1" customWidth="1"/>
    <col min="12547" max="12547" width="8.36328125" style="353" bestFit="1" customWidth="1"/>
    <col min="12548" max="12552" width="8.90625" style="353"/>
    <col min="12553" max="12553" width="9.90625" style="353" bestFit="1" customWidth="1"/>
    <col min="12554" max="12800" width="8.90625" style="353"/>
    <col min="12801" max="12801" width="23.453125" style="353" customWidth="1"/>
    <col min="12802" max="12802" width="7.54296875" style="353" bestFit="1" customWidth="1"/>
    <col min="12803" max="12803" width="8.36328125" style="353" bestFit="1" customWidth="1"/>
    <col min="12804" max="12808" width="8.90625" style="353"/>
    <col min="12809" max="12809" width="9.90625" style="353" bestFit="1" customWidth="1"/>
    <col min="12810" max="13056" width="8.90625" style="353"/>
    <col min="13057" max="13057" width="23.453125" style="353" customWidth="1"/>
    <col min="13058" max="13058" width="7.54296875" style="353" bestFit="1" customWidth="1"/>
    <col min="13059" max="13059" width="8.36328125" style="353" bestFit="1" customWidth="1"/>
    <col min="13060" max="13064" width="8.90625" style="353"/>
    <col min="13065" max="13065" width="9.90625" style="353" bestFit="1" customWidth="1"/>
    <col min="13066" max="13312" width="8.90625" style="353"/>
    <col min="13313" max="13313" width="23.453125" style="353" customWidth="1"/>
    <col min="13314" max="13314" width="7.54296875" style="353" bestFit="1" customWidth="1"/>
    <col min="13315" max="13315" width="8.36328125" style="353" bestFit="1" customWidth="1"/>
    <col min="13316" max="13320" width="8.90625" style="353"/>
    <col min="13321" max="13321" width="9.90625" style="353" bestFit="1" customWidth="1"/>
    <col min="13322" max="13568" width="8.90625" style="353"/>
    <col min="13569" max="13569" width="23.453125" style="353" customWidth="1"/>
    <col min="13570" max="13570" width="7.54296875" style="353" bestFit="1" customWidth="1"/>
    <col min="13571" max="13571" width="8.36328125" style="353" bestFit="1" customWidth="1"/>
    <col min="13572" max="13576" width="8.90625" style="353"/>
    <col min="13577" max="13577" width="9.90625" style="353" bestFit="1" customWidth="1"/>
    <col min="13578" max="13824" width="8.90625" style="353"/>
    <col min="13825" max="13825" width="23.453125" style="353" customWidth="1"/>
    <col min="13826" max="13826" width="7.54296875" style="353" bestFit="1" customWidth="1"/>
    <col min="13827" max="13827" width="8.36328125" style="353" bestFit="1" customWidth="1"/>
    <col min="13828" max="13832" width="8.90625" style="353"/>
    <col min="13833" max="13833" width="9.90625" style="353" bestFit="1" customWidth="1"/>
    <col min="13834" max="14080" width="8.90625" style="353"/>
    <col min="14081" max="14081" width="23.453125" style="353" customWidth="1"/>
    <col min="14082" max="14082" width="7.54296875" style="353" bestFit="1" customWidth="1"/>
    <col min="14083" max="14083" width="8.36328125" style="353" bestFit="1" customWidth="1"/>
    <col min="14084" max="14088" width="8.90625" style="353"/>
    <col min="14089" max="14089" width="9.90625" style="353" bestFit="1" customWidth="1"/>
    <col min="14090" max="14336" width="8.90625" style="353"/>
    <col min="14337" max="14337" width="23.453125" style="353" customWidth="1"/>
    <col min="14338" max="14338" width="7.54296875" style="353" bestFit="1" customWidth="1"/>
    <col min="14339" max="14339" width="8.36328125" style="353" bestFit="1" customWidth="1"/>
    <col min="14340" max="14344" width="8.90625" style="353"/>
    <col min="14345" max="14345" width="9.90625" style="353" bestFit="1" customWidth="1"/>
    <col min="14346" max="14592" width="8.90625" style="353"/>
    <col min="14593" max="14593" width="23.453125" style="353" customWidth="1"/>
    <col min="14594" max="14594" width="7.54296875" style="353" bestFit="1" customWidth="1"/>
    <col min="14595" max="14595" width="8.36328125" style="353" bestFit="1" customWidth="1"/>
    <col min="14596" max="14600" width="8.90625" style="353"/>
    <col min="14601" max="14601" width="9.90625" style="353" bestFit="1" customWidth="1"/>
    <col min="14602" max="14848" width="8.90625" style="353"/>
    <col min="14849" max="14849" width="23.453125" style="353" customWidth="1"/>
    <col min="14850" max="14850" width="7.54296875" style="353" bestFit="1" customWidth="1"/>
    <col min="14851" max="14851" width="8.36328125" style="353" bestFit="1" customWidth="1"/>
    <col min="14852" max="14856" width="8.90625" style="353"/>
    <col min="14857" max="14857" width="9.90625" style="353" bestFit="1" customWidth="1"/>
    <col min="14858" max="15104" width="8.90625" style="353"/>
    <col min="15105" max="15105" width="23.453125" style="353" customWidth="1"/>
    <col min="15106" max="15106" width="7.54296875" style="353" bestFit="1" customWidth="1"/>
    <col min="15107" max="15107" width="8.36328125" style="353" bestFit="1" customWidth="1"/>
    <col min="15108" max="15112" width="8.90625" style="353"/>
    <col min="15113" max="15113" width="9.90625" style="353" bestFit="1" customWidth="1"/>
    <col min="15114" max="15360" width="8.90625" style="353"/>
    <col min="15361" max="15361" width="23.453125" style="353" customWidth="1"/>
    <col min="15362" max="15362" width="7.54296875" style="353" bestFit="1" customWidth="1"/>
    <col min="15363" max="15363" width="8.36328125" style="353" bestFit="1" customWidth="1"/>
    <col min="15364" max="15368" width="8.90625" style="353"/>
    <col min="15369" max="15369" width="9.90625" style="353" bestFit="1" customWidth="1"/>
    <col min="15370" max="15616" width="8.90625" style="353"/>
    <col min="15617" max="15617" width="23.453125" style="353" customWidth="1"/>
    <col min="15618" max="15618" width="7.54296875" style="353" bestFit="1" customWidth="1"/>
    <col min="15619" max="15619" width="8.36328125" style="353" bestFit="1" customWidth="1"/>
    <col min="15620" max="15624" width="8.90625" style="353"/>
    <col min="15625" max="15625" width="9.90625" style="353" bestFit="1" customWidth="1"/>
    <col min="15626" max="15872" width="8.90625" style="353"/>
    <col min="15873" max="15873" width="23.453125" style="353" customWidth="1"/>
    <col min="15874" max="15874" width="7.54296875" style="353" bestFit="1" customWidth="1"/>
    <col min="15875" max="15875" width="8.36328125" style="353" bestFit="1" customWidth="1"/>
    <col min="15876" max="15880" width="8.90625" style="353"/>
    <col min="15881" max="15881" width="9.90625" style="353" bestFit="1" customWidth="1"/>
    <col min="15882" max="16128" width="8.90625" style="353"/>
    <col min="16129" max="16129" width="23.453125" style="353" customWidth="1"/>
    <col min="16130" max="16130" width="7.54296875" style="353" bestFit="1" customWidth="1"/>
    <col min="16131" max="16131" width="8.36328125" style="353" bestFit="1" customWidth="1"/>
    <col min="16132" max="16136" width="8.90625" style="353"/>
    <col min="16137" max="16137" width="9.90625" style="353" bestFit="1" customWidth="1"/>
    <col min="16138" max="16384" width="8.90625" style="353"/>
  </cols>
  <sheetData>
    <row r="1" spans="1:24" x14ac:dyDescent="0.25">
      <c r="A1" s="386" t="s">
        <v>882</v>
      </c>
    </row>
    <row r="2" spans="1:24" x14ac:dyDescent="0.25">
      <c r="A2" s="386" t="s">
        <v>1275</v>
      </c>
    </row>
    <row r="3" spans="1:24" ht="15" customHeight="1" x14ac:dyDescent="0.25"/>
    <row r="4" spans="1:24" ht="15" customHeight="1" x14ac:dyDescent="0.25"/>
    <row r="5" spans="1:24" ht="15" customHeight="1" x14ac:dyDescent="0.25"/>
    <row r="6" spans="1:24" ht="15" customHeight="1" x14ac:dyDescent="0.25"/>
    <row r="7" spans="1:24" ht="15" customHeight="1" x14ac:dyDescent="0.25"/>
    <row r="8" spans="1:24" ht="15" customHeight="1" x14ac:dyDescent="0.25"/>
    <row r="9" spans="1:24" ht="15" customHeight="1" x14ac:dyDescent="0.25"/>
    <row r="10" spans="1:24" ht="15" customHeight="1" x14ac:dyDescent="0.25"/>
    <row r="11" spans="1:24" ht="15" customHeight="1" x14ac:dyDescent="0.25">
      <c r="N11" s="267"/>
      <c r="O11" s="267"/>
      <c r="P11" s="267"/>
      <c r="Q11" s="267"/>
      <c r="R11" s="267"/>
      <c r="S11" s="267"/>
      <c r="T11" s="267"/>
      <c r="U11" s="267"/>
      <c r="V11" s="267"/>
      <c r="W11" s="267"/>
      <c r="X11" s="267"/>
    </row>
    <row r="12" spans="1:24" ht="15" customHeight="1" x14ac:dyDescent="0.25">
      <c r="N12" s="267"/>
      <c r="O12" s="267"/>
      <c r="P12" s="267"/>
      <c r="Q12" s="267"/>
      <c r="R12" s="267"/>
      <c r="S12" s="267"/>
      <c r="T12" s="267"/>
      <c r="U12" s="267"/>
      <c r="V12" s="267"/>
      <c r="W12" s="267"/>
      <c r="X12" s="267"/>
    </row>
    <row r="13" spans="1:24" ht="15" customHeight="1" x14ac:dyDescent="0.25">
      <c r="N13" s="527"/>
      <c r="O13" s="267"/>
      <c r="P13" s="267"/>
      <c r="Q13" s="267"/>
      <c r="R13" s="267"/>
      <c r="S13" s="267"/>
      <c r="T13" s="267"/>
      <c r="U13" s="267"/>
      <c r="V13" s="267"/>
      <c r="W13" s="267"/>
      <c r="X13" s="267"/>
    </row>
    <row r="14" spans="1:24" ht="15" customHeight="1" x14ac:dyDescent="0.25"/>
    <row r="15" spans="1:24" ht="15" customHeight="1" x14ac:dyDescent="0.25"/>
    <row r="16" spans="1:24" ht="15" customHeight="1" x14ac:dyDescent="0.25"/>
    <row r="17" spans="1:3" ht="15" customHeight="1" x14ac:dyDescent="0.25"/>
    <row r="18" spans="1:3" ht="15" customHeight="1" x14ac:dyDescent="0.25"/>
    <row r="19" spans="1:3" ht="15" customHeight="1" x14ac:dyDescent="0.25"/>
    <row r="20" spans="1:3" ht="15" customHeight="1" x14ac:dyDescent="0.25"/>
    <row r="21" spans="1:3" ht="15" customHeight="1" x14ac:dyDescent="0.25"/>
    <row r="22" spans="1:3" ht="15" customHeight="1" x14ac:dyDescent="0.25"/>
    <row r="23" spans="1:3" ht="15" customHeight="1" x14ac:dyDescent="0.25"/>
    <row r="24" spans="1:3" ht="15" customHeight="1" x14ac:dyDescent="0.25"/>
    <row r="25" spans="1:3" ht="15" customHeight="1" x14ac:dyDescent="0.25"/>
    <row r="26" spans="1:3" ht="15" customHeight="1" x14ac:dyDescent="0.25"/>
    <row r="27" spans="1:3" ht="15" customHeight="1" x14ac:dyDescent="0.25"/>
    <row r="28" spans="1:3" ht="15" customHeight="1" x14ac:dyDescent="0.25"/>
    <row r="29" spans="1:3" ht="15" customHeight="1" x14ac:dyDescent="0.25"/>
    <row r="31" spans="1:3" x14ac:dyDescent="0.25">
      <c r="A31" s="507" t="s">
        <v>143</v>
      </c>
      <c r="B31" s="508" t="s">
        <v>692</v>
      </c>
      <c r="C31" s="508" t="s">
        <v>693</v>
      </c>
    </row>
    <row r="32" spans="1:3" x14ac:dyDescent="0.25">
      <c r="A32" s="353" t="s">
        <v>1112</v>
      </c>
      <c r="B32" s="509">
        <f t="shared" ref="B32:B50" si="0">+C32/$C$51</f>
        <v>-0.38475606154503678</v>
      </c>
      <c r="C32" s="560">
        <f>-'S1B Major Items of Change'!C11</f>
        <v>-1736806.4399999992</v>
      </c>
    </row>
    <row r="33" spans="1:9" x14ac:dyDescent="0.25">
      <c r="A33" s="353" t="s">
        <v>1240</v>
      </c>
      <c r="B33" s="509">
        <f t="shared" si="0"/>
        <v>-0.23092514838756414</v>
      </c>
      <c r="C33" s="212">
        <f>-'S1B Major Items of Change'!C12</f>
        <v>-1042406.67</v>
      </c>
      <c r="F33" s="353" t="s">
        <v>694</v>
      </c>
      <c r="I33" s="512">
        <f>+'S1 VEC Master Summary'!E32</f>
        <v>93254618</v>
      </c>
    </row>
    <row r="34" spans="1:9" x14ac:dyDescent="0.25">
      <c r="A34" s="353" t="s">
        <v>1241</v>
      </c>
      <c r="B34" s="509">
        <f t="shared" si="0"/>
        <v>-0.18229055165171715</v>
      </c>
      <c r="C34" s="212">
        <f>-'S1B Major Items of Change'!C13</f>
        <v>-822867.87838635664</v>
      </c>
      <c r="I34" s="512"/>
    </row>
    <row r="35" spans="1:9" x14ac:dyDescent="0.25">
      <c r="A35" s="353" t="s">
        <v>1056</v>
      </c>
      <c r="B35" s="509">
        <f t="shared" si="0"/>
        <v>-0.11584967151652224</v>
      </c>
      <c r="C35" s="560">
        <f>-'S1B Major Items of Change'!C14</f>
        <v>-522950.70999999903</v>
      </c>
      <c r="F35" s="353" t="s">
        <v>695</v>
      </c>
      <c r="I35" s="512">
        <f>+'S1 VEC Master Summary'!E40</f>
        <v>4514045.6865725191</v>
      </c>
    </row>
    <row r="36" spans="1:9" x14ac:dyDescent="0.25">
      <c r="A36" s="353" t="s">
        <v>1277</v>
      </c>
      <c r="B36" s="509">
        <f t="shared" si="0"/>
        <v>-1.639194752062496E-2</v>
      </c>
      <c r="C36" s="560">
        <f>-'S1B Major Items of Change'!C15</f>
        <v>-73994</v>
      </c>
    </row>
    <row r="37" spans="1:9" x14ac:dyDescent="0.25">
      <c r="A37" s="353" t="s">
        <v>1238</v>
      </c>
      <c r="B37" s="509">
        <f t="shared" si="0"/>
        <v>4.6692039610267359E-3</v>
      </c>
      <c r="C37" s="510">
        <f>-'S1B Major Items of Change'!C33</f>
        <v>21077</v>
      </c>
      <c r="F37" s="353" t="s">
        <v>696</v>
      </c>
      <c r="I37" s="513">
        <f>+I35/I33</f>
        <v>4.8405599458597529E-2</v>
      </c>
    </row>
    <row r="38" spans="1:9" x14ac:dyDescent="0.25">
      <c r="A38" s="353" t="s">
        <v>1278</v>
      </c>
      <c r="B38" s="509">
        <f t="shared" si="0"/>
        <v>6.7050717032023635E-3</v>
      </c>
      <c r="C38" s="510">
        <f>-'S1B Major Items of Change'!C32</f>
        <v>30267</v>
      </c>
    </row>
    <row r="39" spans="1:9" x14ac:dyDescent="0.25">
      <c r="A39" s="353" t="s">
        <v>1279</v>
      </c>
      <c r="B39" s="509">
        <f t="shared" si="0"/>
        <v>1.3405823556462134E-2</v>
      </c>
      <c r="C39" s="510">
        <f>-'S1B Major Items of Change'!C31</f>
        <v>60514.5</v>
      </c>
    </row>
    <row r="40" spans="1:9" x14ac:dyDescent="0.25">
      <c r="A40" s="353" t="s">
        <v>1110</v>
      </c>
      <c r="B40" s="509">
        <f t="shared" si="0"/>
        <v>1.6632957301824264E-2</v>
      </c>
      <c r="C40" s="510">
        <f>-'S1B Major Items of Change'!C30</f>
        <v>75081.929163244509</v>
      </c>
    </row>
    <row r="41" spans="1:9" x14ac:dyDescent="0.25">
      <c r="A41" s="353" t="s">
        <v>1111</v>
      </c>
      <c r="B41" s="509">
        <f t="shared" si="0"/>
        <v>2.3375926458582396E-2</v>
      </c>
      <c r="C41" s="511">
        <f>-'S1B Major Items of Change'!C29</f>
        <v>105520</v>
      </c>
    </row>
    <row r="42" spans="1:9" x14ac:dyDescent="0.25">
      <c r="A42" s="353" t="s">
        <v>1280</v>
      </c>
      <c r="B42" s="509">
        <f t="shared" si="0"/>
        <v>3.3771421192294405E-2</v>
      </c>
      <c r="C42" s="511">
        <f>-'S1B Major Items of Change'!C28</f>
        <v>152445.73816249991</v>
      </c>
    </row>
    <row r="43" spans="1:9" x14ac:dyDescent="0.25">
      <c r="A43" s="353" t="s">
        <v>773</v>
      </c>
      <c r="B43" s="509">
        <f t="shared" si="0"/>
        <v>5.069731808004025E-2</v>
      </c>
      <c r="C43" s="510">
        <f>-'S1B Major Items of Change'!C27</f>
        <v>228850.01000000007</v>
      </c>
    </row>
    <row r="44" spans="1:9" x14ac:dyDescent="0.25">
      <c r="A44" s="353" t="s">
        <v>944</v>
      </c>
      <c r="B44" s="509">
        <f t="shared" si="0"/>
        <v>7.2044020504127948E-2</v>
      </c>
      <c r="C44" s="511">
        <f>-'S1B Major Items of Change'!C26</f>
        <v>325210</v>
      </c>
    </row>
    <row r="45" spans="1:9" x14ac:dyDescent="0.25">
      <c r="A45" s="353" t="s">
        <v>1281</v>
      </c>
      <c r="B45" s="509">
        <f t="shared" si="0"/>
        <v>0.10593889233830613</v>
      </c>
      <c r="C45" s="510">
        <f>-'S1B Major Items of Change'!C25</f>
        <v>478213</v>
      </c>
    </row>
    <row r="46" spans="1:9" x14ac:dyDescent="0.25">
      <c r="A46" s="353" t="s">
        <v>925</v>
      </c>
      <c r="B46" s="509">
        <f t="shared" si="0"/>
        <v>0.16713462653783037</v>
      </c>
      <c r="C46" s="511">
        <f>-'S1B Major Items of Change'!C24</f>
        <v>754453.34000000008</v>
      </c>
    </row>
    <row r="47" spans="1:9" x14ac:dyDescent="0.25">
      <c r="A47" s="353" t="s">
        <v>1009</v>
      </c>
      <c r="B47" s="509">
        <f t="shared" si="0"/>
        <v>0.21865969545866029</v>
      </c>
      <c r="C47" s="511">
        <f>-'S1B Major Items of Change'!C23</f>
        <v>987039.85511242354</v>
      </c>
    </row>
    <row r="48" spans="1:9" x14ac:dyDescent="0.25">
      <c r="A48" s="353" t="s">
        <v>1044</v>
      </c>
      <c r="B48" s="509">
        <f t="shared" si="0"/>
        <v>0.26445447064739641</v>
      </c>
      <c r="C48" s="511">
        <f>-'S1B Major Items of Change'!C22</f>
        <v>1193759.5625206954</v>
      </c>
    </row>
    <row r="49" spans="1:3" x14ac:dyDescent="0.25">
      <c r="A49" s="353" t="s">
        <v>1282</v>
      </c>
      <c r="B49" s="509">
        <f t="shared" si="0"/>
        <v>0.44838823541833656</v>
      </c>
      <c r="C49" s="511">
        <f>-'S1B Major Items of Change'!C21</f>
        <v>2024044.98</v>
      </c>
    </row>
    <row r="50" spans="1:3" x14ac:dyDescent="0.25">
      <c r="A50" s="353" t="s">
        <v>1010</v>
      </c>
      <c r="B50" s="514">
        <f t="shared" si="0"/>
        <v>0.50433571746337513</v>
      </c>
      <c r="C50" s="515">
        <f>-'S1B Major Items of Change'!C20</f>
        <v>2276594.4699999993</v>
      </c>
    </row>
    <row r="51" spans="1:3" x14ac:dyDescent="0.25">
      <c r="A51" s="353" t="s">
        <v>697</v>
      </c>
      <c r="B51" s="509">
        <f>SUM(B32:B50)</f>
        <v>1</v>
      </c>
      <c r="C51" s="510">
        <f>SUM(C32:C50)</f>
        <v>4514045.686572507</v>
      </c>
    </row>
    <row r="52" spans="1:3" x14ac:dyDescent="0.25">
      <c r="C52" s="212">
        <f>C51-I35</f>
        <v>-1.2107193470001221E-8</v>
      </c>
    </row>
  </sheetData>
  <sortState ref="A32:C50">
    <sortCondition ref="C32:C50"/>
  </sortState>
  <pageMargins left="0.7" right="0.7" top="0.75" bottom="0.75" header="0.3" footer="0.3"/>
  <pageSetup scale="54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1:W45"/>
  <sheetViews>
    <sheetView showGridLines="0" zoomScale="75" zoomScaleNormal="80" workbookViewId="0"/>
  </sheetViews>
  <sheetFormatPr defaultColWidth="11.08984375" defaultRowHeight="13.2" x14ac:dyDescent="0.25"/>
  <cols>
    <col min="1" max="1" width="52.81640625" style="112" customWidth="1"/>
    <col min="2" max="2" width="2.453125" style="112" customWidth="1"/>
    <col min="3" max="3" width="16.1796875" style="151" bestFit="1" customWidth="1"/>
    <col min="4" max="4" width="2.453125" style="112" customWidth="1"/>
    <col min="5" max="5" width="51.81640625" style="112" customWidth="1"/>
    <col min="6" max="6" width="12.1796875" style="160" hidden="1" customWidth="1"/>
    <col min="7" max="7" width="11.08984375" style="112"/>
    <col min="8" max="8" width="11.08984375" style="160"/>
    <col min="9" max="9" width="11.81640625" style="112" customWidth="1"/>
    <col min="10" max="10" width="13.08984375" style="112" customWidth="1"/>
    <col min="11" max="14" width="11.08984375" style="112"/>
    <col min="15" max="15" width="12.6328125" style="112" bestFit="1" customWidth="1"/>
    <col min="16" max="18" width="11.08984375" style="112"/>
    <col min="19" max="19" width="13.36328125" style="112" bestFit="1" customWidth="1"/>
    <col min="20" max="20" width="11.81640625" style="112" hidden="1" customWidth="1"/>
    <col min="21" max="21" width="0" style="112" hidden="1" customWidth="1"/>
    <col min="22" max="22" width="11.08984375" style="112"/>
    <col min="23" max="16384" width="11.08984375" style="160"/>
  </cols>
  <sheetData>
    <row r="1" spans="1:23" x14ac:dyDescent="0.25">
      <c r="A1" s="91" t="s">
        <v>882</v>
      </c>
      <c r="E1" s="160"/>
      <c r="I1" s="160"/>
      <c r="J1" s="160"/>
      <c r="K1" s="160"/>
      <c r="V1" s="69"/>
    </row>
    <row r="2" spans="1:23" x14ac:dyDescent="0.25">
      <c r="A2" s="91" t="s">
        <v>1276</v>
      </c>
      <c r="I2" s="160"/>
      <c r="J2" s="160"/>
      <c r="K2" s="160"/>
      <c r="V2" s="69"/>
    </row>
    <row r="3" spans="1:23" ht="28.95" customHeight="1" x14ac:dyDescent="0.25">
      <c r="A3" s="91" t="s">
        <v>1216</v>
      </c>
      <c r="I3" s="160"/>
      <c r="J3" s="160"/>
      <c r="K3" s="160"/>
      <c r="V3" s="69"/>
    </row>
    <row r="4" spans="1:23" x14ac:dyDescent="0.25">
      <c r="A4" s="128"/>
      <c r="I4" s="160"/>
      <c r="J4" s="160"/>
      <c r="K4" s="160"/>
      <c r="V4" s="69"/>
    </row>
    <row r="5" spans="1:23" x14ac:dyDescent="0.25">
      <c r="I5" s="160"/>
      <c r="J5" s="160"/>
      <c r="K5" s="160"/>
      <c r="V5" s="69"/>
    </row>
    <row r="6" spans="1:23" x14ac:dyDescent="0.25">
      <c r="C6" s="306" t="s">
        <v>90</v>
      </c>
      <c r="E6" s="160"/>
      <c r="G6" s="482"/>
      <c r="H6" s="479" t="s">
        <v>1184</v>
      </c>
      <c r="I6" s="479"/>
      <c r="J6" s="479"/>
      <c r="K6" s="479"/>
      <c r="L6" s="480"/>
      <c r="M6" s="480"/>
      <c r="N6" s="480"/>
      <c r="O6" s="480"/>
      <c r="P6" s="480"/>
      <c r="Q6" s="480"/>
      <c r="R6" s="480"/>
      <c r="S6" s="481"/>
      <c r="V6" s="69"/>
    </row>
    <row r="7" spans="1:23" x14ac:dyDescent="0.25">
      <c r="A7" s="335" t="s">
        <v>143</v>
      </c>
      <c r="C7" s="307" t="s">
        <v>1082</v>
      </c>
      <c r="E7" s="160"/>
      <c r="F7" s="308" t="s">
        <v>1092</v>
      </c>
      <c r="H7" s="308"/>
      <c r="I7" s="160"/>
      <c r="J7" s="160"/>
      <c r="K7" s="160"/>
      <c r="V7" s="69"/>
    </row>
    <row r="8" spans="1:23" x14ac:dyDescent="0.25">
      <c r="G8" s="306" t="s">
        <v>1197</v>
      </c>
      <c r="H8" s="308" t="s">
        <v>1185</v>
      </c>
      <c r="I8" s="308" t="s">
        <v>1186</v>
      </c>
      <c r="J8" s="308" t="s">
        <v>1187</v>
      </c>
      <c r="K8" s="308" t="s">
        <v>1188</v>
      </c>
      <c r="L8" s="306" t="s">
        <v>1189</v>
      </c>
      <c r="M8" s="306" t="s">
        <v>1190</v>
      </c>
      <c r="N8" s="306" t="s">
        <v>1193</v>
      </c>
      <c r="O8" s="306" t="s">
        <v>1194</v>
      </c>
      <c r="P8" s="306" t="s">
        <v>1191</v>
      </c>
      <c r="Q8" s="306" t="s">
        <v>1192</v>
      </c>
      <c r="R8" s="306" t="s">
        <v>1195</v>
      </c>
      <c r="S8" s="306" t="s">
        <v>1196</v>
      </c>
      <c r="V8" s="69"/>
    </row>
    <row r="9" spans="1:23" s="344" customFormat="1" x14ac:dyDescent="0.25">
      <c r="A9" s="490" t="s">
        <v>769</v>
      </c>
      <c r="B9" s="486"/>
      <c r="C9" s="491"/>
      <c r="D9" s="486"/>
      <c r="E9" s="486"/>
      <c r="G9" s="492" t="s">
        <v>1198</v>
      </c>
      <c r="H9" s="492" t="s">
        <v>1200</v>
      </c>
      <c r="J9" s="493" t="s">
        <v>845</v>
      </c>
      <c r="K9" s="493" t="s">
        <v>1203</v>
      </c>
      <c r="L9" s="492" t="s">
        <v>1205</v>
      </c>
      <c r="M9" s="486"/>
      <c r="N9" s="492" t="s">
        <v>1208</v>
      </c>
      <c r="O9" s="486"/>
      <c r="P9" s="486"/>
      <c r="Q9" s="492" t="s">
        <v>1210</v>
      </c>
      <c r="R9" s="490" t="s">
        <v>1212</v>
      </c>
      <c r="S9" s="492" t="s">
        <v>1214</v>
      </c>
      <c r="T9" s="486"/>
      <c r="U9" s="486"/>
      <c r="V9" s="489"/>
    </row>
    <row r="10" spans="1:23" s="344" customFormat="1" x14ac:dyDescent="0.25">
      <c r="A10" s="486"/>
      <c r="B10" s="486"/>
      <c r="C10" s="491"/>
      <c r="D10" s="486"/>
      <c r="E10" s="486"/>
      <c r="G10" s="494" t="s">
        <v>1199</v>
      </c>
      <c r="H10" s="495" t="s">
        <v>1201</v>
      </c>
      <c r="I10" s="495" t="s">
        <v>258</v>
      </c>
      <c r="J10" s="495" t="s">
        <v>1202</v>
      </c>
      <c r="K10" s="495" t="s">
        <v>1204</v>
      </c>
      <c r="L10" s="494" t="s">
        <v>1206</v>
      </c>
      <c r="M10" s="494" t="s">
        <v>1207</v>
      </c>
      <c r="N10" s="494" t="s">
        <v>1209</v>
      </c>
      <c r="O10" s="494" t="s">
        <v>1093</v>
      </c>
      <c r="P10" s="494" t="s">
        <v>773</v>
      </c>
      <c r="Q10" s="494" t="s">
        <v>1211</v>
      </c>
      <c r="R10" s="494" t="s">
        <v>1213</v>
      </c>
      <c r="S10" s="494" t="s">
        <v>1215</v>
      </c>
      <c r="T10" s="494" t="s">
        <v>702</v>
      </c>
      <c r="U10" s="486"/>
      <c r="V10" s="489"/>
    </row>
    <row r="11" spans="1:23" s="344" customFormat="1" ht="30" customHeight="1" x14ac:dyDescent="0.25">
      <c r="A11" s="344" t="s">
        <v>1181</v>
      </c>
      <c r="C11" s="312">
        <f>-'S11 Revenues &amp; Non-Op Margins'!$D$13-'S1 VEC Master Summary'!$C$40-'S1 VEC Master Summary'!$D$19-'S1 VEC Master Summary'!$D$20-'S11 Revenues &amp; Non-Op Margins'!$D$14-'S11 Revenues &amp; Non-Op Margins'!$D$15</f>
        <v>1736806.4399999992</v>
      </c>
      <c r="D11" s="486"/>
      <c r="E11" s="496" t="s">
        <v>1242</v>
      </c>
      <c r="F11" s="497">
        <f>-'S11 Revenues &amp; Non-Op Margins'!$D$13-'S1 VEC Master Summary'!$C$40-'S1 VEC Master Summary'!$D$19-'S1 VEC Master Summary'!$D$20-'S11 Revenues &amp; Non-Op Margins'!$D$14-'S11 Revenues &amp; Non-Op Margins'!$D$15</f>
        <v>1736806.4399999992</v>
      </c>
      <c r="G11" s="498">
        <f>-'S1 VEC Master Summary'!$C$40-'S1 VEC Master Summary'!$D$19-'S1 VEC Master Summary'!$D$20</f>
        <v>-1056445.2000000032</v>
      </c>
      <c r="L11" s="486"/>
      <c r="M11" s="486"/>
      <c r="N11" s="486"/>
      <c r="O11" s="486"/>
      <c r="P11" s="486"/>
      <c r="Q11" s="486"/>
      <c r="R11" s="486"/>
      <c r="S11" s="499">
        <f>-'S11 Revenues &amp; Non-Op Margins'!D13-'S11 Revenues &amp; Non-Op Margins'!D14-'S11 Revenues &amp; Non-Op Margins'!D15</f>
        <v>2793251.6400000025</v>
      </c>
      <c r="T11" s="498">
        <f>SUM(G11:S11)</f>
        <v>1736806.4399999992</v>
      </c>
      <c r="U11" s="498">
        <f>+T11-C11</f>
        <v>0</v>
      </c>
      <c r="V11" s="489"/>
      <c r="W11" s="501"/>
    </row>
    <row r="12" spans="1:23" s="344" customFormat="1" ht="30" customHeight="1" x14ac:dyDescent="0.25">
      <c r="A12" s="486" t="s">
        <v>1239</v>
      </c>
      <c r="B12" s="486"/>
      <c r="C12" s="311">
        <f>-'S4 Dist Ops &amp; Mtce'!$H$19-'S4 Dist Ops &amp; Mtce'!$H$24</f>
        <v>1042406.67</v>
      </c>
      <c r="D12" s="486"/>
      <c r="E12" s="500" t="s">
        <v>1113</v>
      </c>
      <c r="F12" s="501">
        <f>-'S4 Dist Ops &amp; Mtce'!$H$19-'S4 Dist Ops &amp; Mtce'!$H$24</f>
        <v>1042406.67</v>
      </c>
      <c r="G12" s="486"/>
      <c r="H12" s="501"/>
      <c r="J12" s="501">
        <f>+F12</f>
        <v>1042406.67</v>
      </c>
      <c r="L12" s="486"/>
      <c r="M12" s="486"/>
      <c r="N12" s="486"/>
      <c r="O12" s="486"/>
      <c r="P12" s="486"/>
      <c r="Q12" s="486"/>
      <c r="R12" s="486"/>
      <c r="S12" s="486"/>
      <c r="T12" s="498">
        <f t="shared" ref="T12:T15" si="0">SUM(G12:S12)</f>
        <v>1042406.67</v>
      </c>
      <c r="U12" s="498">
        <f t="shared" ref="U12:U15" si="1">+T12-C12</f>
        <v>0</v>
      </c>
      <c r="V12" s="489"/>
      <c r="W12" s="501"/>
    </row>
    <row r="13" spans="1:23" s="344" customFormat="1" ht="30" customHeight="1" x14ac:dyDescent="0.25">
      <c r="A13" s="486" t="s">
        <v>1182</v>
      </c>
      <c r="B13" s="486"/>
      <c r="C13" s="313">
        <f>-'S2 Power Supply'!F13</f>
        <v>822867.87838635664</v>
      </c>
      <c r="D13" s="486"/>
      <c r="E13" s="500" t="s">
        <v>1243</v>
      </c>
      <c r="F13" s="501">
        <f>-'S2 Power Supply'!F17</f>
        <v>822867.87838635664</v>
      </c>
      <c r="G13" s="486"/>
      <c r="H13" s="501">
        <f>+F13</f>
        <v>822867.87838635664</v>
      </c>
      <c r="L13" s="486"/>
      <c r="M13" s="486"/>
      <c r="N13" s="486"/>
      <c r="O13" s="486"/>
      <c r="P13" s="486"/>
      <c r="Q13" s="486"/>
      <c r="R13" s="486"/>
      <c r="S13" s="486"/>
      <c r="T13" s="498">
        <f t="shared" si="0"/>
        <v>822867.87838635664</v>
      </c>
      <c r="U13" s="498">
        <f t="shared" si="1"/>
        <v>0</v>
      </c>
      <c r="V13" s="489"/>
      <c r="W13" s="501"/>
    </row>
    <row r="14" spans="1:23" s="344" customFormat="1" ht="30" customHeight="1" x14ac:dyDescent="0.25">
      <c r="A14" s="486" t="s">
        <v>1183</v>
      </c>
      <c r="B14" s="486"/>
      <c r="C14" s="311">
        <f>+'S10 Int, Div, Capital Income'!$E$14+'S10 Int, Div, Capital Income'!$E$32</f>
        <v>522950.70999999903</v>
      </c>
      <c r="D14" s="486"/>
      <c r="E14" s="500" t="s">
        <v>1098</v>
      </c>
      <c r="F14" s="501">
        <f>+'S10 Int, Div, Capital Income'!$E$14+'S10 Int, Div, Capital Income'!$E$32</f>
        <v>522950.70999999903</v>
      </c>
      <c r="G14" s="486"/>
      <c r="H14" s="501"/>
      <c r="L14" s="486"/>
      <c r="M14" s="486"/>
      <c r="N14" s="486"/>
      <c r="O14" s="486"/>
      <c r="P14" s="486"/>
      <c r="Q14" s="486"/>
      <c r="R14" s="498">
        <f>+F14</f>
        <v>522950.70999999903</v>
      </c>
      <c r="S14" s="486"/>
      <c r="T14" s="498">
        <f t="shared" si="0"/>
        <v>522950.70999999903</v>
      </c>
      <c r="U14" s="498">
        <f t="shared" si="1"/>
        <v>0</v>
      </c>
      <c r="V14" s="489"/>
      <c r="W14" s="501"/>
    </row>
    <row r="15" spans="1:23" s="344" customFormat="1" ht="30" customHeight="1" x14ac:dyDescent="0.25">
      <c r="A15" s="486" t="s">
        <v>1264</v>
      </c>
      <c r="B15" s="486"/>
      <c r="C15" s="311">
        <f>-'S4 Dist Ops &amp; Mtce'!H48</f>
        <v>73994</v>
      </c>
      <c r="D15" s="486"/>
      <c r="E15" s="496" t="s">
        <v>1274</v>
      </c>
      <c r="F15" s="501">
        <f>+C15</f>
        <v>73994</v>
      </c>
      <c r="G15" s="486"/>
      <c r="H15" s="501"/>
      <c r="J15" s="501">
        <f>-'S4 Dist Ops &amp; Mtce'!H48</f>
        <v>73994</v>
      </c>
      <c r="L15" s="498"/>
      <c r="M15" s="486"/>
      <c r="N15" s="486"/>
      <c r="O15" s="486"/>
      <c r="P15" s="486"/>
      <c r="Q15" s="486"/>
      <c r="R15" s="486"/>
      <c r="S15" s="486"/>
      <c r="T15" s="498">
        <f t="shared" si="0"/>
        <v>73994</v>
      </c>
      <c r="U15" s="498">
        <f t="shared" si="1"/>
        <v>0</v>
      </c>
      <c r="V15" s="489"/>
      <c r="W15" s="501"/>
    </row>
    <row r="16" spans="1:23" s="344" customFormat="1" ht="30" customHeight="1" x14ac:dyDescent="0.25">
      <c r="C16" s="310"/>
      <c r="D16" s="486"/>
      <c r="E16" s="496"/>
      <c r="G16" s="486"/>
      <c r="L16" s="486"/>
      <c r="M16" s="486"/>
      <c r="N16" s="486"/>
      <c r="O16" s="486"/>
      <c r="P16" s="486"/>
      <c r="Q16" s="486"/>
      <c r="R16" s="486"/>
      <c r="S16" s="486"/>
      <c r="T16" s="486"/>
      <c r="U16" s="486"/>
      <c r="V16" s="489"/>
      <c r="W16" s="501"/>
    </row>
    <row r="17" spans="1:23" s="344" customFormat="1" ht="30" customHeight="1" x14ac:dyDescent="0.25">
      <c r="A17" s="490" t="s">
        <v>768</v>
      </c>
      <c r="B17" s="486"/>
      <c r="C17" s="314">
        <f>SUM(C11:C16)</f>
        <v>4199025.6983863553</v>
      </c>
      <c r="D17" s="486"/>
      <c r="E17" s="496"/>
      <c r="F17" s="314">
        <f>SUM(F11:F16)</f>
        <v>4199025.6983863553</v>
      </c>
      <c r="G17" s="486"/>
      <c r="H17" s="487"/>
      <c r="L17" s="486"/>
      <c r="M17" s="486"/>
      <c r="N17" s="486"/>
      <c r="O17" s="486"/>
      <c r="P17" s="486"/>
      <c r="Q17" s="486"/>
      <c r="R17" s="486"/>
      <c r="S17" s="486"/>
      <c r="T17" s="486"/>
      <c r="U17" s="486"/>
      <c r="V17" s="489"/>
      <c r="W17" s="501"/>
    </row>
    <row r="18" spans="1:23" s="344" customFormat="1" ht="30" customHeight="1" x14ac:dyDescent="0.25">
      <c r="A18" s="486"/>
      <c r="B18" s="486"/>
      <c r="C18" s="502"/>
      <c r="D18" s="486"/>
      <c r="E18" s="496"/>
      <c r="G18" s="486"/>
      <c r="L18" s="486"/>
      <c r="M18" s="486"/>
      <c r="N18" s="486"/>
      <c r="O18" s="486"/>
      <c r="P18" s="486"/>
      <c r="Q18" s="486"/>
      <c r="R18" s="486"/>
      <c r="S18" s="486"/>
      <c r="T18" s="486"/>
      <c r="U18" s="486"/>
      <c r="V18" s="489"/>
      <c r="W18" s="501"/>
    </row>
    <row r="19" spans="1:23" s="344" customFormat="1" ht="30" customHeight="1" x14ac:dyDescent="0.25">
      <c r="A19" s="490" t="s">
        <v>771</v>
      </c>
      <c r="B19" s="486"/>
      <c r="C19" s="502"/>
      <c r="D19" s="486"/>
      <c r="E19" s="496"/>
      <c r="G19" s="486"/>
      <c r="L19" s="486"/>
      <c r="M19" s="486"/>
      <c r="N19" s="486"/>
      <c r="O19" s="486"/>
      <c r="P19" s="486"/>
      <c r="Q19" s="486"/>
      <c r="R19" s="486"/>
      <c r="S19" s="486"/>
      <c r="T19" s="486"/>
      <c r="U19" s="486"/>
      <c r="V19" s="489"/>
      <c r="W19" s="501"/>
    </row>
    <row r="20" spans="1:23" s="344" customFormat="1" ht="30" customHeight="1" x14ac:dyDescent="0.25">
      <c r="A20" s="486" t="s">
        <v>1218</v>
      </c>
      <c r="B20" s="486"/>
      <c r="C20" s="313">
        <f>-'S3 Transmission'!E21</f>
        <v>-2276594.4699999993</v>
      </c>
      <c r="D20" s="486"/>
      <c r="E20" s="500" t="s">
        <v>1061</v>
      </c>
      <c r="F20" s="501">
        <f>-'S3 Transmission'!E21</f>
        <v>-2276594.4699999993</v>
      </c>
      <c r="G20" s="486"/>
      <c r="H20" s="501"/>
      <c r="I20" s="501">
        <f>+F20</f>
        <v>-2276594.4699999993</v>
      </c>
      <c r="L20" s="486"/>
      <c r="M20" s="486"/>
      <c r="N20" s="486"/>
      <c r="O20" s="486"/>
      <c r="P20" s="486"/>
      <c r="Q20" s="486"/>
      <c r="R20" s="486"/>
      <c r="S20" s="486"/>
      <c r="T20" s="498">
        <f t="shared" ref="T20" si="2">SUM(G20:S20)</f>
        <v>-2276594.4699999993</v>
      </c>
      <c r="U20" s="498">
        <f t="shared" ref="U20:U30" si="3">+T20-C20</f>
        <v>0</v>
      </c>
      <c r="V20" s="489"/>
      <c r="W20" s="501"/>
    </row>
    <row r="21" spans="1:23" s="344" customFormat="1" ht="30" customHeight="1" x14ac:dyDescent="0.25">
      <c r="A21" s="486" t="s">
        <v>1096</v>
      </c>
      <c r="B21" s="486"/>
      <c r="C21" s="313">
        <f>-'S11 Revenues &amp; Non-Op Margins'!$D$16-'S4 Dist Ops &amp; Mtce'!$H$26</f>
        <v>-2024044.98</v>
      </c>
      <c r="D21" s="486"/>
      <c r="E21" s="500" t="s">
        <v>1097</v>
      </c>
      <c r="F21" s="313">
        <f>-'S11 Revenues &amp; Non-Op Margins'!$D$16-'S4 Dist Ops &amp; Mtce'!$H$26</f>
        <v>-2024044.98</v>
      </c>
      <c r="G21" s="486"/>
      <c r="H21" s="497"/>
      <c r="J21" s="501">
        <f>-'S4 Dist Ops &amp; Mtce'!H26</f>
        <v>-1329745</v>
      </c>
      <c r="L21" s="486"/>
      <c r="M21" s="486"/>
      <c r="N21" s="486"/>
      <c r="O21" s="486"/>
      <c r="P21" s="486"/>
      <c r="Q21" s="486"/>
      <c r="R21" s="486"/>
      <c r="S21" s="499">
        <f>-'S11 Revenues &amp; Non-Op Margins'!D16</f>
        <v>-694299.98</v>
      </c>
      <c r="T21" s="498">
        <f>SUM(G21:S21)</f>
        <v>-2024044.98</v>
      </c>
      <c r="U21" s="498">
        <f t="shared" si="3"/>
        <v>0</v>
      </c>
      <c r="V21" s="489"/>
      <c r="W21" s="501"/>
    </row>
    <row r="22" spans="1:23" s="344" customFormat="1" ht="30" customHeight="1" x14ac:dyDescent="0.25">
      <c r="A22" s="486" t="s">
        <v>1219</v>
      </c>
      <c r="B22" s="501"/>
      <c r="C22" s="313">
        <f>-SUM('S6 Admin &amp; Gen'!H43:H48)</f>
        <v>-1193759.5625206954</v>
      </c>
      <c r="D22" s="486"/>
      <c r="E22" s="500" t="s">
        <v>1230</v>
      </c>
      <c r="F22" s="501">
        <f>-'S3 Transmission'!$E$16-'S4 Dist Ops &amp; Mtce'!$H$53-'S5 Customer Accounts'!$H$15-'S6 Admin &amp; Gen'!$H$19</f>
        <v>-1193759.5625206949</v>
      </c>
      <c r="G22" s="486"/>
      <c r="H22" s="501"/>
      <c r="I22" s="501">
        <f>-'S3 Transmission'!E16</f>
        <v>-100120.89896576182</v>
      </c>
      <c r="J22" s="501">
        <f>-'S4 Dist Ops &amp; Mtce'!H53</f>
        <v>-1085647.4853952751</v>
      </c>
      <c r="K22" s="501">
        <f>-'S5 Customer Accounts'!H15</f>
        <v>-3450.2109797515368</v>
      </c>
      <c r="L22" s="498">
        <f>-'S6 Admin &amp; Gen'!H19</f>
        <v>-4540.967179906489</v>
      </c>
      <c r="M22" s="486"/>
      <c r="N22" s="486"/>
      <c r="O22" s="486"/>
      <c r="P22" s="486"/>
      <c r="Q22" s="486"/>
      <c r="R22" s="486"/>
      <c r="S22" s="486"/>
      <c r="T22" s="498">
        <f t="shared" ref="T22" si="4">SUM(G22:S22)</f>
        <v>-1193759.5625206949</v>
      </c>
      <c r="U22" s="498">
        <f t="shared" si="3"/>
        <v>0</v>
      </c>
      <c r="V22" s="489"/>
      <c r="W22" s="501"/>
    </row>
    <row r="23" spans="1:23" s="344" customFormat="1" ht="30" customHeight="1" x14ac:dyDescent="0.25">
      <c r="A23" s="486" t="s">
        <v>1217</v>
      </c>
      <c r="B23" s="486"/>
      <c r="C23" s="311">
        <f>-'S3 Transmission'!$E$10-'S4 Dist Ops &amp; Mtce'!$H$9-'S4 Dist Ops &amp; Mtce'!$H$40-'S5 Customer Accounts'!$H$9-'S6 Admin &amp; Gen'!$H$9-'S11 Revenues &amp; Non-Op Margins'!$D$9</f>
        <v>-987039.85511242354</v>
      </c>
      <c r="D23" s="486"/>
      <c r="E23" s="500" t="s">
        <v>1229</v>
      </c>
      <c r="F23" s="501">
        <f>-'S3 Transmission'!$E$10-'S4 Dist Ops &amp; Mtce'!$H$9-'S4 Dist Ops &amp; Mtce'!$H$40-'S5 Customer Accounts'!$H$9-'S6 Admin &amp; Gen'!$H$9-'S11 Revenues &amp; Non-Op Margins'!$D$9</f>
        <v>-987039.85511242354</v>
      </c>
      <c r="G23" s="486"/>
      <c r="H23" s="501"/>
      <c r="I23" s="501">
        <f>-'S3 Transmission'!E10</f>
        <v>-35973.52705155767</v>
      </c>
      <c r="J23" s="501">
        <f>-'S4 Dist Ops &amp; Mtce'!H9-'S4 Dist Ops &amp; Mtce'!H40</f>
        <v>-190939.52354261326</v>
      </c>
      <c r="K23" s="501">
        <f>-'S5 Customer Accounts'!H9</f>
        <v>-421324.41675475147</v>
      </c>
      <c r="L23" s="498">
        <f>-'S6 Admin &amp; Gen'!H9</f>
        <v>-352381.35219066031</v>
      </c>
      <c r="M23" s="486"/>
      <c r="N23" s="486"/>
      <c r="O23" s="486"/>
      <c r="P23" s="486"/>
      <c r="Q23" s="486"/>
      <c r="R23" s="486"/>
      <c r="S23" s="499">
        <f>-'S11 Revenues &amp; Non-Op Margins'!D9</f>
        <v>13578.964427159211</v>
      </c>
      <c r="T23" s="498">
        <f t="shared" ref="T23" si="5">SUM(G23:S23)</f>
        <v>-987039.85511242354</v>
      </c>
      <c r="U23" s="498">
        <f t="shared" si="3"/>
        <v>0</v>
      </c>
      <c r="V23" s="489"/>
      <c r="W23" s="501"/>
    </row>
    <row r="24" spans="1:23" s="344" customFormat="1" ht="30" customHeight="1" x14ac:dyDescent="0.25">
      <c r="A24" s="486" t="s">
        <v>1047</v>
      </c>
      <c r="B24" s="486"/>
      <c r="C24" s="313">
        <f>-'S9 Interest Exp'!D32-'S9 Interest Exp'!D36</f>
        <v>-754453.34000000008</v>
      </c>
      <c r="D24" s="486"/>
      <c r="E24" s="500" t="s">
        <v>1253</v>
      </c>
      <c r="F24" s="501">
        <f>-'S9 Interest Exp'!D32-'S9 Interest Exp'!D36</f>
        <v>-754453.34000000008</v>
      </c>
      <c r="G24" s="486"/>
      <c r="H24" s="501"/>
      <c r="L24" s="486"/>
      <c r="M24" s="486"/>
      <c r="N24" s="486"/>
      <c r="O24" s="486"/>
      <c r="P24" s="486"/>
      <c r="Q24" s="498">
        <f>-'S9 Interest Exp'!D32-'S9 Interest Exp'!D36</f>
        <v>-754453.34000000008</v>
      </c>
      <c r="R24" s="486"/>
      <c r="S24" s="486"/>
      <c r="T24" s="498">
        <f t="shared" ref="T24" si="6">SUM(G24:S24)</f>
        <v>-754453.34000000008</v>
      </c>
      <c r="U24" s="498">
        <f t="shared" si="3"/>
        <v>0</v>
      </c>
      <c r="V24" s="489"/>
      <c r="W24" s="501"/>
    </row>
    <row r="25" spans="1:23" s="344" customFormat="1" ht="30" customHeight="1" x14ac:dyDescent="0.25">
      <c r="A25" s="486" t="s">
        <v>1220</v>
      </c>
      <c r="B25" s="486"/>
      <c r="C25" s="311">
        <f>-'S4 Dist Ops &amp; Mtce'!$H$13</f>
        <v>-478213</v>
      </c>
      <c r="D25" s="486"/>
      <c r="E25" s="500" t="s">
        <v>1231</v>
      </c>
      <c r="F25" s="501">
        <f>-'S4 Dist Ops &amp; Mtce'!$H$13</f>
        <v>-478213</v>
      </c>
      <c r="G25" s="486"/>
      <c r="H25" s="501"/>
      <c r="J25" s="501">
        <f>+F25</f>
        <v>-478213</v>
      </c>
      <c r="L25" s="486"/>
      <c r="M25" s="486"/>
      <c r="N25" s="486"/>
      <c r="O25" s="486"/>
      <c r="P25" s="486"/>
      <c r="Q25" s="486"/>
      <c r="R25" s="486"/>
      <c r="S25" s="486"/>
      <c r="T25" s="498">
        <f t="shared" ref="T25" si="7">SUM(G25:S25)</f>
        <v>-478213</v>
      </c>
      <c r="U25" s="498">
        <f t="shared" si="3"/>
        <v>0</v>
      </c>
      <c r="V25" s="489"/>
      <c r="W25" s="501"/>
    </row>
    <row r="26" spans="1:23" s="344" customFormat="1" ht="30" customHeight="1" x14ac:dyDescent="0.25">
      <c r="A26" s="486" t="s">
        <v>1221</v>
      </c>
      <c r="B26" s="486"/>
      <c r="C26" s="311">
        <f>-'S4 Dist Ops &amp; Mtce'!$H$32</f>
        <v>-325210</v>
      </c>
      <c r="D26" s="486"/>
      <c r="E26" s="500" t="s">
        <v>1232</v>
      </c>
      <c r="F26" s="501">
        <f>-'S4 Dist Ops &amp; Mtce'!$H$32</f>
        <v>-325210</v>
      </c>
      <c r="G26" s="486"/>
      <c r="H26" s="501"/>
      <c r="J26" s="501">
        <f>+F26</f>
        <v>-325210</v>
      </c>
      <c r="L26" s="486"/>
      <c r="M26" s="486"/>
      <c r="N26" s="486"/>
      <c r="O26" s="486"/>
      <c r="P26" s="486"/>
      <c r="Q26" s="486"/>
      <c r="R26" s="486"/>
      <c r="S26" s="486"/>
      <c r="T26" s="498">
        <f t="shared" ref="T26" si="8">SUM(G26:S26)</f>
        <v>-325210</v>
      </c>
      <c r="U26" s="498">
        <f t="shared" si="3"/>
        <v>0</v>
      </c>
      <c r="V26" s="489"/>
      <c r="W26" s="501"/>
    </row>
    <row r="27" spans="1:23" s="344" customFormat="1" ht="30" customHeight="1" x14ac:dyDescent="0.25">
      <c r="A27" s="486" t="s">
        <v>1222</v>
      </c>
      <c r="B27" s="486"/>
      <c r="C27" s="311">
        <f>-'S8 Deprec &amp; Amort Exp '!$D$12-'S8 Deprec &amp; Amort Exp '!$D$70</f>
        <v>-228850.01000000007</v>
      </c>
      <c r="D27" s="486"/>
      <c r="E27" s="500" t="s">
        <v>1062</v>
      </c>
      <c r="F27" s="501">
        <f>-'S8 Deprec &amp; Amort Exp '!$D$12-'S8 Deprec &amp; Amort Exp '!$D$70</f>
        <v>-228850.01000000007</v>
      </c>
      <c r="G27" s="486"/>
      <c r="H27" s="501"/>
      <c r="L27" s="486"/>
      <c r="M27" s="486"/>
      <c r="N27" s="486"/>
      <c r="O27" s="486"/>
      <c r="P27" s="498">
        <f>F27</f>
        <v>-228850.01000000007</v>
      </c>
      <c r="Q27" s="486"/>
      <c r="R27" s="486"/>
      <c r="S27" s="486"/>
      <c r="T27" s="498">
        <f t="shared" ref="T27" si="9">SUM(G27:S27)</f>
        <v>-228850.01000000007</v>
      </c>
      <c r="U27" s="498">
        <f t="shared" si="3"/>
        <v>0</v>
      </c>
      <c r="V27" s="489"/>
      <c r="W27" s="501"/>
    </row>
    <row r="28" spans="1:23" s="344" customFormat="1" ht="30" customHeight="1" x14ac:dyDescent="0.25">
      <c r="A28" s="344" t="s">
        <v>1223</v>
      </c>
      <c r="C28" s="311">
        <f>-'S3 Transmission'!$E$14-'S4 Dist Ops &amp; Mtce'!$H$44-'S5 Customer Accounts'!$H$13-'S6 Admin &amp; Gen'!$H$13</f>
        <v>-152445.73816249991</v>
      </c>
      <c r="E28" s="500" t="s">
        <v>1267</v>
      </c>
      <c r="F28" s="501">
        <f>-'S3 Transmission'!$E$14-'S4 Dist Ops &amp; Mtce'!$H$44-'S5 Customer Accounts'!$H$13-'S6 Admin &amp; Gen'!$H$13</f>
        <v>-152445.73816249991</v>
      </c>
      <c r="H28" s="501"/>
      <c r="I28" s="501">
        <f>-'S3 Transmission'!E14</f>
        <v>-6878.5032383333382</v>
      </c>
      <c r="J28" s="501">
        <f>-'S4 Dist Ops &amp; Mtce'!H44</f>
        <v>-36142.140774166677</v>
      </c>
      <c r="K28" s="501">
        <f>-'S5 Customer Accounts'!H13</f>
        <v>-70147.468930416624</v>
      </c>
      <c r="L28" s="501">
        <f>-'S6 Admin &amp; Gen'!H13</f>
        <v>-39277.625219583279</v>
      </c>
      <c r="T28" s="501">
        <f t="shared" ref="T28" si="10">SUM(G28:S28)</f>
        <v>-152445.73816249991</v>
      </c>
      <c r="U28" s="501">
        <f t="shared" si="3"/>
        <v>0</v>
      </c>
      <c r="W28" s="501"/>
    </row>
    <row r="29" spans="1:23" s="344" customFormat="1" ht="30" customHeight="1" x14ac:dyDescent="0.25">
      <c r="A29" s="486" t="s">
        <v>1227</v>
      </c>
      <c r="B29" s="486"/>
      <c r="C29" s="311">
        <f>-'S3 Transmission'!$E$12-'S4 Dist Ops &amp; Mtce'!$H$11-'S5 Customer Accounts'!$H$11-'S6 Admin &amp; Gen'!$H$11-'S11 Revenues &amp; Non-Op Margins'!$D$10-'S4 Dist Ops &amp; Mtce'!$H$42</f>
        <v>-105520</v>
      </c>
      <c r="D29" s="486"/>
      <c r="E29" s="496" t="s">
        <v>1228</v>
      </c>
      <c r="F29" s="501">
        <f>-'S3 Transmission'!$E$12-'S4 Dist Ops &amp; Mtce'!$H$11-'S5 Customer Accounts'!$H$11-'S6 Admin &amp; Gen'!$H$11-'S11 Revenues &amp; Non-Op Margins'!$D$10-'S4 Dist Ops &amp; Mtce'!$H$42</f>
        <v>-105520</v>
      </c>
      <c r="G29" s="486"/>
      <c r="H29" s="501"/>
      <c r="I29" s="501">
        <f>-'S3 Transmission'!E12</f>
        <v>-1599</v>
      </c>
      <c r="J29" s="501">
        <f>-'S4 Dist Ops &amp; Mtce'!H11-'S4 Dist Ops &amp; Mtce'!H42</f>
        <v>-98023</v>
      </c>
      <c r="K29" s="501">
        <f>-'S5 Customer Accounts'!H11</f>
        <v>-3167</v>
      </c>
      <c r="L29" s="498">
        <f>-'S6 Admin &amp; Gen'!H11</f>
        <v>-1177</v>
      </c>
      <c r="M29" s="486"/>
      <c r="N29" s="486"/>
      <c r="O29" s="486"/>
      <c r="P29" s="486"/>
      <c r="Q29" s="486"/>
      <c r="R29" s="486"/>
      <c r="S29" s="499">
        <f>-'S11 Revenues &amp; Non-Op Margins'!D10</f>
        <v>-1554</v>
      </c>
      <c r="T29" s="498">
        <f t="shared" ref="T29" si="11">SUM(G29:S29)</f>
        <v>-105520</v>
      </c>
      <c r="U29" s="498">
        <f t="shared" si="3"/>
        <v>0</v>
      </c>
      <c r="V29" s="489"/>
      <c r="W29" s="501"/>
    </row>
    <row r="30" spans="1:23" s="344" customFormat="1" ht="30" customHeight="1" x14ac:dyDescent="0.25">
      <c r="A30" s="344" t="s">
        <v>1225</v>
      </c>
      <c r="C30" s="311">
        <f>-'S1 VEC Master Summary'!$E$39-'S1 VEC Master Summary'!$D$17-'S1 VEC Master Summary'!$D$18-'S1 VEC Master Summary'!$D$21</f>
        <v>-75081.929163244509</v>
      </c>
      <c r="E30" s="500" t="s">
        <v>1233</v>
      </c>
      <c r="F30" s="501">
        <f>-'S1 VEC Master Summary'!$E$39-'S1 VEC Master Summary'!$D$17-'S1 VEC Master Summary'!$D$18-'S1 VEC Master Summary'!$D$21</f>
        <v>-75081.929163244509</v>
      </c>
      <c r="G30" s="498">
        <f>+F30</f>
        <v>-75081.929163244509</v>
      </c>
      <c r="L30" s="501"/>
      <c r="T30" s="498">
        <f t="shared" ref="T30" si="12">SUM(G30:S30)</f>
        <v>-75081.929163244509</v>
      </c>
      <c r="U30" s="498">
        <f t="shared" si="3"/>
        <v>0</v>
      </c>
      <c r="V30" s="489"/>
      <c r="W30" s="501"/>
    </row>
    <row r="31" spans="1:23" s="344" customFormat="1" ht="30" customHeight="1" x14ac:dyDescent="0.25">
      <c r="A31" s="344" t="s">
        <v>1224</v>
      </c>
      <c r="C31" s="313">
        <f>-'S7 - Insurance'!D27</f>
        <v>-60514.5</v>
      </c>
      <c r="D31" s="486"/>
      <c r="E31" s="500" t="s">
        <v>1226</v>
      </c>
      <c r="F31" s="501">
        <f>-'S7 - Insurance'!D27</f>
        <v>-60514.5</v>
      </c>
      <c r="G31" s="486"/>
      <c r="J31" s="501">
        <f>-'S4 Dist Ops &amp; Mtce'!H46</f>
        <v>-27844.5</v>
      </c>
      <c r="L31" s="498">
        <f>-'S6 Admin &amp; Gen'!H15</f>
        <v>-32670</v>
      </c>
      <c r="M31" s="486"/>
      <c r="N31" s="486"/>
      <c r="O31" s="486"/>
      <c r="P31" s="486"/>
      <c r="Q31" s="486"/>
      <c r="R31" s="486"/>
      <c r="S31" s="486"/>
      <c r="T31" s="486"/>
      <c r="U31" s="486"/>
      <c r="V31" s="489"/>
      <c r="W31" s="501"/>
    </row>
    <row r="32" spans="1:23" s="344" customFormat="1" ht="30" customHeight="1" x14ac:dyDescent="0.25">
      <c r="A32" s="344" t="s">
        <v>1266</v>
      </c>
      <c r="C32" s="313">
        <f>-'S6 Admin &amp; Gen'!H17</f>
        <v>-30267</v>
      </c>
      <c r="D32" s="486"/>
      <c r="E32" s="500" t="s">
        <v>1273</v>
      </c>
      <c r="F32" s="501">
        <f>+C32</f>
        <v>-30267</v>
      </c>
      <c r="G32" s="486"/>
      <c r="J32" s="501"/>
      <c r="L32" s="498">
        <f>-'S6 Admin &amp; Gen'!H17</f>
        <v>-30267</v>
      </c>
      <c r="M32" s="486"/>
      <c r="N32" s="486"/>
      <c r="O32" s="486"/>
      <c r="P32" s="486"/>
      <c r="Q32" s="486"/>
      <c r="R32" s="486"/>
      <c r="S32" s="486"/>
      <c r="T32" s="486"/>
      <c r="U32" s="486"/>
      <c r="V32" s="489"/>
      <c r="W32" s="501"/>
    </row>
    <row r="33" spans="1:23" s="344" customFormat="1" ht="30" customHeight="1" x14ac:dyDescent="0.25">
      <c r="A33" s="344" t="s">
        <v>1265</v>
      </c>
      <c r="C33" s="313">
        <f>-'S4 Dist Ops &amp; Mtce'!H51</f>
        <v>-21077</v>
      </c>
      <c r="E33" s="500" t="s">
        <v>1268</v>
      </c>
      <c r="F33" s="501">
        <f>-'S4 Dist Ops &amp; Mtce'!H51</f>
        <v>-21077</v>
      </c>
      <c r="J33" s="501">
        <f>F33</f>
        <v>-21077</v>
      </c>
      <c r="T33" s="501">
        <f t="shared" ref="T33" si="13">SUM(G33:S33)</f>
        <v>-21077</v>
      </c>
      <c r="U33" s="501">
        <f>+T33-C33</f>
        <v>0</v>
      </c>
      <c r="W33" s="501"/>
    </row>
    <row r="34" spans="1:23" s="344" customFormat="1" x14ac:dyDescent="0.25">
      <c r="A34" s="486"/>
      <c r="B34" s="486"/>
      <c r="C34" s="503"/>
      <c r="D34" s="486"/>
      <c r="E34" s="486"/>
      <c r="F34" s="501"/>
      <c r="G34" s="486"/>
      <c r="H34" s="501"/>
      <c r="I34" s="501"/>
      <c r="J34" s="501"/>
      <c r="K34" s="501"/>
      <c r="L34" s="498"/>
      <c r="M34" s="486"/>
      <c r="N34" s="486"/>
      <c r="O34" s="486"/>
      <c r="P34" s="486"/>
      <c r="Q34" s="486"/>
      <c r="R34" s="486"/>
      <c r="S34" s="499"/>
      <c r="T34" s="498"/>
      <c r="U34" s="498"/>
      <c r="V34" s="489"/>
      <c r="W34" s="501"/>
    </row>
    <row r="35" spans="1:23" s="344" customFormat="1" ht="25.2" customHeight="1" x14ac:dyDescent="0.25">
      <c r="A35" s="490" t="s">
        <v>770</v>
      </c>
      <c r="B35" s="486"/>
      <c r="C35" s="504">
        <f>SUM(C20:C34)</f>
        <v>-8713071.3849588614</v>
      </c>
      <c r="D35" s="486"/>
      <c r="E35" s="486"/>
      <c r="F35" s="487">
        <f>SUM(F20:F34)</f>
        <v>-8713071.3849588614</v>
      </c>
      <c r="G35" s="486"/>
      <c r="H35" s="487"/>
      <c r="I35" s="486"/>
      <c r="J35" s="486"/>
      <c r="K35" s="486"/>
      <c r="L35" s="486"/>
      <c r="M35" s="486"/>
      <c r="N35" s="486"/>
      <c r="O35" s="486"/>
      <c r="P35" s="486"/>
      <c r="Q35" s="486"/>
      <c r="R35" s="486"/>
      <c r="S35" s="486"/>
      <c r="T35" s="486"/>
      <c r="U35" s="486"/>
      <c r="V35" s="489"/>
      <c r="W35" s="501"/>
    </row>
    <row r="36" spans="1:23" ht="25.2" customHeight="1" x14ac:dyDescent="0.25">
      <c r="V36" s="69"/>
      <c r="W36" s="501"/>
    </row>
    <row r="37" spans="1:23" s="344" customFormat="1" ht="25.2" customHeight="1" x14ac:dyDescent="0.25">
      <c r="A37" s="483" t="s">
        <v>772</v>
      </c>
      <c r="B37" s="484"/>
      <c r="C37" s="485">
        <f>-C17-C35</f>
        <v>4514045.6865725061</v>
      </c>
      <c r="D37" s="486"/>
      <c r="E37" s="486"/>
      <c r="F37" s="487">
        <f>-F35-F17</f>
        <v>4514045.6865725061</v>
      </c>
      <c r="G37" s="487">
        <f t="shared" ref="G37:S37" si="14">SUM(G11:G36)</f>
        <v>-1131527.1291632478</v>
      </c>
      <c r="H37" s="487">
        <f t="shared" si="14"/>
        <v>822867.87838635664</v>
      </c>
      <c r="I37" s="487">
        <f t="shared" si="14"/>
        <v>-2421166.3992556524</v>
      </c>
      <c r="J37" s="487">
        <f t="shared" si="14"/>
        <v>-2476440.9797120551</v>
      </c>
      <c r="K37" s="487">
        <f t="shared" si="14"/>
        <v>-498089.09666491963</v>
      </c>
      <c r="L37" s="487">
        <f t="shared" si="14"/>
        <v>-460313.94459015009</v>
      </c>
      <c r="M37" s="487">
        <f t="shared" si="14"/>
        <v>0</v>
      </c>
      <c r="N37" s="487">
        <f t="shared" si="14"/>
        <v>0</v>
      </c>
      <c r="O37" s="487">
        <f t="shared" si="14"/>
        <v>0</v>
      </c>
      <c r="P37" s="487">
        <f t="shared" si="14"/>
        <v>-228850.01000000007</v>
      </c>
      <c r="Q37" s="487">
        <f t="shared" si="14"/>
        <v>-754453.34000000008</v>
      </c>
      <c r="R37" s="487">
        <f t="shared" si="14"/>
        <v>522950.70999999903</v>
      </c>
      <c r="S37" s="487">
        <f t="shared" si="14"/>
        <v>2110976.6244271616</v>
      </c>
      <c r="T37" s="488">
        <f t="shared" ref="T37" si="15">SUM(G37:S37)</f>
        <v>-4514045.686572507</v>
      </c>
      <c r="U37" s="488">
        <f>+T37+F37</f>
        <v>0</v>
      </c>
      <c r="V37" s="489"/>
      <c r="W37" s="501"/>
    </row>
    <row r="38" spans="1:23" x14ac:dyDescent="0.25">
      <c r="F38" s="309">
        <f>+C37-'S1 VEC Master Summary'!E40</f>
        <v>-1.3038516044616699E-8</v>
      </c>
      <c r="V38" s="69"/>
    </row>
    <row r="39" spans="1:23" x14ac:dyDescent="0.25">
      <c r="C39" s="260"/>
      <c r="F39" s="160" t="s">
        <v>1095</v>
      </c>
      <c r="H39" s="111">
        <f>+'S2 Power Supply'!F17+H37</f>
        <v>0</v>
      </c>
      <c r="I39" s="113">
        <f>+I37+'S3 Transmission'!E23</f>
        <v>0</v>
      </c>
      <c r="J39" s="113">
        <f>+J37+'S4 Dist Ops &amp; Mtce'!H34+'S4 Dist Ops &amp; Mtce'!H56</f>
        <v>0</v>
      </c>
      <c r="K39" s="113">
        <f>+K37+'S5 Customer Accounts'!H18</f>
        <v>0</v>
      </c>
      <c r="L39" s="113">
        <f>+L37+'S6 Admin &amp; Gen'!H21</f>
        <v>0</v>
      </c>
      <c r="M39" s="113"/>
      <c r="N39" s="113"/>
      <c r="O39" s="113"/>
      <c r="P39" s="113">
        <f>-P37-'S8 Deprec &amp; Amort Exp '!D12-'S8 Deprec &amp; Amort Exp '!D70</f>
        <v>-6.9848571371267099E-12</v>
      </c>
      <c r="Q39" s="113">
        <f>-Q37-'S9 Interest Exp'!D32-'S9 Interest Exp'!D36</f>
        <v>0</v>
      </c>
      <c r="R39" s="113">
        <f>+R37-'S10 Int, Div, Capital Income'!E14-'S10 Int, Div, Capital Income'!E32</f>
        <v>0</v>
      </c>
      <c r="S39" s="113">
        <f>-S37-'S11 Revenues &amp; Non-Op Margins'!D19</f>
        <v>0</v>
      </c>
      <c r="V39" s="69"/>
    </row>
    <row r="40" spans="1:23" x14ac:dyDescent="0.25">
      <c r="S40" s="305"/>
    </row>
    <row r="42" spans="1:23" x14ac:dyDescent="0.25">
      <c r="G42" s="113"/>
      <c r="H42" s="111"/>
      <c r="I42" s="113"/>
      <c r="J42" s="113"/>
      <c r="K42" s="113"/>
      <c r="L42" s="113"/>
      <c r="P42" s="113"/>
      <c r="Q42" s="113"/>
      <c r="R42" s="113"/>
      <c r="S42" s="113"/>
      <c r="T42" s="113"/>
    </row>
    <row r="43" spans="1:23" x14ac:dyDescent="0.25">
      <c r="R43" s="113"/>
    </row>
    <row r="44" spans="1:23" x14ac:dyDescent="0.25">
      <c r="F44" s="111"/>
      <c r="G44" s="111"/>
      <c r="H44" s="111"/>
      <c r="I44" s="111"/>
      <c r="J44" s="111"/>
      <c r="K44" s="111"/>
      <c r="L44" s="111"/>
      <c r="P44" s="111"/>
      <c r="Q44" s="111"/>
      <c r="R44" s="111"/>
      <c r="S44" s="111"/>
    </row>
    <row r="45" spans="1:23" x14ac:dyDescent="0.25">
      <c r="F45" s="111"/>
      <c r="Q45" s="113"/>
    </row>
  </sheetData>
  <phoneticPr fontId="6" type="noConversion"/>
  <pageMargins left="0.25" right="0.25" top="0.5" bottom="0.5" header="0.25" footer="0.25"/>
  <pageSetup scale="40" orientation="landscape" r:id="rId1"/>
  <headerFooter alignWithMargins="0">
    <oddHeader>&amp;RS13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L96"/>
  <sheetViews>
    <sheetView showGridLines="0" zoomScale="80" zoomScaleNormal="80" workbookViewId="0"/>
  </sheetViews>
  <sheetFormatPr defaultColWidth="8" defaultRowHeight="13.2" x14ac:dyDescent="0.25"/>
  <cols>
    <col min="1" max="1" width="7.453125" style="267" customWidth="1"/>
    <col min="2" max="2" width="32.08984375" style="267" customWidth="1"/>
    <col min="3" max="3" width="21.08984375" style="267" bestFit="1" customWidth="1"/>
    <col min="4" max="4" width="13.36328125" style="267" customWidth="1"/>
    <col min="5" max="5" width="12" style="267" bestFit="1" customWidth="1"/>
    <col min="6" max="6" width="11.54296875" style="267" customWidth="1"/>
    <col min="7" max="7" width="13.36328125" style="267" bestFit="1" customWidth="1"/>
    <col min="8" max="8" width="13" style="267" bestFit="1" customWidth="1"/>
    <col min="9" max="9" width="13.81640625" style="267" bestFit="1" customWidth="1"/>
    <col min="10" max="10" width="13.36328125" style="267" bestFit="1" customWidth="1"/>
    <col min="11" max="11" width="13" style="267" bestFit="1" customWidth="1"/>
    <col min="12" max="16384" width="8" style="267"/>
  </cols>
  <sheetData>
    <row r="1" spans="1:12" x14ac:dyDescent="0.25">
      <c r="A1" s="66" t="s">
        <v>882</v>
      </c>
      <c r="B1" s="59"/>
      <c r="C1" s="59"/>
      <c r="D1" s="59"/>
      <c r="E1" s="59"/>
      <c r="F1" s="59"/>
      <c r="G1" s="59"/>
      <c r="H1" s="79"/>
      <c r="I1" s="59"/>
      <c r="J1" s="59"/>
      <c r="K1" s="59"/>
      <c r="L1" s="69"/>
    </row>
    <row r="2" spans="1:12" x14ac:dyDescent="0.25">
      <c r="A2" s="66" t="s">
        <v>272</v>
      </c>
      <c r="B2" s="59"/>
      <c r="C2" s="59"/>
      <c r="D2" s="382"/>
      <c r="E2" s="59"/>
      <c r="F2" s="382"/>
      <c r="H2" s="382"/>
      <c r="I2" s="169"/>
      <c r="J2" s="169"/>
      <c r="K2" s="382"/>
      <c r="L2" s="69"/>
    </row>
    <row r="3" spans="1:12" x14ac:dyDescent="0.25">
      <c r="A3" s="66" t="s">
        <v>1003</v>
      </c>
      <c r="C3" s="110"/>
      <c r="D3" s="59"/>
      <c r="E3" s="59"/>
      <c r="F3" s="59"/>
      <c r="G3" s="59"/>
      <c r="L3" s="69"/>
    </row>
    <row r="4" spans="1:12" x14ac:dyDescent="0.25">
      <c r="A4" s="59"/>
      <c r="B4" s="59"/>
      <c r="C4" s="59"/>
      <c r="D4" s="59"/>
      <c r="E4" s="59"/>
      <c r="F4" s="59"/>
      <c r="G4" s="59"/>
      <c r="L4" s="69"/>
    </row>
    <row r="5" spans="1:12" x14ac:dyDescent="0.25">
      <c r="B5" s="59"/>
      <c r="C5" s="59"/>
      <c r="D5" s="59"/>
      <c r="E5" s="59"/>
      <c r="L5" s="69"/>
    </row>
    <row r="6" spans="1:12" x14ac:dyDescent="0.25">
      <c r="A6" s="107" t="s">
        <v>179</v>
      </c>
      <c r="B6" s="383"/>
      <c r="C6" s="59"/>
      <c r="D6" s="98"/>
      <c r="E6" s="98"/>
      <c r="F6" s="98"/>
      <c r="G6" s="59"/>
      <c r="L6" s="69"/>
    </row>
    <row r="7" spans="1:12" x14ac:dyDescent="0.25">
      <c r="A7" s="59"/>
      <c r="B7" s="59"/>
      <c r="C7" s="59"/>
      <c r="D7" s="108" t="s">
        <v>299</v>
      </c>
      <c r="E7" s="98"/>
      <c r="F7" s="108" t="s">
        <v>146</v>
      </c>
      <c r="G7" s="98"/>
      <c r="H7" s="108" t="str">
        <f>+'S1 VEC Master Summary'!E4</f>
        <v>ADJ Test Year</v>
      </c>
      <c r="I7" s="98"/>
      <c r="J7" s="108"/>
      <c r="K7" s="98"/>
      <c r="L7" s="69"/>
    </row>
    <row r="8" spans="1:12" x14ac:dyDescent="0.25">
      <c r="A8" s="107" t="s">
        <v>72</v>
      </c>
      <c r="B8" s="107" t="s">
        <v>53</v>
      </c>
      <c r="C8" s="106"/>
      <c r="D8" s="109" t="str">
        <f>+'S1 VEC Master Summary'!C5</f>
        <v>7/1/23-6/30/24</v>
      </c>
      <c r="E8" s="98"/>
      <c r="F8" s="109" t="s">
        <v>147</v>
      </c>
      <c r="G8" s="98"/>
      <c r="H8" s="109">
        <f>+'S1 VEC Master Summary'!E5</f>
        <v>2025</v>
      </c>
      <c r="J8" s="141" t="s">
        <v>54</v>
      </c>
      <c r="K8" s="141"/>
      <c r="L8" s="69"/>
    </row>
    <row r="9" spans="1:12" x14ac:dyDescent="0.25">
      <c r="A9" s="107"/>
      <c r="B9" s="107"/>
      <c r="C9" s="106"/>
      <c r="D9" s="109"/>
      <c r="E9" s="98"/>
      <c r="F9" s="109"/>
      <c r="G9" s="98"/>
      <c r="H9" s="109"/>
      <c r="L9" s="69"/>
    </row>
    <row r="10" spans="1:12" ht="15.75" customHeight="1" x14ac:dyDescent="0.25">
      <c r="A10" s="123">
        <f>+'S12 Chart of Accts Trial Bal.'!A28</f>
        <v>555</v>
      </c>
      <c r="B10" s="123" t="str">
        <f>+'S12 Chart of Accts Trial Bal.'!B28</f>
        <v>PURCHASED POWER</v>
      </c>
      <c r="C10" s="59"/>
      <c r="D10" s="79">
        <f>+'S12 Chart of Accts Trial Bal.'!C28</f>
        <v>45257490.509999998</v>
      </c>
      <c r="E10" s="98"/>
      <c r="F10" s="79">
        <f>+H10-D10</f>
        <v>-1112156.1272921413</v>
      </c>
      <c r="G10" s="98"/>
      <c r="H10" s="79">
        <f>I90</f>
        <v>44145334.382707857</v>
      </c>
      <c r="J10" s="59" t="s">
        <v>294</v>
      </c>
      <c r="K10" s="59"/>
      <c r="L10" s="69"/>
    </row>
    <row r="11" spans="1:12" ht="15.75" customHeight="1" x14ac:dyDescent="0.25">
      <c r="A11" s="123">
        <f>+'S12 Chart of Accts Trial Bal.'!A13</f>
        <v>447.2</v>
      </c>
      <c r="B11" s="123" t="str">
        <f>+'S12 Chart of Accts Trial Bal.'!B13</f>
        <v>SALES FOR RESALE - OTHER</v>
      </c>
      <c r="C11" s="59"/>
      <c r="D11" s="79">
        <f>-'S12 Chart of Accts Trial Bal.'!C13</f>
        <v>-1504955.51</v>
      </c>
      <c r="E11" s="98"/>
      <c r="F11" s="79">
        <f>+H11-D11</f>
        <v>-212179.49</v>
      </c>
      <c r="G11" s="98"/>
      <c r="H11" s="79">
        <f>I91</f>
        <v>-1717135</v>
      </c>
      <c r="J11" s="59" t="s">
        <v>294</v>
      </c>
      <c r="K11" s="59"/>
      <c r="L11" s="69"/>
    </row>
    <row r="12" spans="1:12" ht="15.75" customHeight="1" x14ac:dyDescent="0.25">
      <c r="A12" s="123">
        <f>+'S12 Chart of Accts Trial Bal.'!A19</f>
        <v>459</v>
      </c>
      <c r="B12" s="123" t="str">
        <f>+'S12 Chart of Accts Trial Bal.'!B19</f>
        <v>RENEWABLE ENERGY CREDITS</v>
      </c>
      <c r="C12" s="59"/>
      <c r="D12" s="97">
        <f>-'S12 Chart of Accts Trial Bal.'!C19</f>
        <v>-4728766</v>
      </c>
      <c r="E12" s="98"/>
      <c r="F12" s="97">
        <f>+H12-D12</f>
        <v>501467.73890578467</v>
      </c>
      <c r="G12" s="98"/>
      <c r="H12" s="97">
        <f>I94</f>
        <v>-4227298.2610942153</v>
      </c>
      <c r="J12" s="59" t="s">
        <v>294</v>
      </c>
      <c r="K12" s="59"/>
      <c r="L12" s="69"/>
    </row>
    <row r="13" spans="1:12" ht="15.75" customHeight="1" x14ac:dyDescent="0.25">
      <c r="A13" s="66" t="s">
        <v>675</v>
      </c>
      <c r="B13" s="123"/>
      <c r="C13" s="59"/>
      <c r="D13" s="79">
        <f>SUM(D10:D12)</f>
        <v>39023769</v>
      </c>
      <c r="E13" s="98"/>
      <c r="F13" s="79">
        <f>SUM(F10:F12)</f>
        <v>-822867.87838635664</v>
      </c>
      <c r="G13" s="98"/>
      <c r="H13" s="79">
        <f>SUM(H10:H12)</f>
        <v>38200901.121613644</v>
      </c>
      <c r="I13" s="79"/>
      <c r="J13" s="79"/>
      <c r="K13" s="59"/>
      <c r="L13" s="69"/>
    </row>
    <row r="14" spans="1:12" ht="15.75" customHeight="1" x14ac:dyDescent="0.25">
      <c r="A14" s="136"/>
      <c r="C14" s="59"/>
      <c r="D14" s="97"/>
      <c r="E14" s="94"/>
      <c r="F14" s="97"/>
      <c r="G14" s="94"/>
      <c r="H14" s="97"/>
      <c r="J14" s="97"/>
      <c r="L14" s="69"/>
    </row>
    <row r="15" spans="1:12" ht="15.75" customHeight="1" x14ac:dyDescent="0.25">
      <c r="A15" s="123"/>
      <c r="C15" s="59"/>
      <c r="D15" s="97"/>
      <c r="E15" s="94"/>
      <c r="F15" s="79"/>
      <c r="G15" s="94"/>
      <c r="H15" s="97"/>
      <c r="I15" s="59"/>
      <c r="J15" s="59"/>
      <c r="K15" s="59"/>
      <c r="L15" s="69"/>
    </row>
    <row r="16" spans="1:12" ht="15.75" customHeight="1" x14ac:dyDescent="0.25">
      <c r="A16" s="136"/>
      <c r="C16" s="59"/>
      <c r="D16" s="97"/>
      <c r="E16" s="94"/>
      <c r="F16" s="97"/>
      <c r="G16" s="94"/>
      <c r="H16" s="97"/>
      <c r="J16" s="97"/>
      <c r="L16" s="69"/>
    </row>
    <row r="17" spans="1:12" ht="15.75" customHeight="1" x14ac:dyDescent="0.25">
      <c r="A17" s="66" t="s">
        <v>318</v>
      </c>
      <c r="B17" s="59"/>
      <c r="C17" s="59"/>
      <c r="D17" s="384">
        <f>+D13+D15</f>
        <v>39023769</v>
      </c>
      <c r="E17" s="94"/>
      <c r="F17" s="385">
        <f>+F13+F15</f>
        <v>-822867.87838635664</v>
      </c>
      <c r="G17" s="98"/>
      <c r="H17" s="384">
        <f>+H13+H15</f>
        <v>38200901.121613644</v>
      </c>
      <c r="I17" s="98"/>
      <c r="J17" s="97"/>
      <c r="K17" s="98"/>
      <c r="L17" s="69"/>
    </row>
    <row r="18" spans="1:12" ht="15.75" customHeight="1" x14ac:dyDescent="0.25">
      <c r="A18" s="59"/>
      <c r="B18" s="59"/>
      <c r="C18" s="59"/>
      <c r="D18" s="203"/>
      <c r="E18" s="98"/>
      <c r="F18" s="79"/>
      <c r="G18" s="79"/>
      <c r="L18" s="69"/>
    </row>
    <row r="19" spans="1:12" ht="15.75" customHeight="1" x14ac:dyDescent="0.25">
      <c r="A19" s="523" t="s">
        <v>800</v>
      </c>
      <c r="B19" s="59"/>
      <c r="C19" s="59"/>
      <c r="D19" s="203"/>
      <c r="E19" s="98"/>
      <c r="F19" s="79"/>
      <c r="G19" s="79"/>
      <c r="L19" s="69"/>
    </row>
    <row r="20" spans="1:12" ht="12.75" customHeight="1" thickBot="1" x14ac:dyDescent="0.3">
      <c r="A20" s="59"/>
      <c r="B20" s="59"/>
      <c r="C20" s="59"/>
      <c r="D20" s="203"/>
      <c r="E20" s="79"/>
      <c r="F20" s="79"/>
      <c r="L20" s="69"/>
    </row>
    <row r="21" spans="1:12" ht="15.75" customHeight="1" thickBot="1" x14ac:dyDescent="0.3">
      <c r="A21" s="533" t="s">
        <v>230</v>
      </c>
      <c r="B21" s="535" t="s">
        <v>126</v>
      </c>
      <c r="C21" s="536"/>
      <c r="D21" s="538" t="s">
        <v>1051</v>
      </c>
      <c r="E21" s="539"/>
      <c r="F21" s="540" t="s">
        <v>127</v>
      </c>
      <c r="G21" s="541"/>
      <c r="H21" s="542" t="s">
        <v>1125</v>
      </c>
      <c r="I21" s="543"/>
      <c r="J21" s="533" t="s">
        <v>230</v>
      </c>
      <c r="K21" s="386"/>
      <c r="L21" s="69"/>
    </row>
    <row r="22" spans="1:12" ht="13.8" thickBot="1" x14ac:dyDescent="0.3">
      <c r="A22" s="534"/>
      <c r="B22" s="537"/>
      <c r="C22" s="537"/>
      <c r="D22" s="387" t="s">
        <v>128</v>
      </c>
      <c r="E22" s="388" t="s">
        <v>167</v>
      </c>
      <c r="F22" s="389" t="s">
        <v>128</v>
      </c>
      <c r="G22" s="388" t="s">
        <v>167</v>
      </c>
      <c r="H22" s="390" t="s">
        <v>128</v>
      </c>
      <c r="I22" s="388" t="s">
        <v>167</v>
      </c>
      <c r="J22" s="534"/>
      <c r="K22" s="386"/>
      <c r="L22" s="69"/>
    </row>
    <row r="23" spans="1:12" ht="15" customHeight="1" x14ac:dyDescent="0.25">
      <c r="A23" s="391">
        <v>1</v>
      </c>
      <c r="B23" s="392" t="s">
        <v>679</v>
      </c>
      <c r="C23" s="393"/>
      <c r="D23" s="394">
        <v>64.025000000000006</v>
      </c>
      <c r="E23" s="395">
        <v>4589.95</v>
      </c>
      <c r="F23" s="394">
        <f t="shared" ref="F23:G68" si="0">+H23-D23</f>
        <v>0</v>
      </c>
      <c r="G23" s="396">
        <f t="shared" si="0"/>
        <v>137.70081749999918</v>
      </c>
      <c r="H23" s="397">
        <v>64.025000000000006</v>
      </c>
      <c r="I23" s="395">
        <v>4727.650817499999</v>
      </c>
      <c r="J23" s="398">
        <f>+A23</f>
        <v>1</v>
      </c>
      <c r="K23" s="386"/>
      <c r="L23" s="69"/>
    </row>
    <row r="24" spans="1:12" ht="15" customHeight="1" x14ac:dyDescent="0.25">
      <c r="A24" s="391">
        <f t="shared" ref="A24:A87" si="1">1+A23</f>
        <v>2</v>
      </c>
      <c r="B24" s="392" t="s">
        <v>264</v>
      </c>
      <c r="C24" s="393"/>
      <c r="D24" s="399">
        <v>94.269000000000005</v>
      </c>
      <c r="E24" s="400">
        <v>6758.1399999999994</v>
      </c>
      <c r="F24" s="399">
        <f t="shared" si="0"/>
        <v>0</v>
      </c>
      <c r="G24" s="401">
        <f t="shared" si="0"/>
        <v>202.74894830000085</v>
      </c>
      <c r="H24" s="402">
        <v>94.269000000000005</v>
      </c>
      <c r="I24" s="400">
        <v>6960.8889483000003</v>
      </c>
      <c r="J24" s="398">
        <f t="shared" ref="J24:J93" si="2">+A24</f>
        <v>2</v>
      </c>
      <c r="K24" s="386"/>
      <c r="L24" s="69"/>
    </row>
    <row r="25" spans="1:12" ht="15" customHeight="1" x14ac:dyDescent="0.25">
      <c r="A25" s="391">
        <f t="shared" si="1"/>
        <v>3</v>
      </c>
      <c r="B25" s="393" t="s">
        <v>786</v>
      </c>
      <c r="C25" s="393"/>
      <c r="D25" s="399">
        <v>1288.7999999999997</v>
      </c>
      <c r="E25" s="400">
        <v>170547.06</v>
      </c>
      <c r="F25" s="399">
        <f t="shared" si="0"/>
        <v>0</v>
      </c>
      <c r="G25" s="401">
        <f t="shared" si="0"/>
        <v>2544.240533141623</v>
      </c>
      <c r="H25" s="402">
        <v>1288.8</v>
      </c>
      <c r="I25" s="400">
        <v>173091.30053314162</v>
      </c>
      <c r="J25" s="398">
        <f t="shared" si="2"/>
        <v>3</v>
      </c>
      <c r="K25" s="386"/>
      <c r="L25" s="69"/>
    </row>
    <row r="26" spans="1:12" ht="15" customHeight="1" x14ac:dyDescent="0.25">
      <c r="A26" s="391">
        <f t="shared" si="1"/>
        <v>4</v>
      </c>
      <c r="B26" s="393" t="s">
        <v>787</v>
      </c>
      <c r="C26" s="393"/>
      <c r="D26" s="399">
        <v>1525.367</v>
      </c>
      <c r="E26" s="400">
        <v>178774.37999999998</v>
      </c>
      <c r="F26" s="399">
        <f t="shared" si="0"/>
        <v>0</v>
      </c>
      <c r="G26" s="401">
        <f t="shared" si="0"/>
        <v>5405.6460784836672</v>
      </c>
      <c r="H26" s="402">
        <v>1525.367</v>
      </c>
      <c r="I26" s="400">
        <v>184180.02607848364</v>
      </c>
      <c r="J26" s="398">
        <f t="shared" si="2"/>
        <v>4</v>
      </c>
      <c r="K26" s="386"/>
      <c r="L26" s="69"/>
    </row>
    <row r="27" spans="1:12" ht="15" customHeight="1" x14ac:dyDescent="0.25">
      <c r="A27" s="391">
        <f t="shared" si="1"/>
        <v>5</v>
      </c>
      <c r="B27" s="393" t="s">
        <v>788</v>
      </c>
      <c r="C27" s="393"/>
      <c r="D27" s="399">
        <v>6420</v>
      </c>
      <c r="E27" s="400">
        <v>769116</v>
      </c>
      <c r="F27" s="399">
        <f t="shared" si="0"/>
        <v>0</v>
      </c>
      <c r="G27" s="401">
        <f t="shared" si="0"/>
        <v>0</v>
      </c>
      <c r="H27" s="402">
        <v>6420</v>
      </c>
      <c r="I27" s="400">
        <v>769116</v>
      </c>
      <c r="J27" s="398">
        <f t="shared" si="2"/>
        <v>5</v>
      </c>
      <c r="K27" s="386"/>
      <c r="L27" s="69"/>
    </row>
    <row r="28" spans="1:12" ht="15" customHeight="1" x14ac:dyDescent="0.25">
      <c r="A28" s="391">
        <f t="shared" si="1"/>
        <v>6</v>
      </c>
      <c r="B28" s="393" t="s">
        <v>926</v>
      </c>
      <c r="C28" s="393"/>
      <c r="D28" s="399">
        <v>2189.0139999999997</v>
      </c>
      <c r="E28" s="400">
        <v>239478.13999999996</v>
      </c>
      <c r="F28" s="399">
        <f t="shared" si="0"/>
        <v>0</v>
      </c>
      <c r="G28" s="401">
        <f t="shared" si="0"/>
        <v>23860.244200000074</v>
      </c>
      <c r="H28" s="402">
        <v>2189.0140000000001</v>
      </c>
      <c r="I28" s="400">
        <v>263338.38420000003</v>
      </c>
      <c r="J28" s="398">
        <f t="shared" si="2"/>
        <v>6</v>
      </c>
      <c r="K28" s="386"/>
      <c r="L28" s="69"/>
    </row>
    <row r="29" spans="1:12" ht="15" customHeight="1" x14ac:dyDescent="0.25">
      <c r="A29" s="391">
        <f t="shared" si="1"/>
        <v>7</v>
      </c>
      <c r="B29" s="393" t="s">
        <v>867</v>
      </c>
      <c r="C29" s="393"/>
      <c r="D29" s="399">
        <v>1357.3050000000001</v>
      </c>
      <c r="E29" s="400">
        <v>149032.07</v>
      </c>
      <c r="F29" s="399">
        <f t="shared" si="0"/>
        <v>0</v>
      </c>
      <c r="G29" s="401">
        <f t="shared" si="0"/>
        <v>1.9000000000232831E-2</v>
      </c>
      <c r="H29" s="402">
        <v>1357.3050000000001</v>
      </c>
      <c r="I29" s="400">
        <v>149032.08900000001</v>
      </c>
      <c r="J29" s="398">
        <f t="shared" si="2"/>
        <v>7</v>
      </c>
      <c r="K29" s="386"/>
      <c r="L29" s="69"/>
    </row>
    <row r="30" spans="1:12" ht="15" customHeight="1" x14ac:dyDescent="0.25">
      <c r="A30" s="391">
        <f t="shared" si="1"/>
        <v>8</v>
      </c>
      <c r="B30" s="393" t="s">
        <v>680</v>
      </c>
      <c r="C30" s="393"/>
      <c r="D30" s="399">
        <v>19840.7</v>
      </c>
      <c r="E30" s="400">
        <v>2760936.6299544442</v>
      </c>
      <c r="F30" s="399">
        <f t="shared" si="0"/>
        <v>0.2999999999992724</v>
      </c>
      <c r="G30" s="401">
        <f t="shared" si="0"/>
        <v>14093.370045555755</v>
      </c>
      <c r="H30" s="402">
        <v>19841</v>
      </c>
      <c r="I30" s="400">
        <v>2775030</v>
      </c>
      <c r="J30" s="398">
        <f t="shared" si="2"/>
        <v>8</v>
      </c>
      <c r="K30" s="386"/>
      <c r="L30" s="69"/>
    </row>
    <row r="31" spans="1:12" ht="15" customHeight="1" x14ac:dyDescent="0.25">
      <c r="A31" s="391">
        <f t="shared" si="1"/>
        <v>9</v>
      </c>
      <c r="B31" s="393" t="s">
        <v>789</v>
      </c>
      <c r="C31" s="393"/>
      <c r="D31" s="399">
        <v>0</v>
      </c>
      <c r="E31" s="400">
        <v>-52919.804444444439</v>
      </c>
      <c r="F31" s="399">
        <f t="shared" si="0"/>
        <v>0</v>
      </c>
      <c r="G31" s="401">
        <f t="shared" si="0"/>
        <v>-12572.954368555125</v>
      </c>
      <c r="H31" s="402">
        <v>0</v>
      </c>
      <c r="I31" s="400">
        <v>-65492.758812999564</v>
      </c>
      <c r="J31" s="398">
        <f t="shared" si="2"/>
        <v>9</v>
      </c>
      <c r="K31" s="403"/>
      <c r="L31" s="69"/>
    </row>
    <row r="32" spans="1:12" ht="15" customHeight="1" x14ac:dyDescent="0.25">
      <c r="A32" s="391">
        <f t="shared" si="1"/>
        <v>10</v>
      </c>
      <c r="B32" s="393" t="s">
        <v>176</v>
      </c>
      <c r="C32" s="393"/>
      <c r="D32" s="404">
        <v>24038.379250000002</v>
      </c>
      <c r="E32" s="400">
        <v>663027.19000000006</v>
      </c>
      <c r="F32" s="399">
        <f t="shared" si="0"/>
        <v>0</v>
      </c>
      <c r="G32" s="401">
        <f t="shared" si="0"/>
        <v>567738.24375378888</v>
      </c>
      <c r="H32" s="402">
        <v>24038.379250000002</v>
      </c>
      <c r="I32" s="400">
        <v>1230765.4337537889</v>
      </c>
      <c r="J32" s="398">
        <f t="shared" si="2"/>
        <v>10</v>
      </c>
      <c r="K32" s="386"/>
      <c r="L32" s="69"/>
    </row>
    <row r="33" spans="1:12" ht="15" customHeight="1" x14ac:dyDescent="0.25">
      <c r="A33" s="391">
        <f t="shared" si="1"/>
        <v>11</v>
      </c>
      <c r="B33" s="393" t="s">
        <v>790</v>
      </c>
      <c r="C33" s="393"/>
      <c r="D33" s="404">
        <v>8012.7867500000011</v>
      </c>
      <c r="E33" s="400">
        <v>803393.52999999991</v>
      </c>
      <c r="F33" s="399">
        <f t="shared" si="0"/>
        <v>0</v>
      </c>
      <c r="G33" s="401">
        <f t="shared" si="0"/>
        <v>18638.262682500179</v>
      </c>
      <c r="H33" s="402">
        <v>8012.7867500000011</v>
      </c>
      <c r="I33" s="400">
        <v>822031.79268250009</v>
      </c>
      <c r="J33" s="398">
        <f t="shared" si="2"/>
        <v>11</v>
      </c>
      <c r="K33" s="403"/>
      <c r="L33" s="69"/>
    </row>
    <row r="34" spans="1:12" ht="15" customHeight="1" x14ac:dyDescent="0.25">
      <c r="A34" s="391">
        <f t="shared" si="1"/>
        <v>12</v>
      </c>
      <c r="B34" s="393" t="s">
        <v>681</v>
      </c>
      <c r="C34" s="393"/>
      <c r="D34" s="399">
        <v>117120</v>
      </c>
      <c r="E34" s="400">
        <v>7996404.0000000009</v>
      </c>
      <c r="F34" s="399">
        <f t="shared" si="0"/>
        <v>-320</v>
      </c>
      <c r="G34" s="401">
        <f t="shared" si="0"/>
        <v>-108092.00000000093</v>
      </c>
      <c r="H34" s="402">
        <v>116800</v>
      </c>
      <c r="I34" s="400">
        <v>7888312</v>
      </c>
      <c r="J34" s="398">
        <f t="shared" si="2"/>
        <v>12</v>
      </c>
      <c r="K34" s="386"/>
      <c r="L34" s="69"/>
    </row>
    <row r="35" spans="1:12" ht="15" customHeight="1" x14ac:dyDescent="0.25">
      <c r="A35" s="391">
        <f t="shared" si="1"/>
        <v>13</v>
      </c>
      <c r="B35" s="393" t="s">
        <v>1254</v>
      </c>
      <c r="C35" s="393"/>
      <c r="D35" s="399">
        <v>11712</v>
      </c>
      <c r="E35" s="400">
        <v>800615.03999999992</v>
      </c>
      <c r="F35" s="399">
        <f t="shared" si="0"/>
        <v>-32</v>
      </c>
      <c r="G35" s="401">
        <f t="shared" si="0"/>
        <v>-11784.039999999921</v>
      </c>
      <c r="H35" s="402">
        <v>11680</v>
      </c>
      <c r="I35" s="400">
        <v>788831</v>
      </c>
      <c r="J35" s="398">
        <f t="shared" si="2"/>
        <v>13</v>
      </c>
      <c r="K35" s="403"/>
      <c r="L35" s="69"/>
    </row>
    <row r="36" spans="1:12" ht="15" customHeight="1" x14ac:dyDescent="0.25">
      <c r="A36" s="391">
        <f t="shared" si="1"/>
        <v>14</v>
      </c>
      <c r="B36" s="393" t="s">
        <v>791</v>
      </c>
      <c r="C36" s="393"/>
      <c r="D36" s="399">
        <v>78999</v>
      </c>
      <c r="E36" s="400">
        <v>5232733.57</v>
      </c>
      <c r="F36" s="399">
        <f t="shared" si="0"/>
        <v>2849.5</v>
      </c>
      <c r="G36" s="401">
        <f t="shared" si="0"/>
        <v>-309983.23558369465</v>
      </c>
      <c r="H36" s="402">
        <v>81848.5</v>
      </c>
      <c r="I36" s="400">
        <v>4922750.3344163056</v>
      </c>
      <c r="J36" s="398">
        <f t="shared" si="2"/>
        <v>14</v>
      </c>
      <c r="K36" s="386"/>
      <c r="L36" s="69"/>
    </row>
    <row r="37" spans="1:12" ht="15" customHeight="1" x14ac:dyDescent="0.25">
      <c r="A37" s="391">
        <f t="shared" si="1"/>
        <v>15</v>
      </c>
      <c r="B37" s="393" t="s">
        <v>927</v>
      </c>
      <c r="C37" s="393"/>
      <c r="D37" s="405">
        <v>19887</v>
      </c>
      <c r="E37" s="406">
        <v>655276.65</v>
      </c>
      <c r="F37" s="399">
        <f t="shared" si="0"/>
        <v>-19887</v>
      </c>
      <c r="G37" s="401">
        <f t="shared" si="0"/>
        <v>-655276.65</v>
      </c>
      <c r="H37" s="402">
        <v>0</v>
      </c>
      <c r="I37" s="400">
        <v>0</v>
      </c>
      <c r="J37" s="398">
        <f t="shared" si="2"/>
        <v>15</v>
      </c>
      <c r="K37" s="403"/>
      <c r="L37" s="69"/>
    </row>
    <row r="38" spans="1:12" ht="15" customHeight="1" x14ac:dyDescent="0.25">
      <c r="A38" s="391">
        <f t="shared" si="1"/>
        <v>16</v>
      </c>
      <c r="B38" s="393" t="s">
        <v>928</v>
      </c>
      <c r="C38" s="393"/>
      <c r="D38" s="399">
        <v>11387.682840572012</v>
      </c>
      <c r="E38" s="406">
        <v>2491845.1500000004</v>
      </c>
      <c r="F38" s="399">
        <f t="shared" si="0"/>
        <v>11410.317159427988</v>
      </c>
      <c r="G38" s="401">
        <f t="shared" si="0"/>
        <v>1366274.8940751082</v>
      </c>
      <c r="H38" s="402">
        <v>22798</v>
      </c>
      <c r="I38" s="400">
        <v>3858120.0440751086</v>
      </c>
      <c r="J38" s="398">
        <f t="shared" si="2"/>
        <v>16</v>
      </c>
      <c r="K38" s="386"/>
      <c r="L38" s="69"/>
    </row>
    <row r="39" spans="1:12" ht="15" customHeight="1" x14ac:dyDescent="0.25">
      <c r="A39" s="391">
        <f t="shared" si="1"/>
        <v>17</v>
      </c>
      <c r="B39" s="393" t="s">
        <v>929</v>
      </c>
      <c r="C39" s="393"/>
      <c r="D39" s="399">
        <v>0</v>
      </c>
      <c r="E39" s="400">
        <v>6421.0999999999995</v>
      </c>
      <c r="F39" s="399">
        <f t="shared" si="0"/>
        <v>0</v>
      </c>
      <c r="G39" s="401">
        <f t="shared" si="0"/>
        <v>-6421.0999999999995</v>
      </c>
      <c r="H39" s="402">
        <v>0</v>
      </c>
      <c r="I39" s="400">
        <v>0</v>
      </c>
      <c r="J39" s="398">
        <f t="shared" si="2"/>
        <v>17</v>
      </c>
      <c r="K39" s="403"/>
      <c r="L39" s="69"/>
    </row>
    <row r="40" spans="1:12" ht="15" customHeight="1" x14ac:dyDescent="0.25">
      <c r="A40" s="391">
        <f t="shared" si="1"/>
        <v>18</v>
      </c>
      <c r="B40" s="407" t="s">
        <v>682</v>
      </c>
      <c r="C40" s="407"/>
      <c r="D40" s="399">
        <v>14035.454076312</v>
      </c>
      <c r="E40" s="400">
        <v>1547528.23</v>
      </c>
      <c r="F40" s="399">
        <f t="shared" si="0"/>
        <v>-680.34407631199974</v>
      </c>
      <c r="G40" s="401">
        <f t="shared" si="0"/>
        <v>-78466.07772071613</v>
      </c>
      <c r="H40" s="402">
        <v>13355.11</v>
      </c>
      <c r="I40" s="400">
        <v>1469062.1522792839</v>
      </c>
      <c r="J40" s="398">
        <f t="shared" si="2"/>
        <v>18</v>
      </c>
      <c r="K40" s="386"/>
      <c r="L40" s="69"/>
    </row>
    <row r="41" spans="1:12" ht="15.6" customHeight="1" x14ac:dyDescent="0.25">
      <c r="A41" s="391">
        <f t="shared" si="1"/>
        <v>19</v>
      </c>
      <c r="B41" s="393" t="s">
        <v>792</v>
      </c>
      <c r="C41" s="393"/>
      <c r="D41" s="399">
        <v>23307.524999999998</v>
      </c>
      <c r="E41" s="400">
        <v>1413603.81122</v>
      </c>
      <c r="F41" s="399">
        <f t="shared" si="0"/>
        <v>0</v>
      </c>
      <c r="G41" s="401">
        <f t="shared" si="0"/>
        <v>170967.1347174996</v>
      </c>
      <c r="H41" s="402">
        <v>23307.524999999998</v>
      </c>
      <c r="I41" s="400">
        <v>1584570.9459374996</v>
      </c>
      <c r="J41" s="398">
        <f t="shared" si="2"/>
        <v>19</v>
      </c>
      <c r="K41" s="386"/>
      <c r="L41" s="69"/>
    </row>
    <row r="42" spans="1:12" ht="15" customHeight="1" x14ac:dyDescent="0.25">
      <c r="A42" s="391">
        <f t="shared" si="1"/>
        <v>20</v>
      </c>
      <c r="B42" s="393" t="s">
        <v>868</v>
      </c>
      <c r="C42" s="393"/>
      <c r="D42" s="399">
        <v>1269.2160000000001</v>
      </c>
      <c r="E42" s="400">
        <v>29673.18</v>
      </c>
      <c r="F42" s="399">
        <f t="shared" si="0"/>
        <v>0</v>
      </c>
      <c r="G42" s="401">
        <f t="shared" si="0"/>
        <v>926.28779374548685</v>
      </c>
      <c r="H42" s="402">
        <v>1269.2160000000001</v>
      </c>
      <c r="I42" s="400">
        <v>30599.467793745487</v>
      </c>
      <c r="J42" s="398">
        <f t="shared" si="2"/>
        <v>20</v>
      </c>
      <c r="K42" s="386"/>
      <c r="L42" s="69"/>
    </row>
    <row r="43" spans="1:12" ht="15" customHeight="1" x14ac:dyDescent="0.25">
      <c r="A43" s="391">
        <f t="shared" si="1"/>
        <v>21</v>
      </c>
      <c r="B43" s="393" t="s">
        <v>869</v>
      </c>
      <c r="C43" s="393"/>
      <c r="D43" s="399">
        <v>37813.129000000008</v>
      </c>
      <c r="E43" s="400">
        <v>1075970.57</v>
      </c>
      <c r="F43" s="399">
        <f t="shared" si="0"/>
        <v>0</v>
      </c>
      <c r="G43" s="401">
        <f t="shared" si="0"/>
        <v>36854.850398422917</v>
      </c>
      <c r="H43" s="402">
        <v>37813.129000000008</v>
      </c>
      <c r="I43" s="400">
        <v>1112825.420398423</v>
      </c>
      <c r="J43" s="398">
        <f t="shared" si="2"/>
        <v>21</v>
      </c>
      <c r="K43" s="386"/>
      <c r="L43" s="69"/>
    </row>
    <row r="44" spans="1:12" ht="15" customHeight="1" x14ac:dyDescent="0.25">
      <c r="A44" s="391">
        <f t="shared" si="1"/>
        <v>22</v>
      </c>
      <c r="B44" s="407" t="s">
        <v>990</v>
      </c>
      <c r="C44" s="393"/>
      <c r="D44" s="399">
        <v>0</v>
      </c>
      <c r="E44" s="400">
        <v>759000</v>
      </c>
      <c r="F44" s="399">
        <f t="shared" si="0"/>
        <v>0</v>
      </c>
      <c r="G44" s="401">
        <f t="shared" si="0"/>
        <v>-759000</v>
      </c>
      <c r="H44" s="402">
        <v>0</v>
      </c>
      <c r="I44" s="400">
        <v>0</v>
      </c>
      <c r="J44" s="398">
        <f t="shared" si="2"/>
        <v>22</v>
      </c>
      <c r="K44" s="386"/>
      <c r="L44" s="69"/>
    </row>
    <row r="45" spans="1:12" ht="15" customHeight="1" x14ac:dyDescent="0.25">
      <c r="A45" s="391">
        <f t="shared" si="1"/>
        <v>23</v>
      </c>
      <c r="B45" s="407" t="s">
        <v>991</v>
      </c>
      <c r="C45" s="393"/>
      <c r="D45" s="399">
        <v>51799.000000000007</v>
      </c>
      <c r="E45" s="400">
        <v>3226584.622</v>
      </c>
      <c r="F45" s="399">
        <f t="shared" si="0"/>
        <v>9771.9000000000015</v>
      </c>
      <c r="G45" s="401">
        <f t="shared" si="0"/>
        <v>608666.73900000053</v>
      </c>
      <c r="H45" s="402">
        <v>61570.900000000009</v>
      </c>
      <c r="I45" s="400">
        <v>3835251.3610000005</v>
      </c>
      <c r="J45" s="398">
        <f t="shared" si="2"/>
        <v>23</v>
      </c>
      <c r="K45" s="386"/>
      <c r="L45" s="69"/>
    </row>
    <row r="46" spans="1:12" ht="15" customHeight="1" x14ac:dyDescent="0.25">
      <c r="A46" s="391">
        <f t="shared" si="1"/>
        <v>24</v>
      </c>
      <c r="B46" s="407" t="s">
        <v>992</v>
      </c>
      <c r="C46" s="393"/>
      <c r="D46" s="399">
        <v>86082</v>
      </c>
      <c r="E46" s="400">
        <v>5574536.7300000004</v>
      </c>
      <c r="F46" s="399">
        <f t="shared" si="0"/>
        <v>-672</v>
      </c>
      <c r="G46" s="401">
        <f t="shared" si="0"/>
        <v>329856.73121283669</v>
      </c>
      <c r="H46" s="402">
        <v>85410</v>
      </c>
      <c r="I46" s="400">
        <v>5904393.4612128371</v>
      </c>
      <c r="J46" s="398">
        <f t="shared" si="2"/>
        <v>24</v>
      </c>
      <c r="K46" s="386"/>
      <c r="L46" s="69"/>
    </row>
    <row r="47" spans="1:12" ht="15" customHeight="1" x14ac:dyDescent="0.25">
      <c r="A47" s="391">
        <f t="shared" si="1"/>
        <v>25</v>
      </c>
      <c r="B47" s="407" t="s">
        <v>993</v>
      </c>
      <c r="C47" s="393"/>
      <c r="D47" s="399">
        <v>0</v>
      </c>
      <c r="E47" s="400">
        <v>1462938.6</v>
      </c>
      <c r="F47" s="399">
        <f t="shared" si="0"/>
        <v>0</v>
      </c>
      <c r="G47" s="401">
        <f t="shared" si="0"/>
        <v>73706.711213284871</v>
      </c>
      <c r="H47" s="402">
        <v>0</v>
      </c>
      <c r="I47" s="400">
        <v>1536645.311213285</v>
      </c>
      <c r="J47" s="398">
        <f t="shared" si="2"/>
        <v>25</v>
      </c>
      <c r="K47" s="386"/>
      <c r="L47" s="69"/>
    </row>
    <row r="48" spans="1:12" ht="15" customHeight="1" x14ac:dyDescent="0.25">
      <c r="A48" s="391">
        <f t="shared" si="1"/>
        <v>26</v>
      </c>
      <c r="B48" s="407" t="s">
        <v>994</v>
      </c>
      <c r="C48" s="393"/>
      <c r="D48" s="399">
        <v>0</v>
      </c>
      <c r="E48" s="400">
        <v>285000</v>
      </c>
      <c r="F48" s="399">
        <f t="shared" si="0"/>
        <v>0</v>
      </c>
      <c r="G48" s="401">
        <f t="shared" si="0"/>
        <v>0</v>
      </c>
      <c r="H48" s="402">
        <v>0</v>
      </c>
      <c r="I48" s="400">
        <v>285000</v>
      </c>
      <c r="J48" s="398">
        <f t="shared" si="2"/>
        <v>26</v>
      </c>
      <c r="K48" s="386"/>
      <c r="L48" s="69"/>
    </row>
    <row r="49" spans="1:12" ht="15" customHeight="1" x14ac:dyDescent="0.25">
      <c r="A49" s="391">
        <f t="shared" si="1"/>
        <v>27</v>
      </c>
      <c r="B49" s="407" t="s">
        <v>1255</v>
      </c>
      <c r="C49" s="393"/>
      <c r="D49" s="404">
        <v>0</v>
      </c>
      <c r="E49" s="400">
        <v>-92609.53</v>
      </c>
      <c r="F49" s="399">
        <f t="shared" si="0"/>
        <v>0</v>
      </c>
      <c r="G49" s="401">
        <f t="shared" si="0"/>
        <v>-46819.219999999972</v>
      </c>
      <c r="H49" s="402"/>
      <c r="I49" s="400">
        <v>-139428.74999999997</v>
      </c>
      <c r="J49" s="398">
        <f t="shared" si="2"/>
        <v>27</v>
      </c>
      <c r="K49" s="386"/>
      <c r="L49" s="69"/>
    </row>
    <row r="50" spans="1:12" ht="15" customHeight="1" x14ac:dyDescent="0.25">
      <c r="A50" s="391">
        <f t="shared" si="1"/>
        <v>28</v>
      </c>
      <c r="B50" s="407" t="s">
        <v>1031</v>
      </c>
      <c r="C50" s="393"/>
      <c r="D50" s="399">
        <v>41832</v>
      </c>
      <c r="E50" s="400">
        <v>3637066.58</v>
      </c>
      <c r="F50" s="399">
        <f t="shared" si="0"/>
        <v>0</v>
      </c>
      <c r="G50" s="401">
        <f t="shared" si="0"/>
        <v>96406.664283439051</v>
      </c>
      <c r="H50" s="402">
        <v>41832</v>
      </c>
      <c r="I50" s="400">
        <v>3733473.2442834391</v>
      </c>
      <c r="J50" s="398">
        <f t="shared" si="2"/>
        <v>28</v>
      </c>
      <c r="K50" s="386"/>
      <c r="L50" s="69"/>
    </row>
    <row r="51" spans="1:12" ht="15" customHeight="1" x14ac:dyDescent="0.25">
      <c r="A51" s="391">
        <f t="shared" si="1"/>
        <v>29</v>
      </c>
      <c r="B51" s="407" t="s">
        <v>793</v>
      </c>
      <c r="C51" s="393"/>
      <c r="D51" s="404">
        <v>17648.515000000003</v>
      </c>
      <c r="E51" s="400">
        <v>0</v>
      </c>
      <c r="F51" s="399">
        <f t="shared" si="0"/>
        <v>0</v>
      </c>
      <c r="G51" s="401">
        <f t="shared" si="0"/>
        <v>0</v>
      </c>
      <c r="H51" s="402">
        <v>17648.514999999999</v>
      </c>
      <c r="I51" s="400">
        <v>0</v>
      </c>
      <c r="J51" s="398">
        <f t="shared" si="2"/>
        <v>29</v>
      </c>
      <c r="K51" s="386"/>
      <c r="L51" s="69"/>
    </row>
    <row r="52" spans="1:12" ht="15" customHeight="1" x14ac:dyDescent="0.25">
      <c r="A52" s="391">
        <f t="shared" si="1"/>
        <v>30</v>
      </c>
      <c r="B52" s="407" t="s">
        <v>930</v>
      </c>
      <c r="C52" s="393"/>
      <c r="D52" s="399">
        <v>-19689.589</v>
      </c>
      <c r="E52" s="400">
        <v>-309634.8</v>
      </c>
      <c r="F52" s="399">
        <f t="shared" si="0"/>
        <v>-32067.551669288798</v>
      </c>
      <c r="G52" s="401">
        <f t="shared" si="0"/>
        <v>-1960005.0264922252</v>
      </c>
      <c r="H52" s="402">
        <v>-51757.140669288798</v>
      </c>
      <c r="I52" s="408">
        <v>-2269639.8264922253</v>
      </c>
      <c r="J52" s="398">
        <f t="shared" si="2"/>
        <v>30</v>
      </c>
      <c r="K52" s="386"/>
      <c r="L52" s="69"/>
    </row>
    <row r="53" spans="1:12" ht="15" customHeight="1" x14ac:dyDescent="0.25">
      <c r="A53" s="391">
        <f t="shared" si="1"/>
        <v>31</v>
      </c>
      <c r="B53" s="393" t="s">
        <v>931</v>
      </c>
      <c r="C53" s="393"/>
      <c r="D53" s="404">
        <v>0</v>
      </c>
      <c r="E53" s="400">
        <v>59890.07</v>
      </c>
      <c r="F53" s="399">
        <f t="shared" si="0"/>
        <v>0</v>
      </c>
      <c r="G53" s="401">
        <f t="shared" si="0"/>
        <v>9964.1321896551744</v>
      </c>
      <c r="H53" s="402">
        <v>0</v>
      </c>
      <c r="I53" s="408">
        <v>69854.202189655174</v>
      </c>
      <c r="J53" s="398">
        <f t="shared" si="2"/>
        <v>31</v>
      </c>
      <c r="K53" s="386"/>
      <c r="L53" s="69"/>
    </row>
    <row r="54" spans="1:12" ht="15" customHeight="1" x14ac:dyDescent="0.25">
      <c r="A54" s="391">
        <f t="shared" si="1"/>
        <v>32</v>
      </c>
      <c r="B54" s="393" t="s">
        <v>932</v>
      </c>
      <c r="C54" s="393"/>
      <c r="D54" s="399">
        <v>0</v>
      </c>
      <c r="E54" s="400">
        <v>10605.279999999999</v>
      </c>
      <c r="F54" s="399">
        <f t="shared" si="0"/>
        <v>0</v>
      </c>
      <c r="G54" s="401">
        <f t="shared" si="0"/>
        <v>1358.4627586206916</v>
      </c>
      <c r="H54" s="402">
        <v>0</v>
      </c>
      <c r="I54" s="408">
        <v>11963.74275862069</v>
      </c>
      <c r="J54" s="398">
        <f t="shared" si="2"/>
        <v>32</v>
      </c>
      <c r="K54" s="386"/>
      <c r="L54" s="69"/>
    </row>
    <row r="55" spans="1:12" ht="15" customHeight="1" x14ac:dyDescent="0.25">
      <c r="A55" s="391">
        <f t="shared" si="1"/>
        <v>33</v>
      </c>
      <c r="B55" s="407" t="s">
        <v>933</v>
      </c>
      <c r="C55" s="407"/>
      <c r="D55" s="404">
        <v>0</v>
      </c>
      <c r="E55" s="400">
        <v>40097.230000000003</v>
      </c>
      <c r="F55" s="399">
        <f t="shared" si="0"/>
        <v>0</v>
      </c>
      <c r="G55" s="401">
        <f t="shared" si="0"/>
        <v>6830.7131034482809</v>
      </c>
      <c r="H55" s="402">
        <v>0</v>
      </c>
      <c r="I55" s="408">
        <v>46927.943103448284</v>
      </c>
      <c r="J55" s="398">
        <f t="shared" si="2"/>
        <v>33</v>
      </c>
      <c r="K55" s="386"/>
      <c r="L55" s="69"/>
    </row>
    <row r="56" spans="1:12" ht="15" customHeight="1" x14ac:dyDescent="0.25">
      <c r="A56" s="391">
        <f t="shared" si="1"/>
        <v>34</v>
      </c>
      <c r="B56" s="393" t="s">
        <v>934</v>
      </c>
      <c r="C56" s="393"/>
      <c r="D56" s="399">
        <v>0</v>
      </c>
      <c r="E56" s="400">
        <v>185366.84999999998</v>
      </c>
      <c r="F56" s="399">
        <f t="shared" si="0"/>
        <v>0</v>
      </c>
      <c r="G56" s="401">
        <f t="shared" si="0"/>
        <v>34454.312133102067</v>
      </c>
      <c r="H56" s="402">
        <v>0</v>
      </c>
      <c r="I56" s="408">
        <v>219821.16213310204</v>
      </c>
      <c r="J56" s="398">
        <f t="shared" si="2"/>
        <v>34</v>
      </c>
      <c r="K56" s="386"/>
      <c r="L56" s="69"/>
    </row>
    <row r="57" spans="1:12" ht="15" customHeight="1" x14ac:dyDescent="0.25">
      <c r="A57" s="391">
        <f t="shared" si="1"/>
        <v>35</v>
      </c>
      <c r="B57" s="393" t="s">
        <v>935</v>
      </c>
      <c r="C57" s="393"/>
      <c r="D57" s="399">
        <v>0</v>
      </c>
      <c r="E57" s="400">
        <v>309113.22000000003</v>
      </c>
      <c r="F57" s="399">
        <f t="shared" si="0"/>
        <v>0</v>
      </c>
      <c r="G57" s="401">
        <f t="shared" si="0"/>
        <v>89093.843344846333</v>
      </c>
      <c r="H57" s="402">
        <v>0</v>
      </c>
      <c r="I57" s="400">
        <v>398207.06334484636</v>
      </c>
      <c r="J57" s="398">
        <f t="shared" si="2"/>
        <v>35</v>
      </c>
      <c r="K57" s="386"/>
      <c r="L57" s="69"/>
    </row>
    <row r="58" spans="1:12" ht="15" customHeight="1" x14ac:dyDescent="0.25">
      <c r="A58" s="391">
        <f t="shared" si="1"/>
        <v>36</v>
      </c>
      <c r="B58" s="393" t="s">
        <v>936</v>
      </c>
      <c r="C58" s="393"/>
      <c r="D58" s="399">
        <v>0</v>
      </c>
      <c r="E58" s="400">
        <v>116719.14000000001</v>
      </c>
      <c r="F58" s="399">
        <f t="shared" si="0"/>
        <v>0</v>
      </c>
      <c r="G58" s="401">
        <f t="shared" si="0"/>
        <v>82452.627534429397</v>
      </c>
      <c r="H58" s="402">
        <v>0</v>
      </c>
      <c r="I58" s="400">
        <v>199171.76753442941</v>
      </c>
      <c r="J58" s="398">
        <f t="shared" si="2"/>
        <v>36</v>
      </c>
      <c r="K58" s="386"/>
      <c r="L58" s="69"/>
    </row>
    <row r="59" spans="1:12" ht="15" customHeight="1" x14ac:dyDescent="0.25">
      <c r="A59" s="391">
        <f t="shared" si="1"/>
        <v>37</v>
      </c>
      <c r="B59" s="393" t="s">
        <v>937</v>
      </c>
      <c r="C59" s="393"/>
      <c r="D59" s="399">
        <v>0</v>
      </c>
      <c r="E59" s="400">
        <v>-80360.319999999992</v>
      </c>
      <c r="F59" s="399">
        <f t="shared" si="0"/>
        <v>0</v>
      </c>
      <c r="G59" s="401">
        <f t="shared" si="0"/>
        <v>0</v>
      </c>
      <c r="H59" s="402">
        <v>0</v>
      </c>
      <c r="I59" s="400">
        <v>-80360.319999999992</v>
      </c>
      <c r="J59" s="398">
        <f t="shared" si="2"/>
        <v>37</v>
      </c>
      <c r="K59" s="386"/>
      <c r="L59" s="69"/>
    </row>
    <row r="60" spans="1:12" ht="15" customHeight="1" x14ac:dyDescent="0.25">
      <c r="A60" s="391">
        <f t="shared" si="1"/>
        <v>38</v>
      </c>
      <c r="B60" s="393" t="s">
        <v>938</v>
      </c>
      <c r="C60" s="393"/>
      <c r="D60" s="399">
        <v>0</v>
      </c>
      <c r="E60" s="400">
        <v>58083.65</v>
      </c>
      <c r="F60" s="399">
        <f t="shared" si="0"/>
        <v>0</v>
      </c>
      <c r="G60" s="401">
        <f t="shared" si="0"/>
        <v>-58083.65</v>
      </c>
      <c r="H60" s="402">
        <v>0</v>
      </c>
      <c r="I60" s="400">
        <v>0</v>
      </c>
      <c r="J60" s="398">
        <f t="shared" si="2"/>
        <v>38</v>
      </c>
      <c r="K60" s="386"/>
      <c r="L60" s="69"/>
    </row>
    <row r="61" spans="1:12" ht="15" customHeight="1" x14ac:dyDescent="0.25">
      <c r="A61" s="391">
        <f t="shared" si="1"/>
        <v>39</v>
      </c>
      <c r="B61" s="393" t="s">
        <v>939</v>
      </c>
      <c r="C61" s="393"/>
      <c r="D61" s="399">
        <v>0</v>
      </c>
      <c r="E61" s="400">
        <v>114043.19000000002</v>
      </c>
      <c r="F61" s="399">
        <f t="shared" si="0"/>
        <v>0</v>
      </c>
      <c r="G61" s="401">
        <f t="shared" si="0"/>
        <v>1124190.0556851372</v>
      </c>
      <c r="H61" s="402">
        <v>0</v>
      </c>
      <c r="I61" s="400">
        <v>1238233.2456851371</v>
      </c>
      <c r="J61" s="398">
        <f t="shared" si="2"/>
        <v>39</v>
      </c>
      <c r="K61" s="386"/>
      <c r="L61" s="69"/>
    </row>
    <row r="62" spans="1:12" ht="15" customHeight="1" x14ac:dyDescent="0.25">
      <c r="A62" s="391">
        <f t="shared" si="1"/>
        <v>40</v>
      </c>
      <c r="B62" s="392" t="s">
        <v>940</v>
      </c>
      <c r="C62" s="393"/>
      <c r="D62" s="399">
        <v>0</v>
      </c>
      <c r="E62" s="400">
        <v>18673.79</v>
      </c>
      <c r="F62" s="399">
        <f t="shared" si="0"/>
        <v>0</v>
      </c>
      <c r="G62" s="401">
        <f t="shared" si="0"/>
        <v>6000</v>
      </c>
      <c r="H62" s="402">
        <v>0</v>
      </c>
      <c r="I62" s="400">
        <v>24673.79</v>
      </c>
      <c r="J62" s="398">
        <f t="shared" si="2"/>
        <v>40</v>
      </c>
      <c r="K62" s="386"/>
      <c r="L62" s="69"/>
    </row>
    <row r="63" spans="1:12" ht="15" customHeight="1" x14ac:dyDescent="0.25">
      <c r="A63" s="391">
        <f t="shared" si="1"/>
        <v>41</v>
      </c>
      <c r="B63" s="392" t="s">
        <v>265</v>
      </c>
      <c r="C63" s="409"/>
      <c r="D63" s="399">
        <v>0</v>
      </c>
      <c r="E63" s="400">
        <v>50200.42</v>
      </c>
      <c r="F63" s="399">
        <f t="shared" si="0"/>
        <v>0</v>
      </c>
      <c r="G63" s="401">
        <f t="shared" si="0"/>
        <v>-50200.42</v>
      </c>
      <c r="H63" s="402">
        <v>0</v>
      </c>
      <c r="I63" s="400">
        <v>0</v>
      </c>
      <c r="J63" s="398">
        <f t="shared" si="2"/>
        <v>41</v>
      </c>
      <c r="K63" s="386"/>
      <c r="L63" s="69"/>
    </row>
    <row r="64" spans="1:12" ht="15" customHeight="1" x14ac:dyDescent="0.25">
      <c r="A64" s="391">
        <f t="shared" si="1"/>
        <v>42</v>
      </c>
      <c r="B64" s="392" t="s">
        <v>941</v>
      </c>
      <c r="C64" s="393"/>
      <c r="D64" s="399">
        <v>0</v>
      </c>
      <c r="E64" s="400">
        <v>860199.5199999999</v>
      </c>
      <c r="F64" s="399">
        <f t="shared" si="0"/>
        <v>0</v>
      </c>
      <c r="G64" s="401">
        <f t="shared" si="0"/>
        <v>-860199.5199999999</v>
      </c>
      <c r="H64" s="402">
        <v>0</v>
      </c>
      <c r="I64" s="400">
        <v>0</v>
      </c>
      <c r="J64" s="398">
        <f t="shared" si="2"/>
        <v>42</v>
      </c>
      <c r="K64" s="386"/>
      <c r="L64" s="69"/>
    </row>
    <row r="65" spans="1:12" ht="15" customHeight="1" x14ac:dyDescent="0.25">
      <c r="A65" s="391">
        <f t="shared" si="1"/>
        <v>43</v>
      </c>
      <c r="B65" s="392" t="s">
        <v>177</v>
      </c>
      <c r="C65" s="393"/>
      <c r="D65" s="399">
        <v>77.220999999999989</v>
      </c>
      <c r="E65" s="400">
        <v>314306.38999999996</v>
      </c>
      <c r="F65" s="399">
        <f t="shared" si="0"/>
        <v>0</v>
      </c>
      <c r="G65" s="401">
        <f t="shared" si="0"/>
        <v>10160.117486233357</v>
      </c>
      <c r="H65" s="402">
        <v>77.221000000000004</v>
      </c>
      <c r="I65" s="400">
        <v>324466.50748623331</v>
      </c>
      <c r="J65" s="398">
        <f t="shared" si="2"/>
        <v>43</v>
      </c>
      <c r="K65" s="386"/>
      <c r="L65" s="69"/>
    </row>
    <row r="66" spans="1:12" ht="15" customHeight="1" x14ac:dyDescent="0.25">
      <c r="A66" s="391">
        <f t="shared" si="1"/>
        <v>44</v>
      </c>
      <c r="B66" s="392" t="s">
        <v>794</v>
      </c>
      <c r="C66" s="393"/>
      <c r="D66" s="410">
        <v>0</v>
      </c>
      <c r="E66" s="400">
        <v>-58894.559999999998</v>
      </c>
      <c r="F66" s="399">
        <f t="shared" si="0"/>
        <v>0</v>
      </c>
      <c r="G66" s="401">
        <f t="shared" si="0"/>
        <v>59287.899999999994</v>
      </c>
      <c r="H66" s="402">
        <v>0</v>
      </c>
      <c r="I66" s="400">
        <v>393.34</v>
      </c>
      <c r="J66" s="398">
        <f t="shared" si="2"/>
        <v>44</v>
      </c>
      <c r="K66" s="386"/>
      <c r="L66" s="69"/>
    </row>
    <row r="67" spans="1:12" ht="15" customHeight="1" x14ac:dyDescent="0.25">
      <c r="A67" s="391">
        <f t="shared" si="1"/>
        <v>45</v>
      </c>
      <c r="B67" s="392" t="s">
        <v>795</v>
      </c>
      <c r="C67" s="393"/>
      <c r="D67" s="399">
        <v>0</v>
      </c>
      <c r="E67" s="400">
        <v>-173287.24000000002</v>
      </c>
      <c r="F67" s="399">
        <f t="shared" si="0"/>
        <v>0</v>
      </c>
      <c r="G67" s="401">
        <f t="shared" si="0"/>
        <v>-46421.784846042196</v>
      </c>
      <c r="H67" s="402">
        <v>0</v>
      </c>
      <c r="I67" s="400">
        <v>-219709.02484604222</v>
      </c>
      <c r="J67" s="398">
        <f t="shared" si="2"/>
        <v>45</v>
      </c>
      <c r="K67" s="386"/>
      <c r="L67" s="69"/>
    </row>
    <row r="68" spans="1:12" ht="15" customHeight="1" x14ac:dyDescent="0.25">
      <c r="A68" s="391">
        <f t="shared" si="1"/>
        <v>46</v>
      </c>
      <c r="B68" s="411" t="s">
        <v>796</v>
      </c>
      <c r="C68" s="407"/>
      <c r="D68" s="399">
        <v>0</v>
      </c>
      <c r="E68" s="400">
        <v>-7386.6900000000014</v>
      </c>
      <c r="F68" s="399">
        <f t="shared" si="0"/>
        <v>0</v>
      </c>
      <c r="G68" s="401">
        <f t="shared" si="0"/>
        <v>7386.6900000000014</v>
      </c>
      <c r="H68" s="402">
        <v>0</v>
      </c>
      <c r="I68" s="400"/>
      <c r="J68" s="398">
        <f t="shared" si="2"/>
        <v>46</v>
      </c>
      <c r="K68" s="386"/>
      <c r="L68" s="69"/>
    </row>
    <row r="69" spans="1:12" ht="15" customHeight="1" x14ac:dyDescent="0.25">
      <c r="A69" s="391">
        <f t="shared" si="1"/>
        <v>47</v>
      </c>
      <c r="B69" s="392" t="s">
        <v>797</v>
      </c>
      <c r="C69" s="393"/>
      <c r="D69" s="399">
        <v>0</v>
      </c>
      <c r="E69" s="400">
        <v>7351.9</v>
      </c>
      <c r="F69" s="399">
        <f t="shared" ref="F69:G84" si="3">+H69-D69</f>
        <v>0</v>
      </c>
      <c r="G69" s="401">
        <f t="shared" si="3"/>
        <v>-7351.9</v>
      </c>
      <c r="H69" s="402">
        <v>0</v>
      </c>
      <c r="I69" s="400"/>
      <c r="J69" s="398">
        <f t="shared" si="2"/>
        <v>47</v>
      </c>
      <c r="K69" s="386"/>
      <c r="L69" s="69"/>
    </row>
    <row r="70" spans="1:12" ht="15" customHeight="1" x14ac:dyDescent="0.25">
      <c r="A70" s="391">
        <f t="shared" si="1"/>
        <v>48</v>
      </c>
      <c r="B70" s="411" t="s">
        <v>798</v>
      </c>
      <c r="C70" s="407"/>
      <c r="D70" s="399">
        <v>0</v>
      </c>
      <c r="E70" s="400">
        <v>873.99</v>
      </c>
      <c r="F70" s="399">
        <f t="shared" si="3"/>
        <v>0</v>
      </c>
      <c r="G70" s="401">
        <f t="shared" si="3"/>
        <v>-873.99</v>
      </c>
      <c r="H70" s="402">
        <v>0</v>
      </c>
      <c r="I70" s="400"/>
      <c r="J70" s="398">
        <f t="shared" si="2"/>
        <v>48</v>
      </c>
      <c r="K70" s="386"/>
      <c r="L70" s="69"/>
    </row>
    <row r="71" spans="1:12" ht="15" customHeight="1" x14ac:dyDescent="0.25">
      <c r="A71" s="391">
        <f t="shared" si="1"/>
        <v>49</v>
      </c>
      <c r="B71" s="411" t="s">
        <v>988</v>
      </c>
      <c r="C71" s="407"/>
      <c r="D71" s="399">
        <v>0</v>
      </c>
      <c r="E71" s="400">
        <v>14733.56</v>
      </c>
      <c r="F71" s="399">
        <f t="shared" si="3"/>
        <v>0</v>
      </c>
      <c r="G71" s="401">
        <f t="shared" si="3"/>
        <v>0</v>
      </c>
      <c r="H71" s="402">
        <v>0</v>
      </c>
      <c r="I71" s="400">
        <v>14733.56</v>
      </c>
      <c r="J71" s="398">
        <f t="shared" si="2"/>
        <v>49</v>
      </c>
      <c r="K71" s="386"/>
      <c r="L71" s="69"/>
    </row>
    <row r="72" spans="1:12" ht="15" customHeight="1" x14ac:dyDescent="0.25">
      <c r="A72" s="391">
        <f t="shared" si="1"/>
        <v>50</v>
      </c>
      <c r="B72" s="411" t="s">
        <v>942</v>
      </c>
      <c r="C72" s="407"/>
      <c r="D72" s="399">
        <v>0</v>
      </c>
      <c r="E72" s="400">
        <v>2962.25</v>
      </c>
      <c r="F72" s="399">
        <f t="shared" si="3"/>
        <v>0</v>
      </c>
      <c r="G72" s="401">
        <f t="shared" si="3"/>
        <v>0</v>
      </c>
      <c r="H72" s="402">
        <v>0</v>
      </c>
      <c r="I72" s="400">
        <v>2962.25</v>
      </c>
      <c r="J72" s="398">
        <f t="shared" si="2"/>
        <v>50</v>
      </c>
      <c r="K72" s="386"/>
      <c r="L72" s="69"/>
    </row>
    <row r="73" spans="1:12" ht="15" customHeight="1" x14ac:dyDescent="0.25">
      <c r="A73" s="391">
        <f t="shared" si="1"/>
        <v>51</v>
      </c>
      <c r="B73" s="392" t="s">
        <v>870</v>
      </c>
      <c r="C73" s="393"/>
      <c r="D73" s="399">
        <v>0</v>
      </c>
      <c r="E73" s="400">
        <v>138999.96</v>
      </c>
      <c r="F73" s="399">
        <f t="shared" si="3"/>
        <v>0</v>
      </c>
      <c r="G73" s="401">
        <f t="shared" si="3"/>
        <v>0</v>
      </c>
      <c r="H73" s="402">
        <v>0</v>
      </c>
      <c r="I73" s="400">
        <v>138999.96</v>
      </c>
      <c r="J73" s="398">
        <f t="shared" si="2"/>
        <v>51</v>
      </c>
      <c r="K73" s="386"/>
      <c r="L73" s="69"/>
    </row>
    <row r="74" spans="1:12" ht="15" customHeight="1" x14ac:dyDescent="0.25">
      <c r="A74" s="391">
        <f t="shared" si="1"/>
        <v>52</v>
      </c>
      <c r="B74" s="392" t="s">
        <v>943</v>
      </c>
      <c r="C74" s="393"/>
      <c r="D74" s="399">
        <v>0</v>
      </c>
      <c r="E74" s="400">
        <v>-62358.41</v>
      </c>
      <c r="F74" s="399">
        <f>+H74-D74</f>
        <v>0</v>
      </c>
      <c r="G74" s="401">
        <f t="shared" si="3"/>
        <v>0</v>
      </c>
      <c r="H74" s="402">
        <v>0</v>
      </c>
      <c r="I74" s="408">
        <v>-62358.41</v>
      </c>
      <c r="J74" s="398">
        <f t="shared" si="2"/>
        <v>52</v>
      </c>
      <c r="K74" s="386"/>
      <c r="L74" s="69"/>
    </row>
    <row r="75" spans="1:12" ht="15" customHeight="1" x14ac:dyDescent="0.25">
      <c r="A75" s="391">
        <f t="shared" si="1"/>
        <v>53</v>
      </c>
      <c r="B75" s="392" t="s">
        <v>1032</v>
      </c>
      <c r="C75" s="393"/>
      <c r="D75" s="399">
        <v>0</v>
      </c>
      <c r="E75" s="400">
        <v>-53136</v>
      </c>
      <c r="F75" s="399">
        <f t="shared" ref="F75:G89" si="4">+H75-D75</f>
        <v>0</v>
      </c>
      <c r="G75" s="401">
        <f t="shared" si="3"/>
        <v>53136</v>
      </c>
      <c r="H75" s="402">
        <v>0</v>
      </c>
      <c r="I75" s="400"/>
      <c r="J75" s="398">
        <f t="shared" si="2"/>
        <v>53</v>
      </c>
      <c r="K75" s="386"/>
      <c r="L75" s="69"/>
    </row>
    <row r="76" spans="1:12" ht="15" customHeight="1" x14ac:dyDescent="0.25">
      <c r="A76" s="391">
        <f t="shared" si="1"/>
        <v>54</v>
      </c>
      <c r="B76" s="392" t="s">
        <v>1033</v>
      </c>
      <c r="C76" s="393"/>
      <c r="D76" s="399">
        <v>0</v>
      </c>
      <c r="E76" s="400">
        <v>0</v>
      </c>
      <c r="F76" s="399">
        <f t="shared" si="4"/>
        <v>0</v>
      </c>
      <c r="G76" s="401">
        <f t="shared" si="3"/>
        <v>45269.280000000006</v>
      </c>
      <c r="H76" s="402">
        <v>0</v>
      </c>
      <c r="I76" s="400">
        <v>45269.280000000006</v>
      </c>
      <c r="J76" s="398">
        <f t="shared" si="2"/>
        <v>54</v>
      </c>
      <c r="K76" s="386"/>
      <c r="L76" s="69"/>
    </row>
    <row r="77" spans="1:12" ht="15" customHeight="1" x14ac:dyDescent="0.25">
      <c r="A77" s="391">
        <f t="shared" si="1"/>
        <v>55</v>
      </c>
      <c r="B77" s="392" t="s">
        <v>1034</v>
      </c>
      <c r="C77" s="393"/>
      <c r="D77" s="399">
        <v>0</v>
      </c>
      <c r="E77" s="400">
        <v>293794.14</v>
      </c>
      <c r="F77" s="399">
        <f t="shared" si="4"/>
        <v>0</v>
      </c>
      <c r="G77" s="401">
        <f t="shared" si="3"/>
        <v>-92094.210000000021</v>
      </c>
      <c r="H77" s="402">
        <v>0</v>
      </c>
      <c r="I77" s="400">
        <v>201699.93</v>
      </c>
      <c r="J77" s="398">
        <f t="shared" si="2"/>
        <v>55</v>
      </c>
      <c r="K77" s="386"/>
      <c r="L77" s="69"/>
    </row>
    <row r="78" spans="1:12" ht="15" customHeight="1" x14ac:dyDescent="0.25">
      <c r="A78" s="391">
        <f t="shared" si="1"/>
        <v>56</v>
      </c>
      <c r="B78" s="392" t="s">
        <v>1256</v>
      </c>
      <c r="C78" s="393"/>
      <c r="D78" s="399">
        <v>0</v>
      </c>
      <c r="E78" s="400">
        <v>902247.32000000007</v>
      </c>
      <c r="F78" s="399">
        <f t="shared" si="4"/>
        <v>0</v>
      </c>
      <c r="G78" s="401">
        <f t="shared" si="3"/>
        <v>-185409.90000000002</v>
      </c>
      <c r="H78" s="402">
        <v>0</v>
      </c>
      <c r="I78" s="408">
        <v>716837.42</v>
      </c>
      <c r="J78" s="398">
        <f t="shared" si="2"/>
        <v>56</v>
      </c>
      <c r="K78" s="386"/>
      <c r="L78" s="69"/>
    </row>
    <row r="79" spans="1:12" ht="15" customHeight="1" x14ac:dyDescent="0.25">
      <c r="A79" s="391">
        <f t="shared" si="1"/>
        <v>57</v>
      </c>
      <c r="B79" s="392" t="s">
        <v>1257</v>
      </c>
      <c r="C79" s="393"/>
      <c r="D79" s="399">
        <v>0</v>
      </c>
      <c r="E79" s="400">
        <v>708965.4</v>
      </c>
      <c r="F79" s="399">
        <f t="shared" si="4"/>
        <v>0</v>
      </c>
      <c r="G79" s="401">
        <f t="shared" si="3"/>
        <v>-708965.4</v>
      </c>
      <c r="H79" s="402">
        <v>0</v>
      </c>
      <c r="I79" s="400"/>
      <c r="J79" s="398">
        <f t="shared" si="2"/>
        <v>57</v>
      </c>
      <c r="K79" s="386"/>
      <c r="L79" s="69"/>
    </row>
    <row r="80" spans="1:12" ht="15" customHeight="1" x14ac:dyDescent="0.25">
      <c r="A80" s="391">
        <f t="shared" si="1"/>
        <v>58</v>
      </c>
      <c r="B80" s="392"/>
      <c r="C80" s="393"/>
      <c r="D80" s="399">
        <v>0</v>
      </c>
      <c r="E80" s="400"/>
      <c r="F80" s="399">
        <f t="shared" si="4"/>
        <v>0</v>
      </c>
      <c r="G80" s="401">
        <f t="shared" si="3"/>
        <v>0</v>
      </c>
      <c r="H80" s="402">
        <v>0</v>
      </c>
      <c r="I80" s="400"/>
      <c r="J80" s="398">
        <f t="shared" si="2"/>
        <v>58</v>
      </c>
      <c r="K80" s="386"/>
      <c r="L80" s="69"/>
    </row>
    <row r="81" spans="1:12" ht="15" customHeight="1" x14ac:dyDescent="0.25">
      <c r="A81" s="391">
        <f t="shared" si="1"/>
        <v>59</v>
      </c>
      <c r="B81" s="392"/>
      <c r="C81" s="393"/>
      <c r="D81" s="399">
        <v>0</v>
      </c>
      <c r="E81" s="400"/>
      <c r="F81" s="399">
        <f>+H81-D81</f>
        <v>0</v>
      </c>
      <c r="G81" s="401">
        <f t="shared" si="3"/>
        <v>0</v>
      </c>
      <c r="H81" s="402">
        <v>0</v>
      </c>
      <c r="I81" s="400"/>
      <c r="J81" s="398">
        <f t="shared" si="2"/>
        <v>59</v>
      </c>
      <c r="K81" s="386"/>
      <c r="L81" s="69"/>
    </row>
    <row r="82" spans="1:12" ht="15" customHeight="1" x14ac:dyDescent="0.25">
      <c r="A82" s="391">
        <f t="shared" si="1"/>
        <v>60</v>
      </c>
      <c r="B82" s="392"/>
      <c r="C82" s="393"/>
      <c r="D82" s="399">
        <v>0</v>
      </c>
      <c r="E82" s="400"/>
      <c r="F82" s="399">
        <f t="shared" si="4"/>
        <v>0</v>
      </c>
      <c r="G82" s="401">
        <f t="shared" si="3"/>
        <v>0</v>
      </c>
      <c r="H82" s="402">
        <v>0</v>
      </c>
      <c r="I82" s="400"/>
      <c r="J82" s="398">
        <f t="shared" si="2"/>
        <v>60</v>
      </c>
      <c r="K82" s="386"/>
      <c r="L82" s="69"/>
    </row>
    <row r="83" spans="1:12" ht="18" customHeight="1" x14ac:dyDescent="0.25">
      <c r="A83" s="391">
        <f t="shared" si="1"/>
        <v>61</v>
      </c>
      <c r="B83" s="392"/>
      <c r="C83" s="393"/>
      <c r="D83" s="399">
        <v>0</v>
      </c>
      <c r="E83" s="400"/>
      <c r="F83" s="399">
        <f t="shared" si="4"/>
        <v>0</v>
      </c>
      <c r="G83" s="401">
        <f t="shared" si="3"/>
        <v>0</v>
      </c>
      <c r="H83" s="402">
        <v>0</v>
      </c>
      <c r="I83" s="400"/>
      <c r="J83" s="398">
        <f t="shared" si="2"/>
        <v>61</v>
      </c>
      <c r="K83" s="386"/>
      <c r="L83" s="69"/>
    </row>
    <row r="84" spans="1:12" ht="15" customHeight="1" x14ac:dyDescent="0.25">
      <c r="A84" s="391">
        <f t="shared" si="1"/>
        <v>62</v>
      </c>
      <c r="B84" s="392"/>
      <c r="C84" s="393"/>
      <c r="D84" s="399">
        <v>0</v>
      </c>
      <c r="E84" s="400"/>
      <c r="F84" s="399">
        <f t="shared" si="4"/>
        <v>0</v>
      </c>
      <c r="G84" s="401">
        <f t="shared" si="3"/>
        <v>0</v>
      </c>
      <c r="H84" s="402">
        <v>0</v>
      </c>
      <c r="I84" s="400"/>
      <c r="J84" s="398">
        <f t="shared" si="2"/>
        <v>62</v>
      </c>
      <c r="K84" s="386"/>
      <c r="L84" s="69"/>
    </row>
    <row r="85" spans="1:12" ht="15" customHeight="1" x14ac:dyDescent="0.25">
      <c r="A85" s="391">
        <f t="shared" si="1"/>
        <v>63</v>
      </c>
      <c r="B85" s="392"/>
      <c r="C85" s="393"/>
      <c r="D85" s="399">
        <v>0</v>
      </c>
      <c r="E85" s="400"/>
      <c r="F85" s="399">
        <f t="shared" si="4"/>
        <v>0</v>
      </c>
      <c r="G85" s="401">
        <f t="shared" si="4"/>
        <v>0</v>
      </c>
      <c r="H85" s="402">
        <v>0</v>
      </c>
      <c r="I85" s="400"/>
      <c r="J85" s="398">
        <f t="shared" si="2"/>
        <v>63</v>
      </c>
      <c r="K85" s="386"/>
      <c r="L85" s="69"/>
    </row>
    <row r="86" spans="1:12" ht="15" customHeight="1" x14ac:dyDescent="0.25">
      <c r="A86" s="391">
        <f t="shared" si="1"/>
        <v>64</v>
      </c>
      <c r="B86" s="392"/>
      <c r="C86" s="393"/>
      <c r="D86" s="399">
        <v>0</v>
      </c>
      <c r="E86" s="400"/>
      <c r="F86" s="399">
        <f t="shared" si="4"/>
        <v>0</v>
      </c>
      <c r="G86" s="401">
        <f t="shared" si="4"/>
        <v>0</v>
      </c>
      <c r="H86" s="402"/>
      <c r="I86" s="400"/>
      <c r="J86" s="398">
        <f t="shared" si="2"/>
        <v>64</v>
      </c>
      <c r="K86" s="386"/>
      <c r="L86" s="69"/>
    </row>
    <row r="87" spans="1:12" ht="15" customHeight="1" x14ac:dyDescent="0.25">
      <c r="A87" s="391">
        <f t="shared" si="1"/>
        <v>65</v>
      </c>
      <c r="B87" s="392"/>
      <c r="C87" s="393"/>
      <c r="D87" s="399">
        <v>0</v>
      </c>
      <c r="E87" s="400"/>
      <c r="F87" s="399">
        <f t="shared" si="4"/>
        <v>0</v>
      </c>
      <c r="G87" s="401">
        <f t="shared" si="4"/>
        <v>0</v>
      </c>
      <c r="H87" s="402">
        <v>0</v>
      </c>
      <c r="I87" s="400"/>
      <c r="J87" s="398">
        <f t="shared" si="2"/>
        <v>65</v>
      </c>
      <c r="K87" s="386"/>
      <c r="L87" s="69"/>
    </row>
    <row r="88" spans="1:12" ht="15" customHeight="1" x14ac:dyDescent="0.25">
      <c r="A88" s="391">
        <f t="shared" ref="A88:A95" si="5">1+A87</f>
        <v>66</v>
      </c>
      <c r="B88" s="393"/>
      <c r="C88" s="393"/>
      <c r="D88" s="399">
        <v>0</v>
      </c>
      <c r="E88" s="400"/>
      <c r="F88" s="399">
        <f t="shared" si="4"/>
        <v>0</v>
      </c>
      <c r="G88" s="401">
        <f t="shared" si="4"/>
        <v>0</v>
      </c>
      <c r="H88" s="402"/>
      <c r="I88" s="400"/>
      <c r="J88" s="398">
        <f t="shared" si="2"/>
        <v>66</v>
      </c>
      <c r="K88" s="386"/>
      <c r="L88" s="69"/>
    </row>
    <row r="89" spans="1:12" ht="15" customHeight="1" thickBot="1" x14ac:dyDescent="0.3">
      <c r="A89" s="391">
        <f t="shared" si="5"/>
        <v>67</v>
      </c>
      <c r="B89" s="407"/>
      <c r="C89" s="407"/>
      <c r="D89" s="412"/>
      <c r="E89" s="401"/>
      <c r="F89" s="399">
        <f t="shared" si="4"/>
        <v>0</v>
      </c>
      <c r="G89" s="401">
        <f t="shared" si="4"/>
        <v>0</v>
      </c>
      <c r="H89" s="413"/>
      <c r="I89" s="414"/>
      <c r="J89" s="398">
        <f t="shared" si="2"/>
        <v>67</v>
      </c>
      <c r="K89" s="386"/>
      <c r="L89" s="69"/>
    </row>
    <row r="90" spans="1:12" ht="15" customHeight="1" thickBot="1" x14ac:dyDescent="0.3">
      <c r="A90" s="391">
        <f t="shared" si="5"/>
        <v>68</v>
      </c>
      <c r="B90" s="415" t="s">
        <v>129</v>
      </c>
      <c r="C90" s="416"/>
      <c r="D90" s="417">
        <f t="shared" ref="D90:I90" si="6">+SUM(D23:D89)</f>
        <v>558110.79991688405</v>
      </c>
      <c r="E90" s="418">
        <f t="shared" si="6"/>
        <v>45257490.838730007</v>
      </c>
      <c r="F90" s="417">
        <f t="shared" si="6"/>
        <v>-29626.87858617281</v>
      </c>
      <c r="G90" s="418">
        <f t="shared" si="6"/>
        <v>-1112156.4560221538</v>
      </c>
      <c r="H90" s="419">
        <f t="shared" si="6"/>
        <v>528483.92133071134</v>
      </c>
      <c r="I90" s="420">
        <f t="shared" si="6"/>
        <v>44145334.382707857</v>
      </c>
      <c r="J90" s="398">
        <f t="shared" si="2"/>
        <v>68</v>
      </c>
      <c r="K90" s="386"/>
      <c r="L90" s="69"/>
    </row>
    <row r="91" spans="1:12" ht="15" customHeight="1" thickBot="1" x14ac:dyDescent="0.3">
      <c r="A91" s="391">
        <f t="shared" si="5"/>
        <v>69</v>
      </c>
      <c r="B91" s="407" t="s">
        <v>799</v>
      </c>
      <c r="C91" s="421" t="s">
        <v>130</v>
      </c>
      <c r="D91" s="422">
        <v>-58056.05</v>
      </c>
      <c r="E91" s="423">
        <v>-1504955.51</v>
      </c>
      <c r="F91" s="422">
        <f t="shared" ref="F91:G94" si="7">+H91-D91</f>
        <v>28056.050000000003</v>
      </c>
      <c r="G91" s="423">
        <f t="shared" si="7"/>
        <v>-212179.49</v>
      </c>
      <c r="H91" s="424">
        <v>-30000</v>
      </c>
      <c r="I91" s="425">
        <v>-1717135</v>
      </c>
      <c r="J91" s="398">
        <f t="shared" si="2"/>
        <v>69</v>
      </c>
      <c r="K91" s="386"/>
      <c r="L91" s="69"/>
    </row>
    <row r="92" spans="1:12" ht="15" customHeight="1" thickBot="1" x14ac:dyDescent="0.3">
      <c r="A92" s="391">
        <f t="shared" si="5"/>
        <v>70</v>
      </c>
      <c r="B92" s="407"/>
      <c r="C92" s="407"/>
      <c r="D92" s="426"/>
      <c r="E92" s="427"/>
      <c r="F92" s="426"/>
      <c r="G92" s="427"/>
      <c r="H92" s="426"/>
      <c r="I92" s="425"/>
      <c r="J92" s="398">
        <f t="shared" si="2"/>
        <v>70</v>
      </c>
      <c r="K92" s="386"/>
      <c r="L92" s="69"/>
    </row>
    <row r="93" spans="1:12" ht="15" customHeight="1" x14ac:dyDescent="0.25">
      <c r="A93" s="391">
        <f t="shared" si="5"/>
        <v>71</v>
      </c>
      <c r="B93" s="428" t="s">
        <v>131</v>
      </c>
      <c r="C93" s="429"/>
      <c r="D93" s="430">
        <f>+D92+D91</f>
        <v>-58056.05</v>
      </c>
      <c r="E93" s="431">
        <f>+E92+E91</f>
        <v>-1504955.51</v>
      </c>
      <c r="F93" s="430">
        <f t="shared" si="7"/>
        <v>28056.050000000003</v>
      </c>
      <c r="G93" s="431">
        <f t="shared" si="7"/>
        <v>-212179.49</v>
      </c>
      <c r="H93" s="424">
        <f>+H92+H91</f>
        <v>-30000</v>
      </c>
      <c r="I93" s="431">
        <f>+I92+I91</f>
        <v>-1717135</v>
      </c>
      <c r="J93" s="398">
        <f t="shared" si="2"/>
        <v>71</v>
      </c>
      <c r="K93" s="386"/>
      <c r="L93" s="69"/>
    </row>
    <row r="94" spans="1:12" ht="15" customHeight="1" x14ac:dyDescent="0.25">
      <c r="A94" s="391">
        <f t="shared" si="5"/>
        <v>72</v>
      </c>
      <c r="B94" s="428" t="s">
        <v>683</v>
      </c>
      <c r="C94" s="429"/>
      <c r="D94" s="405"/>
      <c r="E94" s="432">
        <v>-4728766</v>
      </c>
      <c r="F94" s="405">
        <f t="shared" si="7"/>
        <v>0</v>
      </c>
      <c r="G94" s="432">
        <f t="shared" si="7"/>
        <v>501467.73890578467</v>
      </c>
      <c r="H94" s="433"/>
      <c r="I94" s="434">
        <v>-4227298.2610942153</v>
      </c>
      <c r="J94" s="398">
        <f>+A94</f>
        <v>72</v>
      </c>
      <c r="K94" s="386"/>
      <c r="L94" s="69"/>
    </row>
    <row r="95" spans="1:12" ht="15" customHeight="1" thickBot="1" x14ac:dyDescent="0.3">
      <c r="A95" s="391">
        <f t="shared" si="5"/>
        <v>73</v>
      </c>
      <c r="B95" s="428" t="s">
        <v>132</v>
      </c>
      <c r="C95" s="429"/>
      <c r="D95" s="435">
        <f>+D90+D93</f>
        <v>500054.74991688406</v>
      </c>
      <c r="E95" s="436">
        <f>+E90+E93+E94</f>
        <v>39023769.328730009</v>
      </c>
      <c r="F95" s="435">
        <f>+F90-F93</f>
        <v>-57682.928586172813</v>
      </c>
      <c r="G95" s="436">
        <f>+G90+G93+G94</f>
        <v>-822868.20711636916</v>
      </c>
      <c r="H95" s="437">
        <f>+H90+H93</f>
        <v>498483.92133071134</v>
      </c>
      <c r="I95" s="436">
        <f>+I90+I93+I94</f>
        <v>38200901.121613644</v>
      </c>
      <c r="J95" s="398">
        <f>+A95</f>
        <v>73</v>
      </c>
      <c r="K95" s="386"/>
      <c r="L95" s="69"/>
    </row>
    <row r="96" spans="1:12" ht="45" customHeight="1" x14ac:dyDescent="0.25">
      <c r="A96" s="69"/>
      <c r="B96" s="69"/>
      <c r="C96" s="69"/>
      <c r="D96" s="69"/>
      <c r="E96" s="69"/>
      <c r="F96" s="69"/>
      <c r="G96" s="69"/>
      <c r="H96" s="69"/>
      <c r="I96" s="69"/>
      <c r="J96" s="69"/>
      <c r="K96" s="69"/>
      <c r="L96" s="69"/>
    </row>
  </sheetData>
  <mergeCells count="6">
    <mergeCell ref="J21:J22"/>
    <mergeCell ref="A21:A22"/>
    <mergeCell ref="B21:C22"/>
    <mergeCell ref="D21:E21"/>
    <mergeCell ref="F21:G21"/>
    <mergeCell ref="H21:I21"/>
  </mergeCells>
  <phoneticPr fontId="6" type="noConversion"/>
  <pageMargins left="0.49" right="0.26" top="0.33" bottom="0.37" header="0.11" footer="0.25"/>
  <pageSetup scale="49" orientation="portrait" horizontalDpi="300" verticalDpi="300" r:id="rId1"/>
  <headerFooter alignWithMargins="0">
    <oddHeader>&amp;C&amp;"Arial,Bold"&amp;8
&amp;R&amp;A</oddHeader>
    <oddFooter>&amp;L&amp;8&amp;Z&amp;F&amp;A&amp;R&amp;8&amp;T &amp;D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L62"/>
  <sheetViews>
    <sheetView showGridLines="0" zoomScale="80" zoomScaleNormal="80" workbookViewId="0"/>
  </sheetViews>
  <sheetFormatPr defaultColWidth="8" defaultRowHeight="15" x14ac:dyDescent="0.25"/>
  <cols>
    <col min="1" max="1" width="9.08984375" style="267" customWidth="1"/>
    <col min="2" max="2" width="21.453125" style="267" customWidth="1"/>
    <col min="3" max="3" width="13.90625" style="267" customWidth="1"/>
    <col min="4" max="6" width="12.453125" style="267" customWidth="1"/>
    <col min="7" max="7" width="48.54296875" style="267" customWidth="1"/>
    <col min="8" max="8" width="8" style="267" customWidth="1"/>
    <col min="9" max="9" width="10.54296875" style="267" bestFit="1" customWidth="1"/>
    <col min="10" max="10" width="8.36328125" style="267" customWidth="1"/>
    <col min="11" max="11" width="8" style="267" customWidth="1"/>
    <col min="13" max="13" width="8" style="267" customWidth="1"/>
    <col min="14" max="14" width="9.08984375" style="267" customWidth="1"/>
    <col min="15" max="17" width="8" style="267" customWidth="1"/>
    <col min="18" max="18" width="11" style="267" bestFit="1" customWidth="1"/>
    <col min="19" max="16384" width="8" style="267"/>
  </cols>
  <sheetData>
    <row r="1" spans="1:11" x14ac:dyDescent="0.25">
      <c r="A1" s="66" t="s">
        <v>882</v>
      </c>
      <c r="B1" s="59"/>
      <c r="C1" s="59"/>
      <c r="D1" s="59"/>
      <c r="E1" s="59"/>
      <c r="F1" s="59"/>
      <c r="G1" s="59"/>
      <c r="H1" s="69"/>
      <c r="I1" s="59"/>
      <c r="J1" s="59"/>
      <c r="K1" s="59"/>
    </row>
    <row r="2" spans="1:11" x14ac:dyDescent="0.25">
      <c r="A2" s="66" t="s">
        <v>273</v>
      </c>
      <c r="B2" s="59"/>
      <c r="C2" s="59"/>
      <c r="D2" s="59"/>
      <c r="E2" s="59"/>
      <c r="F2" s="59"/>
      <c r="G2" s="59"/>
      <c r="H2" s="69"/>
    </row>
    <row r="3" spans="1:11" x14ac:dyDescent="0.25">
      <c r="A3" s="66" t="s">
        <v>1084</v>
      </c>
      <c r="B3" s="67"/>
      <c r="C3" s="110"/>
      <c r="D3" s="59"/>
      <c r="E3" s="59"/>
      <c r="F3" s="59"/>
      <c r="G3" s="59"/>
      <c r="H3" s="69"/>
      <c r="I3" s="33"/>
      <c r="J3" s="33"/>
      <c r="K3" s="33"/>
    </row>
    <row r="4" spans="1:11" x14ac:dyDescent="0.25">
      <c r="A4" s="59"/>
      <c r="B4" s="59"/>
      <c r="C4" s="59"/>
      <c r="D4" s="59"/>
      <c r="E4" s="59"/>
      <c r="F4" s="59"/>
      <c r="G4" s="59"/>
      <c r="H4" s="69"/>
      <c r="I4" s="33"/>
      <c r="J4" s="33"/>
      <c r="K4" s="33"/>
    </row>
    <row r="5" spans="1:11" x14ac:dyDescent="0.25">
      <c r="A5" s="59"/>
      <c r="C5" s="59"/>
      <c r="D5" s="59"/>
      <c r="E5" s="59"/>
      <c r="F5" s="59"/>
      <c r="G5" s="59"/>
      <c r="H5" s="69"/>
      <c r="I5" s="33"/>
      <c r="J5" s="33"/>
      <c r="K5" s="33"/>
    </row>
    <row r="6" spans="1:11" x14ac:dyDescent="0.25">
      <c r="A6" s="107" t="s">
        <v>860</v>
      </c>
      <c r="B6" s="133"/>
      <c r="C6" s="59"/>
      <c r="D6" s="98"/>
      <c r="E6" s="98"/>
      <c r="F6" s="98"/>
      <c r="G6" s="59"/>
      <c r="H6" s="69"/>
      <c r="I6" s="33"/>
      <c r="J6" s="33"/>
      <c r="K6" s="33"/>
    </row>
    <row r="7" spans="1:11" x14ac:dyDescent="0.25">
      <c r="A7" s="59"/>
      <c r="B7" s="59"/>
      <c r="C7" s="59"/>
      <c r="D7" s="108" t="s">
        <v>299</v>
      </c>
      <c r="E7" s="108" t="s">
        <v>146</v>
      </c>
      <c r="F7" s="108" t="str">
        <f>+'S1 VEC Master Summary'!E4</f>
        <v>ADJ Test Year</v>
      </c>
      <c r="G7" s="67"/>
      <c r="H7" s="69"/>
      <c r="I7" s="33"/>
      <c r="J7" s="33"/>
      <c r="K7" s="33"/>
    </row>
    <row r="8" spans="1:11" x14ac:dyDescent="0.25">
      <c r="A8" s="132" t="s">
        <v>72</v>
      </c>
      <c r="B8" s="132" t="s">
        <v>53</v>
      </c>
      <c r="C8" s="134"/>
      <c r="D8" s="109" t="str">
        <f>+'S1 VEC Master Summary'!C5</f>
        <v>7/1/23-6/30/24</v>
      </c>
      <c r="E8" s="109" t="s">
        <v>147</v>
      </c>
      <c r="F8" s="109">
        <f>+'S1 VEC Master Summary'!E5</f>
        <v>2025</v>
      </c>
      <c r="G8" s="135" t="s">
        <v>54</v>
      </c>
      <c r="H8" s="69"/>
      <c r="I8" s="33"/>
      <c r="J8" s="33"/>
      <c r="K8" s="33"/>
    </row>
    <row r="9" spans="1:11" x14ac:dyDescent="0.25">
      <c r="A9" s="132"/>
      <c r="B9" s="132"/>
      <c r="C9" s="134"/>
      <c r="D9" s="135"/>
      <c r="E9" s="135"/>
      <c r="F9" s="135"/>
      <c r="G9" s="67"/>
      <c r="H9" s="69"/>
      <c r="I9" s="33"/>
      <c r="J9" s="33"/>
      <c r="K9" s="33"/>
    </row>
    <row r="10" spans="1:11" x14ac:dyDescent="0.25">
      <c r="A10" s="59" t="s">
        <v>17</v>
      </c>
      <c r="B10" s="59" t="s">
        <v>764</v>
      </c>
      <c r="C10" s="59"/>
      <c r="D10" s="38">
        <f>+'S6A Total Payroll by Function'!C8</f>
        <v>964969.10055478185</v>
      </c>
      <c r="E10" s="38">
        <f>+F10-D10</f>
        <v>35973.52705155767</v>
      </c>
      <c r="F10" s="38">
        <f>+'S6A Total Payroll by Function'!E8</f>
        <v>1000942.6276063395</v>
      </c>
      <c r="G10" s="114" t="s">
        <v>231</v>
      </c>
      <c r="H10" s="69"/>
      <c r="I10" s="33"/>
      <c r="J10" s="33"/>
      <c r="K10" s="33"/>
    </row>
    <row r="11" spans="1:11" x14ac:dyDescent="0.25">
      <c r="A11" s="132"/>
      <c r="B11" s="132"/>
      <c r="C11" s="134"/>
      <c r="D11" s="38"/>
      <c r="E11" s="38"/>
      <c r="F11" s="38"/>
      <c r="G11" s="114"/>
      <c r="H11" s="69"/>
      <c r="I11" s="33"/>
      <c r="J11" s="33"/>
      <c r="K11" s="33"/>
    </row>
    <row r="12" spans="1:11" x14ac:dyDescent="0.25">
      <c r="A12" s="59" t="s">
        <v>17</v>
      </c>
      <c r="B12" s="59" t="s">
        <v>1091</v>
      </c>
      <c r="C12" s="134"/>
      <c r="D12" s="38">
        <f>'S7B Transportation'!B19</f>
        <v>9817</v>
      </c>
      <c r="E12" s="38">
        <f>+F12-D12</f>
        <v>1599</v>
      </c>
      <c r="F12" s="38">
        <f>'S7B Transportation'!F19</f>
        <v>11416</v>
      </c>
      <c r="G12" s="239" t="s">
        <v>1143</v>
      </c>
      <c r="H12" s="69"/>
      <c r="I12" s="33"/>
      <c r="J12" s="33"/>
      <c r="K12" s="33"/>
    </row>
    <row r="13" spans="1:11" x14ac:dyDescent="0.25">
      <c r="A13" s="132"/>
      <c r="B13" s="132"/>
      <c r="C13" s="134"/>
      <c r="D13" s="38"/>
      <c r="E13" s="38"/>
      <c r="F13" s="38"/>
      <c r="G13" s="239"/>
      <c r="H13" s="69"/>
      <c r="I13" s="33"/>
      <c r="J13" s="33"/>
      <c r="K13" s="33"/>
    </row>
    <row r="14" spans="1:11" x14ac:dyDescent="0.25">
      <c r="A14" s="59" t="s">
        <v>17</v>
      </c>
      <c r="B14" s="59" t="s">
        <v>1035</v>
      </c>
      <c r="C14" s="134"/>
      <c r="D14" s="38">
        <f>+'S7A Information Technology'!B22</f>
        <v>55760.79</v>
      </c>
      <c r="E14" s="38">
        <f>+F14-D14</f>
        <v>6878.5032383333382</v>
      </c>
      <c r="F14" s="38">
        <f>+'S7A Information Technology'!F22</f>
        <v>62639.293238333339</v>
      </c>
      <c r="G14" s="114" t="s">
        <v>1145</v>
      </c>
      <c r="H14" s="69"/>
      <c r="I14" s="33"/>
      <c r="J14" s="33"/>
      <c r="K14" s="33"/>
    </row>
    <row r="15" spans="1:11" x14ac:dyDescent="0.25">
      <c r="A15" s="132"/>
      <c r="B15" s="132"/>
      <c r="C15" s="134"/>
      <c r="D15" s="38"/>
      <c r="E15" s="38"/>
      <c r="F15" s="38"/>
      <c r="G15" s="114"/>
      <c r="H15" s="69"/>
      <c r="I15" s="33"/>
      <c r="J15" s="33"/>
      <c r="K15" s="33"/>
    </row>
    <row r="16" spans="1:11" x14ac:dyDescent="0.25">
      <c r="A16" s="168">
        <f>+'S12 Chart of Accts Trial Bal.'!A45</f>
        <v>563.99</v>
      </c>
      <c r="B16" s="168" t="str">
        <f>+'S12 Chart of Accts Trial Bal.'!B45</f>
        <v>O/H LINE EXP-TRANSM - PROP TAX</v>
      </c>
      <c r="C16" s="140"/>
      <c r="D16" s="38">
        <f>+'S6 Admin &amp; Gen'!G43</f>
        <v>326525.94151366205</v>
      </c>
      <c r="E16" s="38">
        <f>+F16-D16</f>
        <v>100120.89896576182</v>
      </c>
      <c r="F16" s="38">
        <f>+'S6 Admin &amp; Gen'!I43</f>
        <v>426646.84047942387</v>
      </c>
      <c r="G16" s="294" t="s">
        <v>1052</v>
      </c>
      <c r="H16" s="69"/>
      <c r="I16" s="33"/>
      <c r="J16" s="33"/>
      <c r="K16" s="33"/>
    </row>
    <row r="17" spans="1:11" x14ac:dyDescent="0.25">
      <c r="A17" s="168"/>
      <c r="B17" s="168"/>
      <c r="C17" s="140"/>
      <c r="D17" s="38"/>
      <c r="E17" s="38"/>
      <c r="F17" s="38"/>
      <c r="G17" s="98"/>
      <c r="H17" s="69"/>
      <c r="I17" s="33"/>
      <c r="J17" s="33"/>
      <c r="K17" s="33"/>
    </row>
    <row r="18" spans="1:11" x14ac:dyDescent="0.25">
      <c r="A18" s="168">
        <f>+'S12 Chart of Accts Trial Bal.'!A46</f>
        <v>565</v>
      </c>
      <c r="B18" s="168" t="str">
        <f>+'S12 Chart of Accts Trial Bal.'!B46</f>
        <v>TRANSMISSION BY OTHERS</v>
      </c>
      <c r="C18" s="140"/>
      <c r="D18" s="38">
        <f>+'S12 Chart of Accts Trial Bal.'!C46</f>
        <v>14252777.140000001</v>
      </c>
      <c r="E18" s="38">
        <f>+F18-D18</f>
        <v>2224907.8599999994</v>
      </c>
      <c r="F18" s="302">
        <f>F47</f>
        <v>16477685</v>
      </c>
      <c r="G18" s="98" t="s">
        <v>22</v>
      </c>
      <c r="H18" s="69"/>
      <c r="I18" s="33"/>
      <c r="J18" s="33"/>
      <c r="K18" s="33"/>
    </row>
    <row r="19" spans="1:11" x14ac:dyDescent="0.25">
      <c r="A19" s="168">
        <f>+'S12 Chart of Accts Trial Bal.'!A47</f>
        <v>565.1</v>
      </c>
      <c r="B19" s="168" t="str">
        <f>+'S12 Chart of Accts Trial Bal.'!B47</f>
        <v>TRANSM. BY OTHERS-CZN TARIFF</v>
      </c>
      <c r="C19" s="140"/>
      <c r="D19" s="38">
        <f>+'S12 Chart of Accts Trial Bal.'!C47</f>
        <v>536738.91</v>
      </c>
      <c r="E19" s="38">
        <f>+F19-D19</f>
        <v>23633.089999999967</v>
      </c>
      <c r="F19" s="302">
        <f>F52</f>
        <v>560372</v>
      </c>
      <c r="G19" s="98" t="s">
        <v>22</v>
      </c>
      <c r="H19" s="69"/>
      <c r="I19" s="33"/>
      <c r="J19" s="33"/>
      <c r="K19" s="33"/>
    </row>
    <row r="20" spans="1:11" x14ac:dyDescent="0.25">
      <c r="A20" s="168">
        <f>+'S12 Chart of Accts Trial Bal.'!A49</f>
        <v>565.4</v>
      </c>
      <c r="B20" s="168" t="str">
        <f>+'S12 Chart of Accts Trial Bal.'!B49</f>
        <v>TRANSM. BY OTHERS-METALLIC</v>
      </c>
      <c r="C20" s="140"/>
      <c r="D20" s="97">
        <f>+'S12 Chart of Accts Trial Bal.'!C49</f>
        <v>59915.48</v>
      </c>
      <c r="E20" s="97">
        <f>+F20-D20</f>
        <v>28053.519999999997</v>
      </c>
      <c r="F20" s="303">
        <f>F54</f>
        <v>87969</v>
      </c>
      <c r="G20" s="98" t="s">
        <v>22</v>
      </c>
      <c r="H20" s="69"/>
      <c r="I20" s="33"/>
      <c r="J20" s="33"/>
      <c r="K20" s="33"/>
    </row>
    <row r="21" spans="1:11" x14ac:dyDescent="0.25">
      <c r="A21" s="140"/>
      <c r="B21" s="281" t="s">
        <v>765</v>
      </c>
      <c r="C21" s="157"/>
      <c r="D21" s="38">
        <f>SUM(D18:D20)</f>
        <v>14849431.530000001</v>
      </c>
      <c r="E21" s="38">
        <f>SUM(E18:E20)</f>
        <v>2276594.4699999993</v>
      </c>
      <c r="F21" s="38">
        <f>SUM(F18:F20)</f>
        <v>17126026</v>
      </c>
      <c r="G21" s="114"/>
      <c r="H21" s="69"/>
      <c r="I21" s="33"/>
      <c r="J21" s="33"/>
      <c r="K21" s="33"/>
    </row>
    <row r="22" spans="1:11" x14ac:dyDescent="0.25">
      <c r="A22" s="140"/>
      <c r="B22" s="281"/>
      <c r="C22" s="157"/>
      <c r="D22" s="38"/>
      <c r="E22" s="38"/>
      <c r="F22" s="38"/>
      <c r="G22" s="257"/>
      <c r="H22" s="69"/>
      <c r="I22" s="33"/>
      <c r="J22" s="33"/>
      <c r="K22" s="33"/>
    </row>
    <row r="23" spans="1:11" ht="15.6" thickBot="1" x14ac:dyDescent="0.3">
      <c r="A23" s="121" t="s">
        <v>1002</v>
      </c>
      <c r="B23" s="140"/>
      <c r="C23" s="140"/>
      <c r="D23" s="224">
        <f>SUM(D10:D22)-D21</f>
        <v>16206504.362068444</v>
      </c>
      <c r="E23" s="224">
        <f>SUM(E10:E22)-E21</f>
        <v>2421166.3992556515</v>
      </c>
      <c r="F23" s="224">
        <f>SUM(F10:F22)-F21</f>
        <v>18627670.761324093</v>
      </c>
      <c r="G23" s="114"/>
      <c r="H23" s="69"/>
    </row>
    <row r="24" spans="1:11" ht="15.6" thickTop="1" x14ac:dyDescent="0.25">
      <c r="A24" s="139"/>
      <c r="B24" s="140"/>
      <c r="C24" s="140"/>
      <c r="D24" s="158"/>
      <c r="E24" s="159"/>
      <c r="F24" s="160"/>
      <c r="G24" s="114"/>
      <c r="H24" s="69"/>
    </row>
    <row r="25" spans="1:11" ht="15.6" x14ac:dyDescent="0.3">
      <c r="A25" s="139"/>
      <c r="B25" s="200"/>
      <c r="C25" s="140"/>
      <c r="D25" s="158"/>
      <c r="E25" s="159"/>
      <c r="F25" s="160"/>
      <c r="G25" s="114"/>
      <c r="H25" s="69"/>
    </row>
    <row r="26" spans="1:11" x14ac:dyDescent="0.25">
      <c r="A26" s="322" t="s">
        <v>154</v>
      </c>
      <c r="B26" s="170"/>
      <c r="C26" s="170"/>
      <c r="D26" s="171"/>
      <c r="E26" s="172"/>
      <c r="F26" s="173"/>
      <c r="G26" s="221"/>
      <c r="H26" s="69"/>
    </row>
    <row r="27" spans="1:11" x14ac:dyDescent="0.25">
      <c r="A27" s="170"/>
      <c r="B27" s="171"/>
      <c r="C27" s="174"/>
      <c r="D27" s="175" t="s">
        <v>299</v>
      </c>
      <c r="E27" s="175" t="s">
        <v>146</v>
      </c>
      <c r="F27" s="175" t="str">
        <f>+F7</f>
        <v>ADJ Test Year</v>
      </c>
      <c r="G27" s="222"/>
      <c r="H27" s="69"/>
    </row>
    <row r="28" spans="1:11" ht="18.600000000000001" x14ac:dyDescent="0.55000000000000004">
      <c r="A28" s="282" t="s">
        <v>257</v>
      </c>
      <c r="B28" s="282" t="s">
        <v>258</v>
      </c>
      <c r="C28" s="177"/>
      <c r="D28" s="178" t="str">
        <f>+D8</f>
        <v>7/1/23-6/30/24</v>
      </c>
      <c r="E28" s="178" t="s">
        <v>147</v>
      </c>
      <c r="F28" s="178">
        <f>+F8</f>
        <v>2025</v>
      </c>
      <c r="G28" s="223"/>
      <c r="H28" s="69"/>
    </row>
    <row r="29" spans="1:11" x14ac:dyDescent="0.25">
      <c r="A29" s="283"/>
      <c r="B29" s="284" t="s">
        <v>260</v>
      </c>
      <c r="C29" s="285"/>
      <c r="D29" s="180">
        <v>9856</v>
      </c>
      <c r="E29" s="180">
        <f>+F29-D29</f>
        <v>3220</v>
      </c>
      <c r="F29" s="180">
        <v>13076</v>
      </c>
      <c r="G29" s="222"/>
      <c r="H29" s="69"/>
    </row>
    <row r="30" spans="1:11" x14ac:dyDescent="0.25">
      <c r="A30" s="283"/>
      <c r="B30" s="284" t="s">
        <v>261</v>
      </c>
      <c r="C30" s="285"/>
      <c r="D30" s="189">
        <v>153029</v>
      </c>
      <c r="E30" s="189">
        <f t="shared" ref="E30:E54" si="0">+F30-D30</f>
        <v>115152</v>
      </c>
      <c r="F30" s="180">
        <v>268181</v>
      </c>
      <c r="G30" s="222"/>
      <c r="H30" s="69"/>
    </row>
    <row r="31" spans="1:11" x14ac:dyDescent="0.25">
      <c r="A31" s="283"/>
      <c r="B31" s="288" t="s">
        <v>133</v>
      </c>
      <c r="C31" s="285"/>
      <c r="D31" s="189">
        <f>3748526-83381</f>
        <v>3665145</v>
      </c>
      <c r="E31" s="189">
        <f t="shared" si="0"/>
        <v>556128</v>
      </c>
      <c r="F31" s="180">
        <v>4221273</v>
      </c>
      <c r="G31" s="98" t="s">
        <v>831</v>
      </c>
      <c r="H31" s="69"/>
    </row>
    <row r="32" spans="1:11" ht="16.8" x14ac:dyDescent="0.4">
      <c r="A32" s="287"/>
      <c r="B32" s="288"/>
      <c r="C32" s="285"/>
      <c r="D32" s="182"/>
      <c r="E32" s="182"/>
      <c r="F32" s="182"/>
      <c r="G32" s="59"/>
      <c r="H32" s="69"/>
    </row>
    <row r="33" spans="1:9" ht="16.8" x14ac:dyDescent="0.4">
      <c r="A33" s="287"/>
      <c r="B33" s="288"/>
      <c r="C33" s="285"/>
      <c r="D33" s="182"/>
      <c r="E33" s="182"/>
      <c r="F33" s="182"/>
      <c r="G33" s="176"/>
      <c r="H33" s="69"/>
    </row>
    <row r="34" spans="1:9" x14ac:dyDescent="0.25">
      <c r="A34" s="283"/>
      <c r="B34" s="286" t="s">
        <v>779</v>
      </c>
      <c r="C34" s="285"/>
      <c r="D34" s="180">
        <f>8393937+342319</f>
        <v>8736256</v>
      </c>
      <c r="E34" s="180">
        <f t="shared" si="0"/>
        <v>1362962</v>
      </c>
      <c r="F34" s="180">
        <v>10099218</v>
      </c>
      <c r="G34" s="98" t="s">
        <v>1089</v>
      </c>
      <c r="H34" s="69"/>
    </row>
    <row r="35" spans="1:9" x14ac:dyDescent="0.25">
      <c r="A35" s="283"/>
      <c r="B35" s="286" t="s">
        <v>1048</v>
      </c>
      <c r="C35" s="285"/>
      <c r="D35" s="180">
        <v>53901</v>
      </c>
      <c r="E35" s="180">
        <f t="shared" si="0"/>
        <v>3051</v>
      </c>
      <c r="F35" s="180">
        <v>56952</v>
      </c>
      <c r="G35" s="176"/>
      <c r="H35" s="69"/>
    </row>
    <row r="36" spans="1:9" ht="16.8" x14ac:dyDescent="0.4">
      <c r="A36" s="283"/>
      <c r="B36" s="286" t="s">
        <v>1049</v>
      </c>
      <c r="C36" s="285"/>
      <c r="D36" s="181">
        <v>82091</v>
      </c>
      <c r="E36" s="181">
        <f t="shared" si="0"/>
        <v>-5138</v>
      </c>
      <c r="F36" s="181">
        <v>76953</v>
      </c>
      <c r="G36" s="219"/>
      <c r="H36" s="69"/>
    </row>
    <row r="37" spans="1:9" ht="16.8" x14ac:dyDescent="0.4">
      <c r="A37" s="283"/>
      <c r="B37" s="288" t="s">
        <v>780</v>
      </c>
      <c r="C37" s="289"/>
      <c r="D37" s="182">
        <f>SUM(D34:D36)</f>
        <v>8872248</v>
      </c>
      <c r="E37" s="182">
        <f t="shared" si="0"/>
        <v>1360875</v>
      </c>
      <c r="F37" s="182">
        <f>SUM(F34:F36)</f>
        <v>10233123</v>
      </c>
      <c r="G37" s="220"/>
      <c r="H37" s="69"/>
    </row>
    <row r="38" spans="1:9" x14ac:dyDescent="0.25">
      <c r="A38" s="283"/>
      <c r="B38" s="286"/>
      <c r="C38" s="289"/>
      <c r="D38" s="180"/>
      <c r="E38" s="180"/>
      <c r="F38" s="180"/>
      <c r="G38" s="176"/>
      <c r="H38" s="69"/>
    </row>
    <row r="39" spans="1:9" x14ac:dyDescent="0.25">
      <c r="A39" s="283"/>
      <c r="B39" s="286" t="s">
        <v>781</v>
      </c>
      <c r="C39" s="289"/>
      <c r="D39" s="180">
        <v>161185</v>
      </c>
      <c r="E39" s="180">
        <f t="shared" si="0"/>
        <v>-34265</v>
      </c>
      <c r="F39" s="180">
        <v>126920</v>
      </c>
      <c r="G39" s="176"/>
      <c r="H39" s="69"/>
    </row>
    <row r="40" spans="1:9" ht="16.8" x14ac:dyDescent="0.4">
      <c r="A40" s="283"/>
      <c r="B40" s="286" t="s">
        <v>782</v>
      </c>
      <c r="C40" s="289"/>
      <c r="D40" s="180">
        <f>244702+7385</f>
        <v>252087</v>
      </c>
      <c r="E40" s="180">
        <f t="shared" si="0"/>
        <v>48960</v>
      </c>
      <c r="F40" s="180">
        <v>301047</v>
      </c>
      <c r="G40" s="179"/>
      <c r="H40" s="69"/>
    </row>
    <row r="41" spans="1:9" ht="16.8" x14ac:dyDescent="0.4">
      <c r="A41" s="283"/>
      <c r="B41" s="286" t="s">
        <v>783</v>
      </c>
      <c r="C41" s="289"/>
      <c r="D41" s="181">
        <v>235899</v>
      </c>
      <c r="E41" s="181">
        <f t="shared" si="0"/>
        <v>47161</v>
      </c>
      <c r="F41" s="181">
        <v>283060</v>
      </c>
      <c r="G41" s="220"/>
      <c r="H41" s="69"/>
    </row>
    <row r="42" spans="1:9" ht="16.8" x14ac:dyDescent="0.4">
      <c r="A42" s="283"/>
      <c r="B42" s="284" t="s">
        <v>784</v>
      </c>
      <c r="C42" s="289"/>
      <c r="D42" s="182">
        <f>SUM(D39:D41)</f>
        <v>649171</v>
      </c>
      <c r="E42" s="182">
        <f t="shared" si="0"/>
        <v>61856</v>
      </c>
      <c r="F42" s="182">
        <f>SUM(F39:F41)</f>
        <v>711027</v>
      </c>
      <c r="G42" s="176"/>
      <c r="H42" s="69"/>
    </row>
    <row r="43" spans="1:9" ht="16.8" x14ac:dyDescent="0.4">
      <c r="A43" s="283"/>
      <c r="B43" s="284"/>
      <c r="C43" s="289"/>
      <c r="D43" s="182"/>
      <c r="E43" s="182"/>
      <c r="F43" s="182"/>
      <c r="G43" s="176"/>
      <c r="H43" s="69"/>
    </row>
    <row r="44" spans="1:9" x14ac:dyDescent="0.25">
      <c r="A44" s="283"/>
      <c r="B44" s="67" t="s">
        <v>785</v>
      </c>
      <c r="C44" s="289"/>
      <c r="D44" s="180">
        <v>42642</v>
      </c>
      <c r="E44" s="180">
        <f t="shared" si="0"/>
        <v>138</v>
      </c>
      <c r="F44" s="180">
        <v>42780</v>
      </c>
      <c r="G44" s="176"/>
      <c r="H44" s="69"/>
    </row>
    <row r="45" spans="1:9" ht="16.8" x14ac:dyDescent="0.4">
      <c r="A45" s="283"/>
      <c r="B45" s="284" t="s">
        <v>262</v>
      </c>
      <c r="C45" s="289"/>
      <c r="D45" s="181">
        <v>860687</v>
      </c>
      <c r="E45" s="181">
        <f t="shared" si="0"/>
        <v>127538</v>
      </c>
      <c r="F45" s="181">
        <v>988225</v>
      </c>
      <c r="G45" s="98" t="s">
        <v>1083</v>
      </c>
      <c r="H45" s="69"/>
    </row>
    <row r="46" spans="1:9" ht="16.8" x14ac:dyDescent="0.4">
      <c r="A46" s="283"/>
      <c r="B46" s="284"/>
      <c r="C46" s="289"/>
      <c r="D46" s="180"/>
      <c r="E46" s="180"/>
      <c r="F46" s="180"/>
      <c r="G46" s="184"/>
      <c r="H46" s="69"/>
    </row>
    <row r="47" spans="1:9" ht="16.8" x14ac:dyDescent="0.4">
      <c r="A47" s="290">
        <v>565</v>
      </c>
      <c r="B47" s="291" t="s">
        <v>35</v>
      </c>
      <c r="C47" s="185"/>
      <c r="D47" s="186">
        <f>D29+D30+D31+D37+D42+D44+D45</f>
        <v>14252778</v>
      </c>
      <c r="E47" s="186">
        <f t="shared" si="0"/>
        <v>2224907</v>
      </c>
      <c r="F47" s="186">
        <f>F29+F30+F31+F37+F42+F44+F45</f>
        <v>16477685</v>
      </c>
      <c r="G47" s="176"/>
      <c r="H47" s="69"/>
      <c r="I47" s="299"/>
    </row>
    <row r="48" spans="1:9" ht="16.8" x14ac:dyDescent="0.4">
      <c r="A48" s="290"/>
      <c r="B48" s="291"/>
      <c r="C48" s="185"/>
      <c r="D48" s="186"/>
      <c r="E48" s="186"/>
      <c r="F48" s="186"/>
      <c r="G48" s="176"/>
      <c r="H48" s="69"/>
    </row>
    <row r="49" spans="1:12" x14ac:dyDescent="0.25">
      <c r="A49" s="283"/>
      <c r="B49" s="286" t="s">
        <v>36</v>
      </c>
      <c r="C49" s="289"/>
      <c r="D49" s="180">
        <v>13851</v>
      </c>
      <c r="E49" s="180">
        <f t="shared" si="0"/>
        <v>4715</v>
      </c>
      <c r="F49" s="180">
        <v>18566</v>
      </c>
      <c r="G49" s="176"/>
      <c r="H49" s="69"/>
    </row>
    <row r="50" spans="1:12" x14ac:dyDescent="0.25">
      <c r="A50" s="283"/>
      <c r="B50" s="286" t="s">
        <v>37</v>
      </c>
      <c r="C50" s="289"/>
      <c r="D50" s="180">
        <v>491623</v>
      </c>
      <c r="E50" s="180">
        <f t="shared" si="0"/>
        <v>-18</v>
      </c>
      <c r="F50" s="180">
        <v>491605</v>
      </c>
      <c r="G50" s="176"/>
      <c r="H50" s="69"/>
    </row>
    <row r="51" spans="1:12" ht="16.8" x14ac:dyDescent="0.4">
      <c r="A51" s="283"/>
      <c r="B51" s="286" t="s">
        <v>263</v>
      </c>
      <c r="C51" s="289"/>
      <c r="D51" s="183">
        <f>33672-2407</f>
        <v>31265</v>
      </c>
      <c r="E51" s="183">
        <f t="shared" si="0"/>
        <v>18936</v>
      </c>
      <c r="F51" s="183">
        <v>50201</v>
      </c>
      <c r="G51" s="184"/>
      <c r="H51" s="69"/>
    </row>
    <row r="52" spans="1:12" ht="16.8" x14ac:dyDescent="0.4">
      <c r="A52" s="290">
        <v>565.1</v>
      </c>
      <c r="B52" s="291" t="s">
        <v>55</v>
      </c>
      <c r="C52" s="292"/>
      <c r="D52" s="186">
        <f>SUM(D49:D51)</f>
        <v>536739</v>
      </c>
      <c r="E52" s="186">
        <f t="shared" si="0"/>
        <v>23633</v>
      </c>
      <c r="F52" s="186">
        <f>SUM(F49:F51)</f>
        <v>560372</v>
      </c>
      <c r="G52" s="184"/>
      <c r="H52" s="69"/>
    </row>
    <row r="53" spans="1:12" ht="16.8" x14ac:dyDescent="0.4">
      <c r="A53" s="290"/>
      <c r="B53" s="291"/>
      <c r="C53" s="292"/>
      <c r="D53" s="186"/>
      <c r="E53" s="186"/>
      <c r="F53" s="186"/>
      <c r="G53" s="184"/>
      <c r="H53" s="69"/>
    </row>
    <row r="54" spans="1:12" ht="16.8" x14ac:dyDescent="0.4">
      <c r="A54" s="290">
        <v>565.4</v>
      </c>
      <c r="B54" s="291" t="s">
        <v>235</v>
      </c>
      <c r="C54" s="292"/>
      <c r="D54" s="186">
        <v>59915</v>
      </c>
      <c r="E54" s="186">
        <f t="shared" si="0"/>
        <v>28054</v>
      </c>
      <c r="F54" s="186">
        <v>87969</v>
      </c>
      <c r="G54" s="184"/>
      <c r="H54" s="69"/>
    </row>
    <row r="55" spans="1:12" ht="16.8" x14ac:dyDescent="0.4">
      <c r="A55" s="290"/>
      <c r="B55" s="291"/>
      <c r="C55" s="292"/>
      <c r="D55" s="186"/>
      <c r="E55" s="186"/>
      <c r="F55" s="186"/>
      <c r="G55" s="184"/>
      <c r="H55" s="69"/>
    </row>
    <row r="56" spans="1:12" ht="16.8" x14ac:dyDescent="0.4">
      <c r="A56" s="290" t="s">
        <v>38</v>
      </c>
      <c r="B56" s="291" t="s">
        <v>39</v>
      </c>
      <c r="C56" s="292"/>
      <c r="D56" s="186">
        <f>SUM(D47+D52+D54)</f>
        <v>14849432</v>
      </c>
      <c r="E56" s="186">
        <f>+F56-D56</f>
        <v>2276594</v>
      </c>
      <c r="F56" s="186">
        <f>SUM(F47+F52+F54)</f>
        <v>17126026</v>
      </c>
      <c r="G56" s="184"/>
      <c r="H56" s="69"/>
    </row>
    <row r="57" spans="1:12" ht="16.8" x14ac:dyDescent="0.4">
      <c r="A57" s="290"/>
      <c r="B57" s="291"/>
      <c r="C57" s="292"/>
      <c r="D57" s="186"/>
      <c r="E57" s="187"/>
      <c r="F57" s="188"/>
      <c r="G57" s="184"/>
      <c r="H57" s="69"/>
    </row>
    <row r="58" spans="1:12" ht="16.8" x14ac:dyDescent="0.4">
      <c r="A58" s="290"/>
      <c r="B58" s="291"/>
      <c r="C58" s="292"/>
      <c r="D58" s="186"/>
      <c r="E58" s="187"/>
      <c r="F58" s="188"/>
      <c r="G58" s="184"/>
      <c r="H58" s="69"/>
    </row>
    <row r="59" spans="1:12" x14ac:dyDescent="0.25">
      <c r="A59" s="140"/>
      <c r="B59" s="140"/>
      <c r="C59" s="140"/>
      <c r="D59" s="140"/>
      <c r="E59" s="137"/>
      <c r="F59" s="138"/>
      <c r="G59" s="67"/>
      <c r="H59" s="69"/>
    </row>
    <row r="60" spans="1:12" x14ac:dyDescent="0.25">
      <c r="A60" s="140"/>
      <c r="B60" s="140"/>
      <c r="C60" s="140"/>
      <c r="D60" s="140"/>
      <c r="E60" s="137"/>
      <c r="F60" s="138"/>
      <c r="G60" s="67"/>
      <c r="H60" s="69"/>
    </row>
    <row r="61" spans="1:12" ht="49.95" customHeight="1" x14ac:dyDescent="0.25">
      <c r="A61" s="69"/>
      <c r="B61" s="69"/>
      <c r="C61" s="69"/>
      <c r="D61" s="69"/>
      <c r="E61" s="69"/>
      <c r="F61" s="69"/>
      <c r="G61" s="69"/>
      <c r="H61" s="69"/>
      <c r="L61" s="267"/>
    </row>
    <row r="62" spans="1:12" ht="13.2" x14ac:dyDescent="0.25">
      <c r="L62" s="267"/>
    </row>
  </sheetData>
  <sheetProtection sort="0" pivotTables="0"/>
  <phoneticPr fontId="6" type="noConversion"/>
  <pageMargins left="0.56999999999999995" right="0.51" top="0.57999999999999996" bottom="0.37" header="0.11" footer="0.25"/>
  <pageSetup scale="59" orientation="portrait" horizontalDpi="4294967295" verticalDpi="4294967295" r:id="rId1"/>
  <headerFooter alignWithMargins="0">
    <oddHeader>&amp;R&amp;A</oddHeader>
    <oddFooter>&amp;L&amp;8&amp;Z&amp;F&amp;A&amp;R&amp;8&amp;T &amp;D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M78"/>
  <sheetViews>
    <sheetView showGridLines="0" zoomScale="90" zoomScaleNormal="90" workbookViewId="0"/>
  </sheetViews>
  <sheetFormatPr defaultColWidth="8" defaultRowHeight="13.2" x14ac:dyDescent="0.25"/>
  <cols>
    <col min="1" max="1" width="12.08984375" style="53" customWidth="1"/>
    <col min="2" max="2" width="9.81640625" style="53" customWidth="1"/>
    <col min="3" max="3" width="8" style="53" customWidth="1"/>
    <col min="4" max="4" width="9.1796875" style="53" customWidth="1"/>
    <col min="5" max="5" width="8" style="53" customWidth="1"/>
    <col min="6" max="6" width="15" style="53" customWidth="1"/>
    <col min="7" max="7" width="12.1796875" style="53" bestFit="1" customWidth="1"/>
    <col min="8" max="8" width="10.54296875" style="53" customWidth="1"/>
    <col min="9" max="9" width="12.6328125" style="53" bestFit="1" customWidth="1"/>
    <col min="10" max="10" width="5.08984375" style="53" customWidth="1"/>
    <col min="11" max="11" width="37.1796875" style="53" customWidth="1"/>
    <col min="12" max="12" width="9.81640625" style="53" customWidth="1"/>
    <col min="13" max="16384" width="8" style="53"/>
  </cols>
  <sheetData>
    <row r="1" spans="1:13" x14ac:dyDescent="0.25">
      <c r="A1" s="66" t="s">
        <v>882</v>
      </c>
      <c r="B1" s="52"/>
      <c r="C1" s="52"/>
      <c r="D1" s="52"/>
      <c r="E1" s="52"/>
      <c r="F1" s="52"/>
      <c r="G1" s="52"/>
      <c r="H1" s="52"/>
      <c r="I1" s="52"/>
      <c r="J1" s="52"/>
      <c r="K1" s="52"/>
      <c r="M1" s="5"/>
    </row>
    <row r="2" spans="1:13" x14ac:dyDescent="0.25">
      <c r="A2" s="66" t="s">
        <v>274</v>
      </c>
      <c r="B2" s="52"/>
      <c r="C2" s="52"/>
      <c r="D2" s="52"/>
      <c r="E2" s="52"/>
      <c r="F2" s="52"/>
      <c r="G2" s="52"/>
      <c r="M2" s="5"/>
    </row>
    <row r="3" spans="1:13" x14ac:dyDescent="0.25">
      <c r="A3" s="66" t="s">
        <v>989</v>
      </c>
      <c r="C3" s="51"/>
      <c r="D3" s="52"/>
      <c r="E3" s="52"/>
      <c r="F3" s="52"/>
      <c r="G3" s="52"/>
      <c r="H3" s="52"/>
      <c r="I3" s="52"/>
      <c r="J3" s="52"/>
      <c r="M3" s="5"/>
    </row>
    <row r="4" spans="1:13" ht="22.95" customHeight="1" x14ac:dyDescent="0.25">
      <c r="A4" s="52"/>
      <c r="B4" s="52"/>
      <c r="C4" s="52"/>
      <c r="D4" s="52"/>
      <c r="E4" s="52"/>
      <c r="F4" s="52"/>
      <c r="G4" s="52"/>
      <c r="H4" s="52"/>
      <c r="I4" s="52"/>
      <c r="J4" s="52"/>
      <c r="M4" s="5"/>
    </row>
    <row r="5" spans="1:13" x14ac:dyDescent="0.25">
      <c r="A5" s="52"/>
      <c r="B5" s="52"/>
      <c r="C5" s="52"/>
      <c r="D5" s="52"/>
      <c r="E5" s="52"/>
      <c r="F5" s="52"/>
      <c r="G5" s="52"/>
      <c r="H5" s="52"/>
      <c r="I5" s="52"/>
      <c r="J5" s="52"/>
      <c r="M5" s="5"/>
    </row>
    <row r="6" spans="1:13" x14ac:dyDescent="0.25">
      <c r="A6" s="52"/>
      <c r="B6" s="52"/>
      <c r="C6" s="52"/>
      <c r="D6" s="52"/>
      <c r="E6" s="52"/>
      <c r="F6" s="52"/>
      <c r="G6" s="108" t="s">
        <v>299</v>
      </c>
      <c r="H6" s="108" t="s">
        <v>146</v>
      </c>
      <c r="I6" s="108" t="str">
        <f>+'S1 VEC Master Summary'!E4</f>
        <v>ADJ Test Year</v>
      </c>
      <c r="J6" s="108"/>
      <c r="M6" s="5"/>
    </row>
    <row r="7" spans="1:13" x14ac:dyDescent="0.25">
      <c r="A7" s="107" t="s">
        <v>72</v>
      </c>
      <c r="B7" s="107" t="s">
        <v>59</v>
      </c>
      <c r="C7" s="106"/>
      <c r="D7" s="106"/>
      <c r="E7" s="62"/>
      <c r="F7" s="57"/>
      <c r="G7" s="109" t="str">
        <f>+'S1 VEC Master Summary'!C5</f>
        <v>7/1/23-6/30/24</v>
      </c>
      <c r="H7" s="109" t="s">
        <v>147</v>
      </c>
      <c r="I7" s="109">
        <f>+'S1 VEC Master Summary'!E5</f>
        <v>2025</v>
      </c>
      <c r="J7" s="109"/>
      <c r="K7" s="109" t="s">
        <v>54</v>
      </c>
      <c r="M7" s="5"/>
    </row>
    <row r="8" spans="1:13" x14ac:dyDescent="0.25">
      <c r="A8" s="52"/>
      <c r="B8" s="52"/>
      <c r="C8" s="52"/>
      <c r="D8" s="56"/>
      <c r="E8" s="57"/>
      <c r="F8" s="57"/>
      <c r="H8" s="52"/>
      <c r="M8" s="5"/>
    </row>
    <row r="9" spans="1:13" x14ac:dyDescent="0.25">
      <c r="A9" s="52" t="s">
        <v>17</v>
      </c>
      <c r="B9" s="59" t="s">
        <v>764</v>
      </c>
      <c r="C9" s="52"/>
      <c r="D9" s="52"/>
      <c r="E9" s="52"/>
      <c r="F9" s="52"/>
      <c r="G9" s="38">
        <f>+'S6A Total Payroll by Function'!C10</f>
        <v>5346465.7184941107</v>
      </c>
      <c r="H9" s="38">
        <f>+I9-G9</f>
        <v>-180147.7666825708</v>
      </c>
      <c r="I9" s="38">
        <f>+'S6A Total Payroll by Function'!E10</f>
        <v>5166317.9518115399</v>
      </c>
      <c r="J9" s="38"/>
      <c r="K9" s="261" t="s">
        <v>231</v>
      </c>
      <c r="M9" s="5"/>
    </row>
    <row r="10" spans="1:13" x14ac:dyDescent="0.25">
      <c r="A10" s="52"/>
      <c r="B10" s="52"/>
      <c r="C10" s="52"/>
      <c r="D10" s="52"/>
      <c r="E10" s="52"/>
      <c r="F10" s="52"/>
      <c r="G10" s="61"/>
      <c r="I10" s="54"/>
      <c r="J10" s="54"/>
      <c r="K10" s="261"/>
      <c r="M10" s="5"/>
    </row>
    <row r="11" spans="1:13" ht="15" x14ac:dyDescent="0.25">
      <c r="A11" s="59" t="s">
        <v>17</v>
      </c>
      <c r="B11" s="59" t="s">
        <v>1091</v>
      </c>
      <c r="C11" s="134"/>
      <c r="D11" s="33"/>
      <c r="E11" s="33"/>
      <c r="F11" s="33"/>
      <c r="G11" s="155">
        <f>'S7B Transportation'!B21</f>
        <v>631828</v>
      </c>
      <c r="H11" s="38">
        <f>+I11-G11</f>
        <v>77690</v>
      </c>
      <c r="I11" s="38">
        <f>'S7B Transportation'!F21</f>
        <v>709518</v>
      </c>
      <c r="J11" s="38"/>
      <c r="K11" s="296" t="s">
        <v>1138</v>
      </c>
      <c r="M11" s="5"/>
    </row>
    <row r="12" spans="1:13" x14ac:dyDescent="0.25">
      <c r="A12" s="52"/>
      <c r="B12" s="52"/>
      <c r="C12" s="52"/>
      <c r="D12" s="52"/>
      <c r="E12" s="52"/>
      <c r="F12" s="52"/>
      <c r="G12" s="61"/>
      <c r="I12" s="54"/>
      <c r="J12" s="54"/>
      <c r="K12" s="261"/>
      <c r="M12" s="5"/>
    </row>
    <row r="13" spans="1:13" x14ac:dyDescent="0.25">
      <c r="A13" s="95" t="s">
        <v>142</v>
      </c>
      <c r="B13" s="59" t="s">
        <v>1126</v>
      </c>
      <c r="C13" s="52"/>
      <c r="D13" s="52"/>
      <c r="E13" s="52"/>
      <c r="F13" s="52"/>
      <c r="G13" s="155">
        <f>178052+26356</f>
        <v>204408</v>
      </c>
      <c r="H13" s="79">
        <f>+I13-G13</f>
        <v>478213</v>
      </c>
      <c r="I13" s="79">
        <f>363211+319410</f>
        <v>682621</v>
      </c>
      <c r="J13" s="79"/>
      <c r="K13" s="296" t="s">
        <v>1139</v>
      </c>
      <c r="L13" s="267"/>
      <c r="M13" s="5"/>
    </row>
    <row r="14" spans="1:13" ht="15" x14ac:dyDescent="0.25">
      <c r="A14" s="95"/>
      <c r="B14" s="59" t="s">
        <v>1127</v>
      </c>
      <c r="C14" s="52"/>
      <c r="D14" s="52"/>
      <c r="E14" s="52"/>
      <c r="F14" s="52"/>
      <c r="G14" s="155"/>
      <c r="H14" s="521"/>
      <c r="I14" s="79"/>
      <c r="J14" s="79"/>
      <c r="K14" s="296" t="s">
        <v>1140</v>
      </c>
      <c r="L14" s="267"/>
      <c r="M14" s="5"/>
    </row>
    <row r="15" spans="1:13" ht="15" x14ac:dyDescent="0.25">
      <c r="A15" s="52"/>
      <c r="B15" s="52"/>
      <c r="C15" s="52"/>
      <c r="D15" s="52"/>
      <c r="E15" s="52"/>
      <c r="F15" s="52"/>
      <c r="G15" s="61"/>
      <c r="H15" s="521"/>
      <c r="I15" s="54"/>
      <c r="J15" s="54"/>
      <c r="K15" s="261"/>
      <c r="M15" s="5"/>
    </row>
    <row r="16" spans="1:13" x14ac:dyDescent="0.25">
      <c r="A16" s="136" t="s">
        <v>1081</v>
      </c>
      <c r="B16" s="59" t="s">
        <v>1128</v>
      </c>
      <c r="C16" s="52"/>
      <c r="D16" s="52"/>
      <c r="E16" s="52"/>
      <c r="F16" s="52"/>
      <c r="G16" s="38"/>
      <c r="H16" s="38"/>
      <c r="I16" s="38"/>
      <c r="J16" s="38"/>
      <c r="K16" s="262"/>
      <c r="M16" s="5"/>
    </row>
    <row r="17" spans="1:13" x14ac:dyDescent="0.25">
      <c r="A17" s="95"/>
      <c r="B17" s="59" t="s">
        <v>1100</v>
      </c>
      <c r="C17" s="52"/>
      <c r="D17" s="52"/>
      <c r="E17" s="52"/>
      <c r="F17" s="52"/>
      <c r="G17" s="38"/>
      <c r="H17" s="52"/>
      <c r="I17" s="38"/>
      <c r="J17" s="38"/>
      <c r="K17" s="294"/>
      <c r="M17" s="5"/>
    </row>
    <row r="18" spans="1:13" x14ac:dyDescent="0.25">
      <c r="A18" s="95"/>
      <c r="B18" s="52" t="s">
        <v>19</v>
      </c>
      <c r="C18" s="52"/>
      <c r="D18" s="52"/>
      <c r="E18" s="52"/>
      <c r="F18" s="52"/>
      <c r="G18" s="97"/>
      <c r="H18" s="52"/>
      <c r="I18" s="106"/>
      <c r="J18" s="106"/>
      <c r="K18" s="295" t="s">
        <v>760</v>
      </c>
      <c r="M18" s="5"/>
    </row>
    <row r="19" spans="1:13" x14ac:dyDescent="0.25">
      <c r="A19" s="95"/>
      <c r="B19" s="52" t="s">
        <v>276</v>
      </c>
      <c r="C19" s="52"/>
      <c r="D19" s="52"/>
      <c r="E19" s="52"/>
      <c r="F19" s="52"/>
      <c r="G19" s="38">
        <f>+I65</f>
        <v>539020.35</v>
      </c>
      <c r="H19" s="79">
        <f>+I19-G19</f>
        <v>-312220.34999999998</v>
      </c>
      <c r="I19" s="38">
        <f>+I67</f>
        <v>226800</v>
      </c>
      <c r="J19" s="38"/>
      <c r="K19" s="169" t="s">
        <v>1129</v>
      </c>
      <c r="M19" s="5"/>
    </row>
    <row r="20" spans="1:13" x14ac:dyDescent="0.25">
      <c r="A20" s="52"/>
      <c r="B20" s="52"/>
      <c r="C20" s="52"/>
      <c r="D20" s="52"/>
      <c r="E20" s="52"/>
      <c r="F20" s="52"/>
      <c r="G20" s="61"/>
      <c r="H20" s="267"/>
      <c r="I20" s="54"/>
      <c r="J20" s="54"/>
      <c r="K20" s="261"/>
      <c r="M20" s="5"/>
    </row>
    <row r="21" spans="1:13" x14ac:dyDescent="0.25">
      <c r="A21" s="95" t="s">
        <v>21</v>
      </c>
      <c r="B21" s="52" t="s">
        <v>18</v>
      </c>
      <c r="C21" s="52"/>
      <c r="D21" s="52"/>
      <c r="E21" s="52"/>
      <c r="F21" s="52"/>
      <c r="G21" s="52"/>
      <c r="H21" s="59"/>
      <c r="I21" s="54"/>
      <c r="J21" s="54"/>
      <c r="K21" s="261"/>
      <c r="M21" s="5"/>
    </row>
    <row r="22" spans="1:13" x14ac:dyDescent="0.25">
      <c r="A22" s="52"/>
      <c r="B22" s="59" t="s">
        <v>1105</v>
      </c>
      <c r="C22" s="52"/>
      <c r="D22" s="52"/>
      <c r="E22" s="52"/>
      <c r="F22" s="52"/>
      <c r="G22" s="38"/>
      <c r="H22" s="59"/>
      <c r="I22" s="38"/>
      <c r="J22" s="38"/>
      <c r="K22" s="293"/>
      <c r="M22" s="5"/>
    </row>
    <row r="23" spans="1:13" x14ac:dyDescent="0.25">
      <c r="A23" s="52"/>
      <c r="B23" s="52" t="s">
        <v>19</v>
      </c>
      <c r="C23" s="52"/>
      <c r="D23" s="52"/>
      <c r="E23" s="52"/>
      <c r="F23" s="52"/>
      <c r="G23" s="97"/>
      <c r="H23" s="59"/>
      <c r="I23" s="106"/>
      <c r="J23" s="106"/>
      <c r="K23" s="293" t="s">
        <v>760</v>
      </c>
      <c r="M23" s="5"/>
    </row>
    <row r="24" spans="1:13" x14ac:dyDescent="0.25">
      <c r="A24" s="52"/>
      <c r="B24" s="52" t="s">
        <v>276</v>
      </c>
      <c r="C24" s="52"/>
      <c r="D24" s="52"/>
      <c r="E24" s="52"/>
      <c r="F24" s="52"/>
      <c r="G24" s="38">
        <f>+I74</f>
        <v>1404986.32</v>
      </c>
      <c r="H24" s="79">
        <f>+I24-G24</f>
        <v>-730186.32000000007</v>
      </c>
      <c r="I24" s="38">
        <f>+I76</f>
        <v>674800</v>
      </c>
      <c r="J24" s="38"/>
      <c r="K24" s="296" t="s">
        <v>1080</v>
      </c>
      <c r="M24" s="69"/>
    </row>
    <row r="25" spans="1:13" x14ac:dyDescent="0.25">
      <c r="A25" s="52"/>
      <c r="E25" s="52"/>
      <c r="F25" s="52"/>
      <c r="G25" s="52"/>
      <c r="M25" s="5"/>
    </row>
    <row r="26" spans="1:13" x14ac:dyDescent="0.25">
      <c r="A26" s="136" t="s">
        <v>1099</v>
      </c>
      <c r="B26" s="59" t="s">
        <v>1109</v>
      </c>
      <c r="C26" s="59"/>
      <c r="D26" s="59"/>
      <c r="E26" s="59"/>
      <c r="F26" s="59"/>
      <c r="G26" s="79">
        <f>-1192650-137095</f>
        <v>-1329745</v>
      </c>
      <c r="H26" s="79">
        <f>+I26-G26</f>
        <v>1329745</v>
      </c>
      <c r="I26" s="79">
        <v>0</v>
      </c>
      <c r="J26" s="79"/>
      <c r="K26" s="296" t="s">
        <v>1060</v>
      </c>
      <c r="L26" s="267"/>
      <c r="M26" s="5"/>
    </row>
    <row r="27" spans="1:13" x14ac:dyDescent="0.25">
      <c r="A27" s="52"/>
      <c r="B27" s="52"/>
      <c r="C27" s="52"/>
      <c r="D27" s="52"/>
      <c r="E27" s="52"/>
      <c r="F27" s="52"/>
      <c r="G27" s="61"/>
      <c r="I27" s="54"/>
      <c r="J27" s="54"/>
      <c r="K27" s="262"/>
      <c r="M27" s="5"/>
    </row>
    <row r="28" spans="1:13" x14ac:dyDescent="0.25">
      <c r="A28" s="52"/>
      <c r="B28" s="52" t="s">
        <v>319</v>
      </c>
      <c r="C28" s="52"/>
      <c r="D28" s="52"/>
      <c r="E28" s="52"/>
      <c r="F28" s="52"/>
      <c r="G28" s="52"/>
      <c r="H28" s="52"/>
      <c r="K28" s="261"/>
      <c r="M28" s="5"/>
    </row>
    <row r="29" spans="1:13" x14ac:dyDescent="0.25">
      <c r="A29" s="59" t="s">
        <v>918</v>
      </c>
      <c r="B29" s="267" t="s">
        <v>1027</v>
      </c>
      <c r="E29" s="52"/>
      <c r="F29" s="52"/>
      <c r="G29" s="61">
        <v>298473</v>
      </c>
      <c r="H29" s="38">
        <f>+I29-G29</f>
        <v>346639</v>
      </c>
      <c r="I29" s="61">
        <v>645112</v>
      </c>
      <c r="J29" s="61"/>
      <c r="K29" s="262" t="s">
        <v>1130</v>
      </c>
      <c r="M29" s="5"/>
    </row>
    <row r="30" spans="1:13" x14ac:dyDescent="0.25">
      <c r="A30" s="52" t="s">
        <v>20</v>
      </c>
      <c r="B30" s="267" t="s">
        <v>1028</v>
      </c>
      <c r="E30" s="52"/>
      <c r="F30" s="52"/>
      <c r="G30" s="61">
        <v>4776591</v>
      </c>
      <c r="H30" s="38">
        <f>+I30-G30</f>
        <v>-192599</v>
      </c>
      <c r="I30" s="61">
        <v>4583992</v>
      </c>
      <c r="J30" s="61"/>
      <c r="K30" s="262" t="s">
        <v>1131</v>
      </c>
      <c r="L30" s="267"/>
      <c r="M30" s="5"/>
    </row>
    <row r="31" spans="1:13" x14ac:dyDescent="0.25">
      <c r="A31" s="105">
        <v>593.12</v>
      </c>
      <c r="B31" s="59" t="s">
        <v>861</v>
      </c>
      <c r="C31" s="52"/>
      <c r="D31" s="52"/>
      <c r="E31" s="52"/>
      <c r="F31" s="52"/>
      <c r="G31" s="97">
        <v>-593481</v>
      </c>
      <c r="H31" s="97">
        <f>+I31-G31</f>
        <v>171170</v>
      </c>
      <c r="I31" s="97">
        <v>-422311</v>
      </c>
      <c r="J31" s="97"/>
      <c r="K31" s="262" t="s">
        <v>1141</v>
      </c>
      <c r="M31" s="5"/>
    </row>
    <row r="32" spans="1:13" x14ac:dyDescent="0.25">
      <c r="A32" s="95"/>
      <c r="B32" s="52" t="s">
        <v>259</v>
      </c>
      <c r="C32" s="52"/>
      <c r="D32" s="52"/>
      <c r="E32" s="52"/>
      <c r="F32" s="52"/>
      <c r="G32" s="38">
        <f>SUM(G29:G31)</f>
        <v>4481583</v>
      </c>
      <c r="H32" s="120">
        <f>SUM(H29:H31)</f>
        <v>325210</v>
      </c>
      <c r="I32" s="38">
        <f>SUM(I29:I31)</f>
        <v>4806793</v>
      </c>
      <c r="J32" s="38"/>
      <c r="K32" s="296" t="s">
        <v>1270</v>
      </c>
      <c r="L32" s="267"/>
      <c r="M32" s="5"/>
    </row>
    <row r="33" spans="1:13" x14ac:dyDescent="0.25">
      <c r="A33" s="136"/>
      <c r="B33" s="59"/>
      <c r="C33" s="59"/>
      <c r="D33" s="59"/>
      <c r="E33" s="59"/>
      <c r="F33" s="59"/>
      <c r="G33" s="79"/>
      <c r="H33" s="79"/>
      <c r="I33" s="79"/>
      <c r="J33" s="79"/>
      <c r="K33" s="296" t="s">
        <v>1142</v>
      </c>
      <c r="M33" s="5"/>
    </row>
    <row r="34" spans="1:13" ht="13.8" thickBot="1" x14ac:dyDescent="0.3">
      <c r="A34" s="52"/>
      <c r="B34" s="66" t="s">
        <v>998</v>
      </c>
      <c r="C34" s="52"/>
      <c r="D34" s="52"/>
      <c r="E34" s="52"/>
      <c r="F34" s="52"/>
      <c r="G34" s="224">
        <f>SUM(G9:G32)-G32</f>
        <v>11278546.388494112</v>
      </c>
      <c r="H34" s="224">
        <f>SUM(H9:H32)-H32</f>
        <v>988303.56331742927</v>
      </c>
      <c r="I34" s="224">
        <f>SUM(I9:I32)-I32</f>
        <v>12266849.951811541</v>
      </c>
      <c r="J34" s="224"/>
      <c r="K34" s="67"/>
      <c r="M34" s="5"/>
    </row>
    <row r="35" spans="1:13" ht="13.8" thickTop="1" x14ac:dyDescent="0.25">
      <c r="A35" s="52"/>
      <c r="B35" s="52"/>
      <c r="C35" s="52"/>
      <c r="D35" s="52"/>
      <c r="E35" s="52"/>
      <c r="F35" s="52"/>
      <c r="G35" s="52"/>
      <c r="I35" s="38"/>
      <c r="J35" s="38"/>
      <c r="M35" s="5"/>
    </row>
    <row r="36" spans="1:13" x14ac:dyDescent="0.25">
      <c r="A36" s="52"/>
      <c r="B36" s="52"/>
      <c r="C36" s="52"/>
      <c r="D36" s="52"/>
      <c r="E36" s="52"/>
      <c r="F36" s="52"/>
      <c r="G36" s="52"/>
      <c r="I36" s="38"/>
      <c r="J36" s="38"/>
      <c r="M36" s="5"/>
    </row>
    <row r="37" spans="1:13" x14ac:dyDescent="0.25">
      <c r="A37" s="52"/>
      <c r="B37" s="52"/>
      <c r="C37" s="52"/>
      <c r="D37" s="52"/>
      <c r="E37" s="52"/>
      <c r="F37" s="52"/>
      <c r="G37" s="108" t="s">
        <v>299</v>
      </c>
      <c r="H37" s="108" t="s">
        <v>146</v>
      </c>
      <c r="I37" s="108" t="str">
        <f>+'S1 VEC Master Summary'!E4</f>
        <v>ADJ Test Year</v>
      </c>
      <c r="J37" s="108"/>
      <c r="M37" s="5"/>
    </row>
    <row r="38" spans="1:13" x14ac:dyDescent="0.25">
      <c r="A38" s="107" t="s">
        <v>72</v>
      </c>
      <c r="B38" s="107" t="s">
        <v>1283</v>
      </c>
      <c r="C38" s="66"/>
      <c r="D38" s="66"/>
      <c r="E38" s="66"/>
      <c r="F38" s="66"/>
      <c r="G38" s="109" t="str">
        <f>+'S1 VEC Master Summary'!C5</f>
        <v>7/1/23-6/30/24</v>
      </c>
      <c r="H38" s="109" t="s">
        <v>147</v>
      </c>
      <c r="I38" s="109">
        <f>+'S1 VEC Master Summary'!E5</f>
        <v>2025</v>
      </c>
      <c r="J38" s="109"/>
      <c r="K38" s="109" t="s">
        <v>54</v>
      </c>
      <c r="M38" s="5"/>
    </row>
    <row r="39" spans="1:13" x14ac:dyDescent="0.25">
      <c r="A39" s="52"/>
      <c r="B39" s="52"/>
      <c r="C39" s="52"/>
      <c r="D39" s="52"/>
      <c r="E39" s="52"/>
      <c r="F39" s="52"/>
      <c r="G39" s="52"/>
      <c r="H39" s="52"/>
      <c r="I39" s="52"/>
      <c r="J39" s="52"/>
      <c r="M39" s="5"/>
    </row>
    <row r="40" spans="1:13" x14ac:dyDescent="0.25">
      <c r="A40" s="52" t="s">
        <v>17</v>
      </c>
      <c r="B40" s="59" t="s">
        <v>764</v>
      </c>
      <c r="C40" s="52"/>
      <c r="D40" s="52"/>
      <c r="E40" s="52"/>
      <c r="F40" s="52"/>
      <c r="G40" s="155">
        <f>+'S6A Total Payroll by Function'!C9</f>
        <v>3234474.4811893324</v>
      </c>
      <c r="H40" s="38">
        <f>+I40-G40</f>
        <v>371087.29022518406</v>
      </c>
      <c r="I40" s="38">
        <f>+'S6A Total Payroll by Function'!E9</f>
        <v>3605561.7714145165</v>
      </c>
      <c r="J40" s="38"/>
      <c r="K40" s="154" t="s">
        <v>231</v>
      </c>
      <c r="M40" s="5"/>
    </row>
    <row r="41" spans="1:13" x14ac:dyDescent="0.25">
      <c r="A41" s="52"/>
      <c r="B41" s="52"/>
      <c r="C41" s="52"/>
      <c r="D41" s="52"/>
      <c r="E41" s="52"/>
      <c r="F41" s="52"/>
      <c r="G41" s="155"/>
      <c r="H41" s="52"/>
      <c r="I41" s="38"/>
      <c r="J41" s="38"/>
      <c r="K41" s="154"/>
      <c r="M41" s="5"/>
    </row>
    <row r="42" spans="1:13" ht="15" x14ac:dyDescent="0.25">
      <c r="A42" s="59" t="s">
        <v>17</v>
      </c>
      <c r="B42" s="59" t="s">
        <v>1094</v>
      </c>
      <c r="C42" s="134"/>
      <c r="D42" s="33"/>
      <c r="E42" s="33"/>
      <c r="F42" s="33"/>
      <c r="G42" s="155">
        <f>'S7B Transportation'!B20</f>
        <v>149148</v>
      </c>
      <c r="H42" s="38">
        <f>+I42-G42</f>
        <v>20333</v>
      </c>
      <c r="I42" s="38">
        <f>'S7B Transportation'!F20</f>
        <v>169481</v>
      </c>
      <c r="J42" s="38"/>
      <c r="K42" s="296" t="s">
        <v>1143</v>
      </c>
      <c r="M42" s="5"/>
    </row>
    <row r="43" spans="1:13" x14ac:dyDescent="0.25">
      <c r="A43" s="52"/>
      <c r="B43" s="52"/>
      <c r="C43" s="52"/>
      <c r="D43" s="52"/>
      <c r="E43" s="52"/>
      <c r="F43" s="52"/>
      <c r="G43" s="155"/>
      <c r="H43" s="52"/>
      <c r="I43" s="38"/>
      <c r="J43" s="38"/>
      <c r="K43" s="251"/>
      <c r="M43" s="5"/>
    </row>
    <row r="44" spans="1:13" x14ac:dyDescent="0.25">
      <c r="A44" s="59" t="s">
        <v>17</v>
      </c>
      <c r="B44" s="59" t="s">
        <v>1035</v>
      </c>
      <c r="C44" s="52"/>
      <c r="D44" s="52"/>
      <c r="E44" s="52"/>
      <c r="F44" s="52"/>
      <c r="G44" s="155">
        <f>+'S7A Information Technology'!B23+'S7A Information Technology'!B24</f>
        <v>269131.62</v>
      </c>
      <c r="H44" s="38">
        <f>+I44-G44</f>
        <v>36142.140774166677</v>
      </c>
      <c r="I44" s="38">
        <f>+'S7A Information Technology'!F23+'S7A Information Technology'!F24</f>
        <v>305273.76077416667</v>
      </c>
      <c r="J44" s="38"/>
      <c r="K44" s="114" t="s">
        <v>1144</v>
      </c>
      <c r="M44" s="5"/>
    </row>
    <row r="45" spans="1:13" x14ac:dyDescent="0.25">
      <c r="A45" s="52"/>
      <c r="B45" s="52"/>
      <c r="C45" s="52"/>
      <c r="D45" s="52"/>
      <c r="E45" s="52"/>
      <c r="F45" s="52"/>
      <c r="G45" s="155"/>
      <c r="H45" s="52"/>
      <c r="I45" s="38"/>
      <c r="J45" s="38"/>
      <c r="K45" s="154"/>
      <c r="M45" s="5"/>
    </row>
    <row r="46" spans="1:13" x14ac:dyDescent="0.25">
      <c r="A46" s="59" t="s">
        <v>17</v>
      </c>
      <c r="B46" s="59" t="s">
        <v>1043</v>
      </c>
      <c r="C46" s="52"/>
      <c r="D46" s="52"/>
      <c r="E46" s="52"/>
      <c r="F46" s="52"/>
      <c r="G46" s="155">
        <f>'S7 - Insurance'!B23</f>
        <v>68747.5</v>
      </c>
      <c r="H46" s="38">
        <f>+I46-G46</f>
        <v>27844.5</v>
      </c>
      <c r="I46" s="38">
        <f>'S7 - Insurance'!F23</f>
        <v>96592</v>
      </c>
      <c r="J46" s="38"/>
      <c r="K46" s="235" t="s">
        <v>302</v>
      </c>
      <c r="M46" s="5"/>
    </row>
    <row r="47" spans="1:13" x14ac:dyDescent="0.25">
      <c r="A47" s="59"/>
      <c r="B47" s="59"/>
      <c r="C47" s="52"/>
      <c r="D47" s="52"/>
      <c r="E47" s="52"/>
      <c r="F47" s="52"/>
      <c r="G47" s="155"/>
      <c r="H47" s="38"/>
      <c r="I47" s="38"/>
      <c r="J47" s="38"/>
      <c r="K47" s="296"/>
      <c r="M47" s="5"/>
    </row>
    <row r="48" spans="1:13" x14ac:dyDescent="0.25">
      <c r="A48" s="59" t="s">
        <v>1263</v>
      </c>
      <c r="B48" s="59" t="s">
        <v>1260</v>
      </c>
      <c r="C48" s="52"/>
      <c r="D48" s="52"/>
      <c r="E48" s="52"/>
      <c r="F48" s="52"/>
      <c r="G48" s="155">
        <f>50220+50220+78589+78589</f>
        <v>257618</v>
      </c>
      <c r="H48" s="38">
        <f>+I48-G48</f>
        <v>-73994</v>
      </c>
      <c r="I48" s="38">
        <f>61980+61980+29832+29832</f>
        <v>183624</v>
      </c>
      <c r="J48" s="38"/>
      <c r="K48" s="296" t="s">
        <v>1261</v>
      </c>
      <c r="M48" s="5"/>
    </row>
    <row r="49" spans="1:13" x14ac:dyDescent="0.25">
      <c r="A49" s="52" t="s">
        <v>1262</v>
      </c>
      <c r="B49" s="52"/>
      <c r="C49" s="52"/>
      <c r="D49" s="52"/>
      <c r="E49" s="52"/>
      <c r="F49" s="52"/>
      <c r="G49" s="155"/>
      <c r="H49" s="52"/>
      <c r="I49" s="38"/>
      <c r="J49" s="38"/>
      <c r="K49" s="238"/>
      <c r="M49" s="5"/>
    </row>
    <row r="50" spans="1:13" x14ac:dyDescent="0.25">
      <c r="A50" s="52"/>
      <c r="B50" s="52"/>
      <c r="C50" s="52"/>
      <c r="D50" s="52"/>
      <c r="E50" s="52"/>
      <c r="F50" s="52"/>
      <c r="G50" s="155"/>
      <c r="H50" s="52"/>
      <c r="I50" s="38"/>
      <c r="J50" s="38"/>
      <c r="K50" s="295"/>
      <c r="M50" s="5"/>
    </row>
    <row r="51" spans="1:13" x14ac:dyDescent="0.25">
      <c r="A51" s="136" t="s">
        <v>1119</v>
      </c>
      <c r="B51" s="59" t="s">
        <v>1259</v>
      </c>
      <c r="C51" s="52"/>
      <c r="D51" s="52"/>
      <c r="E51" s="52"/>
      <c r="F51" s="52"/>
      <c r="G51" s="155">
        <v>26503</v>
      </c>
      <c r="H51" s="38">
        <f>+I51-G51</f>
        <v>21077</v>
      </c>
      <c r="I51" s="38">
        <v>47580</v>
      </c>
      <c r="J51" s="38"/>
      <c r="K51" s="296" t="s">
        <v>1132</v>
      </c>
      <c r="M51" s="5"/>
    </row>
    <row r="52" spans="1:13" x14ac:dyDescent="0.25">
      <c r="A52" s="52"/>
      <c r="B52" s="52"/>
      <c r="C52" s="52"/>
      <c r="D52" s="52"/>
      <c r="E52" s="52"/>
      <c r="F52" s="52"/>
      <c r="G52" s="155"/>
      <c r="H52" s="52"/>
      <c r="I52" s="38"/>
      <c r="J52" s="38"/>
      <c r="K52" s="295"/>
      <c r="M52" s="5"/>
    </row>
    <row r="53" spans="1:13" x14ac:dyDescent="0.25">
      <c r="A53" s="95" t="s">
        <v>193</v>
      </c>
      <c r="B53" s="52" t="s">
        <v>165</v>
      </c>
      <c r="C53" s="52"/>
      <c r="D53" s="52"/>
      <c r="E53" s="52"/>
      <c r="F53" s="52"/>
      <c r="G53" s="155">
        <f>+'S6 Admin &amp; Gen'!G44+'S6 Admin &amp; Gen'!G45+'S6 Admin &amp; Gen'!G46</f>
        <v>3535234.0073489845</v>
      </c>
      <c r="H53" s="38">
        <f>+I53-G53</f>
        <v>1085647.4853952751</v>
      </c>
      <c r="I53" s="38">
        <f>+'S6 Admin &amp; Gen'!I44+'S6 Admin &amp; Gen'!I45+'S6 Admin &amp; Gen'!I46</f>
        <v>4620881.4927442595</v>
      </c>
      <c r="J53" s="38"/>
      <c r="K53" s="294" t="s">
        <v>1052</v>
      </c>
      <c r="M53" s="5"/>
    </row>
    <row r="54" spans="1:13" x14ac:dyDescent="0.25">
      <c r="A54" s="95" t="s">
        <v>196</v>
      </c>
      <c r="B54" s="52"/>
      <c r="C54" s="52"/>
      <c r="D54" s="52"/>
      <c r="E54" s="52"/>
      <c r="F54" s="52"/>
      <c r="G54" s="155"/>
      <c r="H54" s="52"/>
      <c r="I54" s="38"/>
      <c r="J54" s="38"/>
      <c r="K54" s="154"/>
      <c r="M54" s="5"/>
    </row>
    <row r="55" spans="1:13" x14ac:dyDescent="0.25">
      <c r="A55" s="95"/>
      <c r="B55" s="52"/>
      <c r="C55" s="52"/>
      <c r="D55" s="52"/>
      <c r="E55" s="52"/>
      <c r="F55" s="52"/>
      <c r="G55" s="155"/>
      <c r="H55" s="52"/>
      <c r="I55" s="38"/>
      <c r="J55" s="38"/>
      <c r="K55" s="256"/>
      <c r="M55" s="5"/>
    </row>
    <row r="56" spans="1:13" ht="13.8" thickBot="1" x14ac:dyDescent="0.3">
      <c r="A56" s="52"/>
      <c r="B56" s="66" t="s">
        <v>999</v>
      </c>
      <c r="C56" s="52"/>
      <c r="D56" s="52"/>
      <c r="E56" s="52"/>
      <c r="F56" s="58"/>
      <c r="G56" s="224">
        <f>SUM(G39:G55)</f>
        <v>7540856.6085383166</v>
      </c>
      <c r="H56" s="224">
        <f>SUM(H39:H55)</f>
        <v>1488137.4163946258</v>
      </c>
      <c r="I56" s="224">
        <f>SUM(I39:I55)</f>
        <v>9028994.0249329433</v>
      </c>
      <c r="J56" s="224"/>
      <c r="M56" s="5"/>
    </row>
    <row r="57" spans="1:13" ht="13.8" thickTop="1" x14ac:dyDescent="0.25">
      <c r="A57" s="52"/>
      <c r="B57" s="66"/>
      <c r="C57" s="52"/>
      <c r="D57" s="52"/>
      <c r="E57" s="52"/>
      <c r="F57" s="58"/>
      <c r="H57" s="38"/>
      <c r="I57" s="117"/>
      <c r="J57" s="117"/>
      <c r="M57" s="5"/>
    </row>
    <row r="58" spans="1:13" ht="13.8" thickBot="1" x14ac:dyDescent="0.3">
      <c r="A58" s="190"/>
      <c r="B58" s="191"/>
      <c r="C58" s="190"/>
      <c r="D58" s="190"/>
      <c r="E58" s="190"/>
      <c r="F58" s="192"/>
      <c r="G58" s="190"/>
      <c r="H58" s="193"/>
      <c r="I58" s="194"/>
      <c r="J58" s="194"/>
      <c r="K58" s="190"/>
      <c r="L58" s="190"/>
      <c r="M58" s="5"/>
    </row>
    <row r="59" spans="1:13" x14ac:dyDescent="0.25">
      <c r="A59" s="59" t="s">
        <v>759</v>
      </c>
      <c r="B59" s="66"/>
      <c r="C59" s="52"/>
      <c r="D59" s="52"/>
      <c r="E59" s="52"/>
      <c r="F59" s="195"/>
      <c r="G59" s="52"/>
      <c r="H59" s="38"/>
      <c r="I59" s="196"/>
      <c r="J59" s="196"/>
      <c r="K59" s="52"/>
      <c r="L59" s="52"/>
      <c r="M59" s="5"/>
    </row>
    <row r="60" spans="1:13" x14ac:dyDescent="0.25">
      <c r="B60" s="58"/>
      <c r="E60" s="74"/>
      <c r="G60" s="54"/>
      <c r="H60" s="75"/>
      <c r="K60" s="38"/>
      <c r="M60" s="5"/>
    </row>
    <row r="61" spans="1:13" x14ac:dyDescent="0.25">
      <c r="A61" s="142" t="s">
        <v>25</v>
      </c>
      <c r="B61" s="59" t="s">
        <v>1135</v>
      </c>
      <c r="C61" s="52"/>
      <c r="M61" s="5"/>
    </row>
    <row r="62" spans="1:13" x14ac:dyDescent="0.25">
      <c r="B62" s="94" t="s">
        <v>704</v>
      </c>
      <c r="D62" s="162" t="s">
        <v>700</v>
      </c>
      <c r="F62" s="162" t="s">
        <v>1271</v>
      </c>
      <c r="I62" s="162" t="s">
        <v>1134</v>
      </c>
      <c r="J62" s="162"/>
      <c r="M62" s="5"/>
    </row>
    <row r="63" spans="1:13" x14ac:dyDescent="0.25">
      <c r="B63" s="265" t="s">
        <v>913</v>
      </c>
      <c r="D63" s="167">
        <v>167171.4</v>
      </c>
      <c r="F63" s="167">
        <v>-37610.879999999997</v>
      </c>
      <c r="I63" s="167">
        <f>+D63+F63</f>
        <v>129560.51999999999</v>
      </c>
      <c r="J63" s="167"/>
      <c r="M63" s="5"/>
    </row>
    <row r="64" spans="1:13" x14ac:dyDescent="0.25">
      <c r="B64" s="265" t="s">
        <v>1030</v>
      </c>
      <c r="D64" s="167">
        <v>52012.649999999994</v>
      </c>
      <c r="F64" s="167">
        <v>-60273.25</v>
      </c>
      <c r="I64" s="167">
        <f>+D64+F64</f>
        <v>-8260.6000000000058</v>
      </c>
      <c r="J64" s="167"/>
      <c r="M64" s="5"/>
    </row>
    <row r="65" spans="1:13" x14ac:dyDescent="0.25">
      <c r="B65" s="265" t="s">
        <v>1079</v>
      </c>
      <c r="D65" s="164">
        <v>591562.54999999993</v>
      </c>
      <c r="F65" s="164">
        <v>-52542.2</v>
      </c>
      <c r="I65" s="164">
        <f>+D65+F65</f>
        <v>539020.35</v>
      </c>
      <c r="J65" s="164"/>
      <c r="M65" s="5"/>
    </row>
    <row r="66" spans="1:13" x14ac:dyDescent="0.25">
      <c r="B66" s="53" t="s">
        <v>26</v>
      </c>
      <c r="D66" s="163">
        <f>AVERAGE(D63:D65)</f>
        <v>270248.86666666664</v>
      </c>
      <c r="F66" s="163">
        <f>AVERAGE(F63:F65)</f>
        <v>-50142.110000000008</v>
      </c>
      <c r="I66" s="163">
        <f>AVERAGE(I63:I65)</f>
        <v>220106.75666666668</v>
      </c>
      <c r="J66" s="163"/>
      <c r="K66" s="79"/>
      <c r="M66" s="5"/>
    </row>
    <row r="67" spans="1:13" x14ac:dyDescent="0.25">
      <c r="B67" s="267" t="s">
        <v>1053</v>
      </c>
      <c r="D67" s="163">
        <f>ROUND(D66*1.03,-2)</f>
        <v>278400</v>
      </c>
      <c r="F67" s="163">
        <f>ROUND(F66*1.03,-2)</f>
        <v>-51600</v>
      </c>
      <c r="I67" s="438">
        <f>+D67+F67</f>
        <v>226800</v>
      </c>
      <c r="J67" s="304"/>
      <c r="K67" s="79" t="s">
        <v>1136</v>
      </c>
      <c r="M67" s="1"/>
    </row>
    <row r="68" spans="1:13" x14ac:dyDescent="0.25">
      <c r="A68" s="79" t="s">
        <v>706</v>
      </c>
      <c r="M68" s="1"/>
    </row>
    <row r="69" spans="1:13" x14ac:dyDescent="0.25">
      <c r="B69" s="58"/>
      <c r="E69" s="74"/>
      <c r="G69" s="54"/>
      <c r="H69" s="75"/>
      <c r="K69" s="38"/>
      <c r="M69" s="5"/>
    </row>
    <row r="70" spans="1:13" x14ac:dyDescent="0.25">
      <c r="A70" s="142" t="s">
        <v>705</v>
      </c>
      <c r="B70" s="59" t="s">
        <v>1133</v>
      </c>
      <c r="C70" s="52"/>
      <c r="M70" s="1"/>
    </row>
    <row r="71" spans="1:13" x14ac:dyDescent="0.25">
      <c r="B71" s="94" t="s">
        <v>704</v>
      </c>
      <c r="D71" s="162" t="s">
        <v>700</v>
      </c>
      <c r="F71" s="162" t="s">
        <v>877</v>
      </c>
      <c r="I71" s="162" t="s">
        <v>701</v>
      </c>
      <c r="J71" s="162"/>
      <c r="M71" s="1"/>
    </row>
    <row r="72" spans="1:13" x14ac:dyDescent="0.25">
      <c r="B72" s="265" t="s">
        <v>913</v>
      </c>
      <c r="D72" s="167">
        <v>100680.87000000001</v>
      </c>
      <c r="E72" s="267"/>
      <c r="F72" s="167">
        <v>0</v>
      </c>
      <c r="G72" s="267"/>
      <c r="H72" s="267"/>
      <c r="I72" s="167">
        <f>+D72+F72</f>
        <v>100680.87000000001</v>
      </c>
      <c r="J72" s="167"/>
      <c r="M72" s="1"/>
    </row>
    <row r="73" spans="1:13" x14ac:dyDescent="0.25">
      <c r="B73" s="265" t="s">
        <v>1030</v>
      </c>
      <c r="D73" s="167">
        <v>509003.34</v>
      </c>
      <c r="E73" s="267"/>
      <c r="F73" s="167">
        <v>-49315.73</v>
      </c>
      <c r="G73" s="267"/>
      <c r="H73" s="267"/>
      <c r="I73" s="167">
        <f>+D73+F73</f>
        <v>459687.61000000004</v>
      </c>
      <c r="J73" s="167"/>
      <c r="M73" s="1"/>
    </row>
    <row r="74" spans="1:13" x14ac:dyDescent="0.25">
      <c r="B74" s="265" t="s">
        <v>1079</v>
      </c>
      <c r="D74" s="164">
        <v>1404986.32</v>
      </c>
      <c r="F74" s="164">
        <v>0</v>
      </c>
      <c r="I74" s="164">
        <f>+D74+F74</f>
        <v>1404986.32</v>
      </c>
      <c r="J74" s="164"/>
      <c r="M74" s="1"/>
    </row>
    <row r="75" spans="1:13" x14ac:dyDescent="0.25">
      <c r="B75" s="53" t="s">
        <v>26</v>
      </c>
      <c r="D75" s="163">
        <f>AVERAGE(D72:D74)</f>
        <v>671556.84333333338</v>
      </c>
      <c r="F75" s="163">
        <f>AVERAGE(F72:F74)</f>
        <v>-16438.576666666668</v>
      </c>
      <c r="I75" s="163">
        <f>AVERAGE(I72:I74)</f>
        <v>655118.26666666672</v>
      </c>
      <c r="J75" s="163"/>
      <c r="K75" s="79"/>
      <c r="M75" s="1"/>
    </row>
    <row r="76" spans="1:13" x14ac:dyDescent="0.25">
      <c r="B76" s="267" t="s">
        <v>1053</v>
      </c>
      <c r="D76" s="163">
        <f>ROUND(D75*1.03,-2)</f>
        <v>691700</v>
      </c>
      <c r="F76" s="163">
        <f>ROUND(F75*1.03,-2)</f>
        <v>-16900</v>
      </c>
      <c r="I76" s="438">
        <f>+D76+F76</f>
        <v>674800</v>
      </c>
      <c r="J76" s="304"/>
      <c r="K76" s="79" t="s">
        <v>1137</v>
      </c>
      <c r="M76" s="1"/>
    </row>
    <row r="77" spans="1:13" x14ac:dyDescent="0.25">
      <c r="A77" s="79" t="s">
        <v>878</v>
      </c>
      <c r="M77" s="4"/>
    </row>
    <row r="78" spans="1:13" ht="51" customHeight="1" x14ac:dyDescent="0.25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</row>
  </sheetData>
  <phoneticPr fontId="6" type="noConversion"/>
  <pageMargins left="0.55000000000000004" right="0.26" top="0.61" bottom="0.87" header="0.36" footer="0.5"/>
  <pageSetup scale="53" orientation="portrait" horizontalDpi="300" verticalDpi="300" r:id="rId1"/>
  <headerFooter alignWithMargins="0">
    <oddHeader>&amp;R&amp;A</oddHeader>
    <oddFooter>&amp;L&amp;8&amp;Z&amp;F&amp;A&amp;R&amp;8&amp;T &amp;D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K26"/>
  <sheetViews>
    <sheetView showGridLines="0" zoomScale="90" zoomScaleNormal="90" workbookViewId="0"/>
  </sheetViews>
  <sheetFormatPr defaultColWidth="8" defaultRowHeight="13.2" x14ac:dyDescent="0.25"/>
  <cols>
    <col min="1" max="1" width="7.6328125" style="53" customWidth="1"/>
    <col min="2" max="2" width="11" style="53" customWidth="1"/>
    <col min="3" max="5" width="8" style="53" customWidth="1"/>
    <col min="6" max="6" width="10" style="53" customWidth="1"/>
    <col min="7" max="7" width="12.1796875" style="53" bestFit="1" customWidth="1"/>
    <col min="8" max="8" width="10.36328125" style="53" customWidth="1"/>
    <col min="9" max="9" width="10.54296875" style="53" bestFit="1" customWidth="1"/>
    <col min="10" max="10" width="40.81640625" style="53" customWidth="1"/>
    <col min="11" max="16384" width="8" style="53"/>
  </cols>
  <sheetData>
    <row r="1" spans="1:11" x14ac:dyDescent="0.25">
      <c r="A1" s="66" t="s">
        <v>882</v>
      </c>
      <c r="B1" s="52"/>
      <c r="C1" s="52"/>
      <c r="D1" s="52"/>
      <c r="E1" s="52"/>
      <c r="F1" s="52"/>
      <c r="G1" s="52"/>
      <c r="H1" s="52"/>
      <c r="I1" s="52"/>
      <c r="J1" s="52"/>
      <c r="K1" s="5"/>
    </row>
    <row r="2" spans="1:11" x14ac:dyDescent="0.25">
      <c r="A2" s="324" t="s">
        <v>277</v>
      </c>
      <c r="B2" s="52"/>
      <c r="C2" s="52"/>
      <c r="D2" s="52"/>
      <c r="E2" s="52"/>
      <c r="F2" s="52"/>
      <c r="G2" s="52"/>
      <c r="H2" s="52"/>
      <c r="K2" s="5"/>
    </row>
    <row r="3" spans="1:11" x14ac:dyDescent="0.25">
      <c r="A3" s="66" t="s">
        <v>884</v>
      </c>
      <c r="C3" s="51"/>
      <c r="D3" s="52"/>
      <c r="E3" s="52"/>
      <c r="F3" s="52"/>
      <c r="G3" s="52"/>
      <c r="H3" s="52"/>
      <c r="I3" s="52"/>
      <c r="J3" s="52"/>
      <c r="K3" s="5"/>
    </row>
    <row r="4" spans="1:11" x14ac:dyDescent="0.25">
      <c r="A4" s="52"/>
      <c r="C4" s="51"/>
      <c r="D4" s="52"/>
      <c r="E4" s="52"/>
      <c r="F4" s="52"/>
      <c r="G4" s="52"/>
      <c r="H4" s="52"/>
      <c r="I4" s="52"/>
      <c r="J4" s="52"/>
      <c r="K4" s="5"/>
    </row>
    <row r="5" spans="1:11" x14ac:dyDescent="0.25">
      <c r="A5" s="52"/>
      <c r="C5" s="51"/>
      <c r="D5" s="52"/>
      <c r="E5" s="52"/>
      <c r="F5" s="52"/>
      <c r="G5" s="52"/>
      <c r="H5" s="52"/>
      <c r="I5" s="52"/>
      <c r="J5" s="52"/>
      <c r="K5" s="5"/>
    </row>
    <row r="6" spans="1:11" x14ac:dyDescent="0.25">
      <c r="A6" s="52"/>
      <c r="B6" s="52"/>
      <c r="C6" s="52"/>
      <c r="D6" s="52"/>
      <c r="E6" s="52"/>
      <c r="F6" s="52"/>
      <c r="G6" s="108" t="s">
        <v>299</v>
      </c>
      <c r="H6" s="108" t="s">
        <v>146</v>
      </c>
      <c r="I6" s="108" t="str">
        <f>+'S1 VEC Master Summary'!E4</f>
        <v>ADJ Test Year</v>
      </c>
      <c r="J6" s="52"/>
      <c r="K6" s="5"/>
    </row>
    <row r="7" spans="1:11" x14ac:dyDescent="0.25">
      <c r="A7" s="107" t="s">
        <v>72</v>
      </c>
      <c r="B7" s="107" t="s">
        <v>60</v>
      </c>
      <c r="C7" s="106"/>
      <c r="D7" s="106"/>
      <c r="E7" s="52"/>
      <c r="F7" s="52"/>
      <c r="G7" s="109" t="str">
        <f>+'S1 VEC Master Summary'!C5</f>
        <v>7/1/23-6/30/24</v>
      </c>
      <c r="H7" s="109" t="s">
        <v>147</v>
      </c>
      <c r="I7" s="109">
        <f>+'S1 VEC Master Summary'!E5</f>
        <v>2025</v>
      </c>
      <c r="J7" s="109" t="s">
        <v>54</v>
      </c>
      <c r="K7" s="5"/>
    </row>
    <row r="8" spans="1:11" x14ac:dyDescent="0.25">
      <c r="A8" s="107"/>
      <c r="B8" s="107"/>
      <c r="C8" s="106"/>
      <c r="D8" s="106"/>
      <c r="E8" s="52"/>
      <c r="F8" s="52"/>
      <c r="G8" s="109"/>
      <c r="H8" s="109"/>
      <c r="I8" s="109"/>
      <c r="J8" s="109"/>
      <c r="K8" s="5"/>
    </row>
    <row r="9" spans="1:11" x14ac:dyDescent="0.25">
      <c r="A9" s="52" t="s">
        <v>17</v>
      </c>
      <c r="B9" s="59" t="s">
        <v>764</v>
      </c>
      <c r="C9" s="52"/>
      <c r="D9" s="52"/>
      <c r="E9" s="52"/>
      <c r="F9" s="52"/>
      <c r="G9" s="38">
        <f>+'S6A Total Payroll by Function'!C11</f>
        <v>1898963.2954312516</v>
      </c>
      <c r="H9" s="85">
        <f>+I9-G9</f>
        <v>421324.41675475147</v>
      </c>
      <c r="I9" s="85">
        <f>+'S6A Total Payroll by Function'!E11</f>
        <v>2320287.7121860031</v>
      </c>
      <c r="J9" s="261" t="s">
        <v>231</v>
      </c>
      <c r="K9" s="5"/>
    </row>
    <row r="10" spans="1:11" x14ac:dyDescent="0.25">
      <c r="A10" s="52"/>
      <c r="B10" s="52"/>
      <c r="C10" s="52"/>
      <c r="D10" s="52"/>
      <c r="E10" s="52"/>
      <c r="F10" s="52"/>
      <c r="G10" s="61"/>
      <c r="H10" s="52"/>
      <c r="I10" s="63"/>
      <c r="J10" s="52"/>
      <c r="K10" s="5"/>
    </row>
    <row r="11" spans="1:11" ht="15" x14ac:dyDescent="0.25">
      <c r="A11" s="59" t="s">
        <v>17</v>
      </c>
      <c r="B11" s="59" t="s">
        <v>1091</v>
      </c>
      <c r="C11" s="134"/>
      <c r="D11" s="33"/>
      <c r="E11" s="33"/>
      <c r="F11" s="33"/>
      <c r="G11" s="155">
        <f>'S7B Transportation'!B22</f>
        <v>23954</v>
      </c>
      <c r="H11" s="38">
        <f>+I11-G11</f>
        <v>3167</v>
      </c>
      <c r="I11" s="38">
        <f>'S7B Transportation'!F22</f>
        <v>27121</v>
      </c>
      <c r="J11" s="296" t="s">
        <v>1143</v>
      </c>
      <c r="K11" s="5"/>
    </row>
    <row r="12" spans="1:11" x14ac:dyDescent="0.25">
      <c r="A12" s="52"/>
      <c r="B12" s="52"/>
      <c r="C12" s="52"/>
      <c r="D12" s="52"/>
      <c r="E12" s="52"/>
      <c r="F12" s="52"/>
      <c r="G12" s="61"/>
      <c r="H12" s="52"/>
      <c r="I12" s="63"/>
      <c r="J12" s="52"/>
      <c r="K12" s="5"/>
    </row>
    <row r="13" spans="1:11" x14ac:dyDescent="0.25">
      <c r="A13" s="59" t="s">
        <v>17</v>
      </c>
      <c r="B13" s="59" t="s">
        <v>1035</v>
      </c>
      <c r="C13" s="52"/>
      <c r="D13" s="52"/>
      <c r="E13" s="52"/>
      <c r="F13" s="52"/>
      <c r="G13" s="61">
        <f>+'S7A Information Technology'!B25</f>
        <v>589755.25</v>
      </c>
      <c r="H13" s="85">
        <f>+I13-G13</f>
        <v>70147.468930416624</v>
      </c>
      <c r="I13" s="61">
        <f>+'S7A Information Technology'!F25</f>
        <v>659902.71893041662</v>
      </c>
      <c r="J13" s="296" t="s">
        <v>1145</v>
      </c>
      <c r="K13" s="5"/>
    </row>
    <row r="14" spans="1:11" x14ac:dyDescent="0.25">
      <c r="A14" s="52"/>
      <c r="B14" s="52"/>
      <c r="C14" s="52"/>
      <c r="D14" s="52"/>
      <c r="E14" s="52"/>
      <c r="F14" s="52"/>
      <c r="G14" s="61"/>
      <c r="H14" s="52"/>
      <c r="I14" s="63"/>
      <c r="J14" s="52"/>
      <c r="K14" s="5"/>
    </row>
    <row r="15" spans="1:11" x14ac:dyDescent="0.25">
      <c r="A15" s="95" t="s">
        <v>197</v>
      </c>
      <c r="B15" s="54" t="str">
        <f>+'S6 Admin &amp; Gen'!B47</f>
        <v>PROP. TAX CUSTOMER RECORDS EXPENSE</v>
      </c>
      <c r="C15" s="52"/>
      <c r="D15" s="52"/>
      <c r="E15" s="52"/>
      <c r="F15" s="52"/>
      <c r="G15" s="61">
        <f>+'S6 Admin &amp; Gen'!G47</f>
        <v>11620.14026739011</v>
      </c>
      <c r="H15" s="85">
        <f>+I15-G15</f>
        <v>3450.2109797515368</v>
      </c>
      <c r="I15" s="61">
        <f>+'S6 Admin &amp; Gen'!I47</f>
        <v>15070.351247141647</v>
      </c>
      <c r="J15" s="294" t="s">
        <v>1052</v>
      </c>
      <c r="K15" s="5"/>
    </row>
    <row r="16" spans="1:11" x14ac:dyDescent="0.25">
      <c r="A16" s="95"/>
      <c r="B16" s="54"/>
      <c r="C16" s="52"/>
      <c r="D16" s="52"/>
      <c r="E16" s="52"/>
      <c r="F16" s="52"/>
      <c r="G16" s="61"/>
      <c r="H16" s="85"/>
      <c r="I16" s="61"/>
      <c r="J16" s="296"/>
      <c r="K16" s="5"/>
    </row>
    <row r="17" spans="1:11" x14ac:dyDescent="0.25">
      <c r="A17" s="136"/>
      <c r="B17" s="52"/>
      <c r="G17" s="64"/>
      <c r="I17" s="65"/>
      <c r="J17" s="59"/>
      <c r="K17" s="5"/>
    </row>
    <row r="18" spans="1:11" ht="13.8" thickBot="1" x14ac:dyDescent="0.3">
      <c r="A18" s="52"/>
      <c r="B18" s="66" t="s">
        <v>1000</v>
      </c>
      <c r="G18" s="224">
        <f>SUM(G9:G16)</f>
        <v>2524292.6856986419</v>
      </c>
      <c r="H18" s="224">
        <f>SUM(H9:H16)</f>
        <v>498089.09666491963</v>
      </c>
      <c r="I18" s="224">
        <f>SUM(I9:I16)</f>
        <v>3022381.7823635614</v>
      </c>
      <c r="J18" s="52"/>
      <c r="K18" s="5"/>
    </row>
    <row r="19" spans="1:11" ht="13.8" thickTop="1" x14ac:dyDescent="0.25">
      <c r="A19" s="52"/>
      <c r="B19" s="52"/>
      <c r="C19" s="52"/>
      <c r="D19" s="52"/>
      <c r="E19" s="52"/>
      <c r="F19" s="52"/>
      <c r="G19" s="38"/>
      <c r="H19" s="58"/>
      <c r="J19" s="52"/>
      <c r="K19" s="5"/>
    </row>
    <row r="20" spans="1:11" x14ac:dyDescent="0.25">
      <c r="A20" s="66"/>
      <c r="B20" s="52"/>
      <c r="C20" s="52"/>
      <c r="D20" s="52"/>
      <c r="E20" s="52"/>
      <c r="F20" s="52"/>
      <c r="G20" s="52"/>
      <c r="H20" s="52"/>
      <c r="I20" s="52"/>
      <c r="J20" s="52"/>
      <c r="K20" s="5"/>
    </row>
    <row r="21" spans="1:11" x14ac:dyDescent="0.25">
      <c r="A21" s="52"/>
      <c r="J21" s="52"/>
      <c r="K21" s="5"/>
    </row>
    <row r="22" spans="1:11" x14ac:dyDescent="0.25">
      <c r="A22" s="52"/>
      <c r="J22" s="52"/>
      <c r="K22" s="5"/>
    </row>
    <row r="23" spans="1:11" x14ac:dyDescent="0.25">
      <c r="A23" s="52"/>
      <c r="I23" s="52"/>
      <c r="J23" s="52"/>
      <c r="K23" s="5"/>
    </row>
    <row r="24" spans="1:11" x14ac:dyDescent="0.25">
      <c r="K24" s="5"/>
    </row>
    <row r="25" spans="1:11" x14ac:dyDescent="0.25">
      <c r="K25" s="5"/>
    </row>
    <row r="26" spans="1:11" ht="45.6" customHeight="1" x14ac:dyDescent="0.25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</row>
  </sheetData>
  <phoneticPr fontId="6" type="noConversion"/>
  <pageMargins left="1.01" right="0.26" top="0.83" bottom="0.87" header="0.36" footer="0.5"/>
  <pageSetup scale="61" orientation="portrait" horizontalDpi="300" verticalDpi="300" r:id="rId1"/>
  <headerFooter alignWithMargins="0">
    <oddHeader>&amp;R&amp;A</oddHeader>
    <oddFooter>&amp;L&amp;8&amp;Z&amp;F&amp;A&amp;R&amp;8&amp;T &amp;D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K54"/>
  <sheetViews>
    <sheetView showGridLines="0" zoomScale="80" zoomScaleNormal="80" workbookViewId="0"/>
  </sheetViews>
  <sheetFormatPr defaultColWidth="8" defaultRowHeight="13.2" x14ac:dyDescent="0.25"/>
  <cols>
    <col min="1" max="1" width="11.81640625" style="53" customWidth="1"/>
    <col min="2" max="2" width="29.08984375" style="53" customWidth="1"/>
    <col min="3" max="4" width="10.453125" style="53" customWidth="1"/>
    <col min="5" max="5" width="10.08984375" style="53" customWidth="1"/>
    <col min="6" max="6" width="9.1796875" style="53" customWidth="1"/>
    <col min="7" max="7" width="12.1796875" style="53" bestFit="1" customWidth="1"/>
    <col min="8" max="8" width="10.90625" style="53" customWidth="1"/>
    <col min="9" max="9" width="11.90625" style="53" bestFit="1" customWidth="1"/>
    <col min="10" max="10" width="52" style="53" bestFit="1" customWidth="1"/>
    <col min="11" max="16384" width="8" style="53"/>
  </cols>
  <sheetData>
    <row r="1" spans="1:11" x14ac:dyDescent="0.25">
      <c r="A1" s="66" t="s">
        <v>882</v>
      </c>
      <c r="B1" s="52"/>
      <c r="C1" s="52"/>
      <c r="D1" s="52"/>
      <c r="E1" s="52"/>
      <c r="F1" s="52"/>
      <c r="G1" s="52"/>
      <c r="H1" s="52"/>
      <c r="I1" s="52"/>
      <c r="J1" s="52"/>
      <c r="K1" s="5"/>
    </row>
    <row r="2" spans="1:11" x14ac:dyDescent="0.25">
      <c r="A2" s="324" t="s">
        <v>278</v>
      </c>
      <c r="B2" s="52"/>
      <c r="C2" s="52"/>
      <c r="D2" s="52"/>
      <c r="E2" s="52"/>
      <c r="F2" s="52"/>
      <c r="G2" s="52"/>
      <c r="H2" s="56"/>
      <c r="I2" s="52"/>
      <c r="K2" s="5"/>
    </row>
    <row r="3" spans="1:11" x14ac:dyDescent="0.25">
      <c r="A3" s="66" t="s">
        <v>885</v>
      </c>
      <c r="B3" s="51"/>
      <c r="C3" s="51"/>
      <c r="D3" s="51"/>
      <c r="E3" s="52"/>
      <c r="F3" s="52"/>
      <c r="G3" s="52"/>
      <c r="H3" s="52"/>
      <c r="I3" s="52"/>
      <c r="J3" s="52"/>
      <c r="K3" s="5"/>
    </row>
    <row r="4" spans="1:11" x14ac:dyDescent="0.25">
      <c r="A4" s="52"/>
      <c r="B4" s="52"/>
      <c r="C4" s="52"/>
      <c r="D4" s="52"/>
      <c r="E4" s="52"/>
      <c r="F4" s="52"/>
      <c r="G4" s="52"/>
      <c r="H4" s="52"/>
      <c r="I4" s="52"/>
      <c r="J4" s="52"/>
      <c r="K4" s="5"/>
    </row>
    <row r="5" spans="1:11" x14ac:dyDescent="0.25">
      <c r="A5" s="52"/>
      <c r="B5" s="52"/>
      <c r="C5" s="52"/>
      <c r="D5" s="52"/>
      <c r="E5" s="52"/>
      <c r="F5" s="52"/>
      <c r="G5" s="52"/>
      <c r="H5" s="52"/>
      <c r="I5" s="52"/>
      <c r="J5" s="52"/>
      <c r="K5" s="5"/>
    </row>
    <row r="6" spans="1:11" x14ac:dyDescent="0.25">
      <c r="A6" s="52"/>
      <c r="B6" s="52"/>
      <c r="C6" s="52"/>
      <c r="D6" s="52"/>
      <c r="E6" s="52"/>
      <c r="F6" s="52"/>
      <c r="G6" s="108" t="s">
        <v>299</v>
      </c>
      <c r="H6" s="108" t="s">
        <v>146</v>
      </c>
      <c r="I6" s="108" t="str">
        <f>+'S1 VEC Master Summary'!E4</f>
        <v>ADJ Test Year</v>
      </c>
      <c r="J6" s="52"/>
      <c r="K6" s="5"/>
    </row>
    <row r="7" spans="1:11" x14ac:dyDescent="0.25">
      <c r="A7" s="107" t="s">
        <v>72</v>
      </c>
      <c r="B7" s="107" t="s">
        <v>27</v>
      </c>
      <c r="C7" s="107"/>
      <c r="D7" s="107"/>
      <c r="E7" s="106"/>
      <c r="F7" s="106"/>
      <c r="G7" s="109" t="str">
        <f>+'S1 VEC Master Summary'!C5</f>
        <v>7/1/23-6/30/24</v>
      </c>
      <c r="H7" s="109" t="s">
        <v>147</v>
      </c>
      <c r="I7" s="109">
        <f>+'S1 VEC Master Summary'!E5</f>
        <v>2025</v>
      </c>
      <c r="J7" s="109" t="s">
        <v>54</v>
      </c>
      <c r="K7" s="5"/>
    </row>
    <row r="8" spans="1:11" x14ac:dyDescent="0.25">
      <c r="A8" s="51"/>
      <c r="B8" s="57"/>
      <c r="C8" s="57"/>
      <c r="D8" s="57"/>
      <c r="E8" s="52"/>
      <c r="F8" s="52"/>
      <c r="G8" s="94"/>
      <c r="H8" s="94"/>
      <c r="I8" s="94"/>
      <c r="J8" s="52"/>
      <c r="K8" s="5"/>
    </row>
    <row r="9" spans="1:11" x14ac:dyDescent="0.25">
      <c r="A9" s="52" t="s">
        <v>17</v>
      </c>
      <c r="B9" s="59" t="s">
        <v>764</v>
      </c>
      <c r="C9" s="52"/>
      <c r="D9" s="52"/>
      <c r="E9" s="52"/>
      <c r="F9" s="52"/>
      <c r="G9" s="38">
        <f>+'S6A Total Payroll by Function'!C12</f>
        <v>2763517.8583927201</v>
      </c>
      <c r="H9" s="38">
        <f>+I9-G9</f>
        <v>352381.35219066031</v>
      </c>
      <c r="I9" s="38">
        <f>+'S6A Total Payroll by Function'!E12</f>
        <v>3115899.2105833804</v>
      </c>
      <c r="J9" s="295" t="s">
        <v>231</v>
      </c>
      <c r="K9" s="5"/>
    </row>
    <row r="10" spans="1:11" x14ac:dyDescent="0.25">
      <c r="A10" s="51"/>
      <c r="B10" s="57"/>
      <c r="C10" s="57"/>
      <c r="D10" s="57"/>
      <c r="E10" s="52"/>
      <c r="F10" s="52"/>
      <c r="G10" s="94"/>
      <c r="H10" s="94"/>
      <c r="I10" s="94"/>
      <c r="J10" s="57"/>
      <c r="K10" s="5"/>
    </row>
    <row r="11" spans="1:11" ht="15" x14ac:dyDescent="0.25">
      <c r="A11" s="59" t="s">
        <v>17</v>
      </c>
      <c r="B11" s="59" t="s">
        <v>1091</v>
      </c>
      <c r="C11" s="134"/>
      <c r="D11" s="134"/>
      <c r="E11" s="33"/>
      <c r="F11" s="33"/>
      <c r="G11" s="38">
        <f>'S7B Transportation'!B23</f>
        <v>8893</v>
      </c>
      <c r="H11" s="38">
        <f>+I11-G11</f>
        <v>1177</v>
      </c>
      <c r="I11" s="38">
        <f>'S7B Transportation'!F23</f>
        <v>10070</v>
      </c>
      <c r="J11" s="296" t="s">
        <v>1143</v>
      </c>
      <c r="K11" s="5"/>
    </row>
    <row r="12" spans="1:11" x14ac:dyDescent="0.25">
      <c r="A12" s="51"/>
      <c r="B12" s="57"/>
      <c r="C12" s="57"/>
      <c r="D12" s="57"/>
      <c r="E12" s="52"/>
      <c r="F12" s="52"/>
      <c r="G12" s="94"/>
      <c r="H12" s="94"/>
      <c r="I12" s="94"/>
      <c r="J12" s="57"/>
      <c r="K12" s="5"/>
    </row>
    <row r="13" spans="1:11" x14ac:dyDescent="0.25">
      <c r="A13" s="59" t="s">
        <v>17</v>
      </c>
      <c r="B13" s="59" t="s">
        <v>1035</v>
      </c>
      <c r="C13" s="57"/>
      <c r="D13" s="57"/>
      <c r="E13" s="52"/>
      <c r="F13" s="52"/>
      <c r="G13" s="38">
        <f>'S7A Information Technology'!B26</f>
        <v>325745.27</v>
      </c>
      <c r="H13" s="38">
        <f>+I13-G13</f>
        <v>39277.625219583279</v>
      </c>
      <c r="I13" s="38">
        <f>'S7A Information Technology'!F26</f>
        <v>365022.8952195833</v>
      </c>
      <c r="J13" s="296" t="s">
        <v>1144</v>
      </c>
      <c r="K13" s="5"/>
    </row>
    <row r="14" spans="1:11" x14ac:dyDescent="0.25">
      <c r="A14" s="51"/>
      <c r="B14" s="57"/>
      <c r="C14" s="57"/>
      <c r="D14" s="57"/>
      <c r="E14" s="52"/>
      <c r="F14" s="52"/>
      <c r="G14" s="94"/>
      <c r="H14" s="94"/>
      <c r="I14" s="94"/>
      <c r="J14" s="295"/>
      <c r="K14" s="5"/>
    </row>
    <row r="15" spans="1:11" x14ac:dyDescent="0.25">
      <c r="A15" s="59" t="s">
        <v>17</v>
      </c>
      <c r="B15" s="59" t="s">
        <v>1043</v>
      </c>
      <c r="C15" s="54"/>
      <c r="D15" s="54"/>
      <c r="E15" s="52"/>
      <c r="F15" s="57"/>
      <c r="G15" s="38">
        <f>'S7 - Insurance'!B26</f>
        <v>84809</v>
      </c>
      <c r="H15" s="38">
        <f>+I15-G15</f>
        <v>32670</v>
      </c>
      <c r="I15" s="38">
        <f>'S7 - Insurance'!F26</f>
        <v>117479</v>
      </c>
      <c r="J15" s="296" t="s">
        <v>1146</v>
      </c>
      <c r="K15" s="5"/>
    </row>
    <row r="16" spans="1:11" x14ac:dyDescent="0.25">
      <c r="A16" s="51"/>
      <c r="B16" s="57"/>
      <c r="C16" s="57"/>
      <c r="D16" s="57"/>
      <c r="E16" s="52"/>
      <c r="F16" s="52"/>
      <c r="G16" s="94"/>
      <c r="H16" s="94"/>
      <c r="I16" s="94"/>
      <c r="J16" s="295"/>
      <c r="K16" s="5"/>
    </row>
    <row r="17" spans="1:11" x14ac:dyDescent="0.25">
      <c r="A17" s="59" t="s">
        <v>17</v>
      </c>
      <c r="B17" s="110" t="s">
        <v>1258</v>
      </c>
      <c r="C17" s="57"/>
      <c r="D17" s="57"/>
      <c r="E17" s="52"/>
      <c r="F17" s="52"/>
      <c r="G17" s="38">
        <v>25058</v>
      </c>
      <c r="H17" s="38">
        <f>+I17-G17</f>
        <v>30267</v>
      </c>
      <c r="I17" s="38">
        <v>55325</v>
      </c>
      <c r="J17" s="296" t="s">
        <v>1272</v>
      </c>
      <c r="K17" s="5"/>
    </row>
    <row r="18" spans="1:11" x14ac:dyDescent="0.25">
      <c r="A18" s="51"/>
      <c r="B18" s="57"/>
      <c r="C18" s="57"/>
      <c r="D18" s="57"/>
      <c r="E18" s="52"/>
      <c r="F18" s="52"/>
      <c r="G18" s="94"/>
      <c r="H18" s="94"/>
      <c r="I18" s="94"/>
      <c r="J18" s="295"/>
      <c r="K18" s="5"/>
    </row>
    <row r="19" spans="1:11" x14ac:dyDescent="0.25">
      <c r="A19" s="51">
        <v>930.99</v>
      </c>
      <c r="B19" s="54" t="str">
        <f>+B48</f>
        <v>PROP. TAX MISC GENERAL EXPENSE</v>
      </c>
      <c r="C19" s="54"/>
      <c r="D19" s="54"/>
      <c r="E19" s="52"/>
      <c r="F19" s="57"/>
      <c r="G19" s="38">
        <f>+G48</f>
        <v>24976.894599898311</v>
      </c>
      <c r="H19" s="38">
        <f>+I19-G19</f>
        <v>4540.967179906489</v>
      </c>
      <c r="I19" s="38">
        <f>+I48</f>
        <v>29517.8617798048</v>
      </c>
      <c r="J19" s="296" t="s">
        <v>1054</v>
      </c>
      <c r="K19" s="5"/>
    </row>
    <row r="20" spans="1:11" x14ac:dyDescent="0.25">
      <c r="A20" s="125"/>
      <c r="B20" s="52"/>
      <c r="C20" s="52"/>
      <c r="D20" s="52"/>
      <c r="E20" s="52"/>
      <c r="F20" s="57"/>
      <c r="G20" s="52"/>
      <c r="I20" s="52"/>
      <c r="K20" s="5"/>
    </row>
    <row r="21" spans="1:11" ht="13.8" thickBot="1" x14ac:dyDescent="0.3">
      <c r="A21" s="125"/>
      <c r="B21" s="66" t="s">
        <v>1001</v>
      </c>
      <c r="C21" s="52"/>
      <c r="D21" s="52"/>
      <c r="E21" s="52"/>
      <c r="F21" s="57"/>
      <c r="G21" s="224">
        <f>SUM(G9:G20)</f>
        <v>3233000.0229926184</v>
      </c>
      <c r="H21" s="224">
        <f>SUM(H9:H20)</f>
        <v>460313.94459015009</v>
      </c>
      <c r="I21" s="224">
        <f>SUM(I9:I20)</f>
        <v>3693313.9675827683</v>
      </c>
      <c r="J21" s="57"/>
      <c r="K21" s="5"/>
    </row>
    <row r="22" spans="1:11" ht="13.8" thickTop="1" x14ac:dyDescent="0.25">
      <c r="A22" s="125"/>
      <c r="B22" s="52"/>
      <c r="C22" s="52"/>
      <c r="D22" s="52"/>
      <c r="E22" s="52"/>
      <c r="F22" s="57"/>
      <c r="G22" s="52"/>
      <c r="H22" s="38"/>
      <c r="J22" s="52"/>
      <c r="K22" s="5"/>
    </row>
    <row r="23" spans="1:11" x14ac:dyDescent="0.25">
      <c r="A23" s="125"/>
      <c r="B23" s="52"/>
      <c r="C23" s="52"/>
      <c r="D23" s="52"/>
      <c r="E23" s="52"/>
      <c r="F23" s="57"/>
      <c r="G23" s="52"/>
      <c r="H23" s="38"/>
      <c r="J23" s="52"/>
      <c r="K23" s="5"/>
    </row>
    <row r="24" spans="1:11" ht="13.8" thickBot="1" x14ac:dyDescent="0.3">
      <c r="A24" s="197"/>
      <c r="B24" s="190"/>
      <c r="C24" s="190"/>
      <c r="D24" s="190"/>
      <c r="E24" s="190"/>
      <c r="F24" s="198"/>
      <c r="G24" s="190"/>
      <c r="H24" s="193"/>
      <c r="I24" s="190"/>
      <c r="J24" s="190"/>
      <c r="K24" s="5"/>
    </row>
    <row r="25" spans="1:11" x14ac:dyDescent="0.25">
      <c r="A25" s="125"/>
      <c r="B25" s="52"/>
      <c r="C25" s="52"/>
      <c r="D25" s="52"/>
      <c r="E25" s="52"/>
      <c r="F25" s="57"/>
      <c r="G25" s="52"/>
      <c r="H25" s="38"/>
      <c r="J25" s="52"/>
      <c r="K25" s="5"/>
    </row>
    <row r="26" spans="1:11" ht="15.6" x14ac:dyDescent="0.3">
      <c r="A26" s="279" t="s">
        <v>194</v>
      </c>
      <c r="K26" s="5"/>
    </row>
    <row r="27" spans="1:11" x14ac:dyDescent="0.25">
      <c r="A27" s="160"/>
      <c r="E27" s="544" t="s">
        <v>668</v>
      </c>
      <c r="F27" s="545"/>
      <c r="G27" s="545"/>
      <c r="H27" s="546"/>
      <c r="K27" s="5"/>
    </row>
    <row r="28" spans="1:11" ht="14.4" x14ac:dyDescent="0.3">
      <c r="A28" s="160"/>
      <c r="B28" s="107" t="s">
        <v>143</v>
      </c>
      <c r="C28" s="107">
        <v>2019</v>
      </c>
      <c r="D28" s="107">
        <v>2020</v>
      </c>
      <c r="E28" s="280">
        <v>2021</v>
      </c>
      <c r="F28" s="280">
        <v>2022</v>
      </c>
      <c r="G28" s="280">
        <v>2023</v>
      </c>
      <c r="H28" s="280">
        <v>2024</v>
      </c>
      <c r="I28" s="280" t="s">
        <v>1078</v>
      </c>
      <c r="J28" s="109" t="s">
        <v>54</v>
      </c>
      <c r="K28" s="5"/>
    </row>
    <row r="29" spans="1:11" x14ac:dyDescent="0.25">
      <c r="A29" s="160"/>
      <c r="B29" s="67" t="s">
        <v>763</v>
      </c>
      <c r="C29" s="38">
        <v>3525390.5656035994</v>
      </c>
      <c r="D29" s="38">
        <v>3779359.7074583992</v>
      </c>
      <c r="E29" s="38">
        <v>4015071.34</v>
      </c>
      <c r="F29" s="38">
        <v>3794819</v>
      </c>
      <c r="G29" s="38">
        <v>3914724</v>
      </c>
      <c r="H29" s="38">
        <v>5040974</v>
      </c>
      <c r="I29" s="38">
        <f>+H29*(1+H34)</f>
        <v>5164140.1289933538</v>
      </c>
      <c r="J29" s="325" t="s">
        <v>1147</v>
      </c>
      <c r="K29" s="5"/>
    </row>
    <row r="30" spans="1:11" x14ac:dyDescent="0.25">
      <c r="A30" s="160"/>
      <c r="B30" s="67" t="s">
        <v>914</v>
      </c>
      <c r="C30" s="97">
        <v>228538</v>
      </c>
      <c r="D30" s="97">
        <v>253969</v>
      </c>
      <c r="E30" s="97">
        <v>0</v>
      </c>
      <c r="F30" s="97">
        <v>0</v>
      </c>
      <c r="G30" s="97">
        <v>0</v>
      </c>
      <c r="H30" s="97">
        <v>0</v>
      </c>
      <c r="I30" s="38"/>
      <c r="J30" s="296"/>
      <c r="K30" s="5"/>
    </row>
    <row r="31" spans="1:11" x14ac:dyDescent="0.25">
      <c r="A31" s="160"/>
      <c r="B31" s="67" t="s">
        <v>915</v>
      </c>
      <c r="C31" s="38">
        <v>3715359</v>
      </c>
      <c r="D31" s="38">
        <v>3969328</v>
      </c>
      <c r="E31" s="38">
        <v>4015071</v>
      </c>
      <c r="F31" s="38">
        <v>3794819</v>
      </c>
      <c r="G31" s="38">
        <v>3914724</v>
      </c>
      <c r="H31" s="38">
        <v>5040974</v>
      </c>
      <c r="I31" s="38"/>
      <c r="J31" s="296"/>
      <c r="K31" s="5"/>
    </row>
    <row r="32" spans="1:11" ht="14.25" customHeight="1" x14ac:dyDescent="0.25">
      <c r="A32" s="228"/>
      <c r="B32" s="67" t="s">
        <v>666</v>
      </c>
      <c r="C32" s="85">
        <v>228538.26305428939</v>
      </c>
      <c r="D32" s="85">
        <v>253969</v>
      </c>
      <c r="E32" s="85">
        <v>45743.632541600615</v>
      </c>
      <c r="F32" s="85">
        <v>-220252</v>
      </c>
      <c r="G32" s="85">
        <v>119905</v>
      </c>
      <c r="H32" s="85">
        <v>1126250</v>
      </c>
      <c r="I32" s="85"/>
      <c r="K32" s="5"/>
    </row>
    <row r="33" spans="1:11" ht="14.25" customHeight="1" x14ac:dyDescent="0.25">
      <c r="A33" s="228"/>
      <c r="B33" s="67" t="s">
        <v>667</v>
      </c>
      <c r="C33" s="147">
        <v>6.5543458860555209E-2</v>
      </c>
      <c r="D33" s="147">
        <v>6.8356562999334583E-2</v>
      </c>
      <c r="E33" s="147">
        <v>1.1524277135306302E-2</v>
      </c>
      <c r="F33" s="147">
        <v>-5.4856317945274617E-2</v>
      </c>
      <c r="G33" s="147">
        <v>3.1597030109979073E-2</v>
      </c>
      <c r="H33" s="147">
        <v>0.28769578010107288</v>
      </c>
      <c r="I33" s="147"/>
      <c r="J33" s="295" t="s">
        <v>1234</v>
      </c>
      <c r="K33" s="5"/>
    </row>
    <row r="34" spans="1:11" ht="14.25" customHeight="1" x14ac:dyDescent="0.25">
      <c r="A34" s="160"/>
      <c r="B34" s="67" t="s">
        <v>767</v>
      </c>
      <c r="C34" s="67"/>
      <c r="D34" s="267"/>
      <c r="G34" s="229"/>
      <c r="H34" s="147">
        <f>AVERAGE(C33:G33)</f>
        <v>2.4433002231980111E-2</v>
      </c>
      <c r="I34" s="147"/>
      <c r="J34" s="296" t="s">
        <v>1235</v>
      </c>
      <c r="K34" s="5"/>
    </row>
    <row r="35" spans="1:11" ht="14.25" customHeight="1" x14ac:dyDescent="0.25">
      <c r="A35" s="160"/>
      <c r="B35" s="67"/>
      <c r="C35" s="67"/>
      <c r="D35" s="267"/>
      <c r="H35" s="147"/>
      <c r="I35" s="147"/>
      <c r="K35" s="5"/>
    </row>
    <row r="36" spans="1:11" x14ac:dyDescent="0.25">
      <c r="A36" s="160"/>
      <c r="B36" s="142" t="s">
        <v>672</v>
      </c>
      <c r="C36" s="142"/>
      <c r="D36" s="142"/>
      <c r="E36" s="120"/>
      <c r="F36" s="120"/>
      <c r="G36" s="120"/>
      <c r="H36" s="120"/>
      <c r="I36" s="439">
        <f>SUM(I29:I35)</f>
        <v>5164140.1289933538</v>
      </c>
      <c r="K36" s="5"/>
    </row>
    <row r="37" spans="1:11" ht="14.25" customHeight="1" x14ac:dyDescent="0.25">
      <c r="A37" s="228"/>
      <c r="H37" s="33"/>
      <c r="J37" s="267"/>
      <c r="K37" s="5"/>
    </row>
    <row r="38" spans="1:11" x14ac:dyDescent="0.25">
      <c r="A38" s="52"/>
      <c r="B38" s="52"/>
      <c r="C38" s="52"/>
      <c r="D38" s="52"/>
      <c r="G38" s="108" t="s">
        <v>299</v>
      </c>
      <c r="H38" s="108" t="s">
        <v>146</v>
      </c>
      <c r="I38" s="108" t="str">
        <f>+'S1 VEC Master Summary'!E4</f>
        <v>ADJ Test Year</v>
      </c>
      <c r="K38" s="5"/>
    </row>
    <row r="39" spans="1:11" x14ac:dyDescent="0.25">
      <c r="A39" s="109" t="s">
        <v>669</v>
      </c>
      <c r="B39" s="109" t="s">
        <v>670</v>
      </c>
      <c r="C39" s="109"/>
      <c r="D39" s="109"/>
      <c r="G39" s="109" t="str">
        <f>+'S1 VEC Master Summary'!C5</f>
        <v>7/1/23-6/30/24</v>
      </c>
      <c r="H39" s="109" t="s">
        <v>147</v>
      </c>
      <c r="I39" s="109">
        <f>+'S1 VEC Master Summary'!E5</f>
        <v>2025</v>
      </c>
      <c r="J39" s="109" t="s">
        <v>209</v>
      </c>
      <c r="K39" s="5"/>
    </row>
    <row r="40" spans="1:11" x14ac:dyDescent="0.25">
      <c r="A40" s="124">
        <v>107.2</v>
      </c>
      <c r="B40" s="54" t="s">
        <v>195</v>
      </c>
      <c r="C40" s="54"/>
      <c r="D40" s="54"/>
      <c r="G40" s="143">
        <v>10653.982147875438</v>
      </c>
      <c r="H40" s="143">
        <f t="shared" ref="H40:H49" si="0">+I40-G40</f>
        <v>1940.3055448412761</v>
      </c>
      <c r="I40" s="212">
        <v>12594.287692716714</v>
      </c>
      <c r="J40" s="295" t="s">
        <v>210</v>
      </c>
      <c r="K40" s="5"/>
    </row>
    <row r="41" spans="1:11" x14ac:dyDescent="0.25">
      <c r="A41" s="124">
        <v>163</v>
      </c>
      <c r="B41" s="54" t="s">
        <v>208</v>
      </c>
      <c r="C41" s="54"/>
      <c r="D41" s="54"/>
      <c r="G41" s="143">
        <v>19984.808448353448</v>
      </c>
      <c r="H41" s="143">
        <f t="shared" si="0"/>
        <v>3629.4809754903908</v>
      </c>
      <c r="I41" s="212">
        <v>23614.289423843838</v>
      </c>
      <c r="J41" s="295" t="s">
        <v>210</v>
      </c>
      <c r="K41" s="5"/>
    </row>
    <row r="42" spans="1:11" x14ac:dyDescent="0.25">
      <c r="A42" s="124">
        <v>184.01</v>
      </c>
      <c r="B42" s="54" t="s">
        <v>153</v>
      </c>
      <c r="C42" s="54"/>
      <c r="D42" s="54"/>
      <c r="G42" s="143">
        <v>30303.70567383603</v>
      </c>
      <c r="H42" s="143">
        <f>+I42-G42</f>
        <v>5511.2999523271319</v>
      </c>
      <c r="I42" s="212">
        <v>35815.005626163162</v>
      </c>
      <c r="J42" s="295" t="s">
        <v>210</v>
      </c>
      <c r="K42" s="5"/>
    </row>
    <row r="43" spans="1:11" x14ac:dyDescent="0.25">
      <c r="A43" s="124">
        <v>563.99</v>
      </c>
      <c r="B43" s="54" t="s">
        <v>198</v>
      </c>
      <c r="C43" s="54"/>
      <c r="D43" s="54"/>
      <c r="G43" s="143">
        <v>326525.94151366205</v>
      </c>
      <c r="H43" s="143">
        <f t="shared" si="0"/>
        <v>100120.89896576182</v>
      </c>
      <c r="I43" s="212">
        <v>426646.84047942387</v>
      </c>
      <c r="J43" s="295" t="s">
        <v>212</v>
      </c>
      <c r="K43" s="5"/>
    </row>
    <row r="44" spans="1:11" x14ac:dyDescent="0.25">
      <c r="A44" s="124">
        <v>582.99</v>
      </c>
      <c r="B44" s="54" t="s">
        <v>199</v>
      </c>
      <c r="C44" s="54"/>
      <c r="D44" s="54"/>
      <c r="G44" s="143">
        <v>379591.24873474363</v>
      </c>
      <c r="H44" s="143">
        <f t="shared" si="0"/>
        <v>116691.00785216235</v>
      </c>
      <c r="I44" s="212">
        <v>496282.25658690598</v>
      </c>
      <c r="J44" s="295" t="s">
        <v>213</v>
      </c>
      <c r="K44" s="5"/>
    </row>
    <row r="45" spans="1:11" x14ac:dyDescent="0.25">
      <c r="A45" s="124">
        <v>583.99</v>
      </c>
      <c r="B45" s="54" t="s">
        <v>200</v>
      </c>
      <c r="C45" s="54"/>
      <c r="D45" s="54"/>
      <c r="G45" s="143">
        <v>3144022.6183468504</v>
      </c>
      <c r="H45" s="143">
        <f t="shared" si="0"/>
        <v>965506.26656336151</v>
      </c>
      <c r="I45" s="212">
        <v>4109528.8849102119</v>
      </c>
      <c r="J45" s="295" t="s">
        <v>213</v>
      </c>
      <c r="K45" s="5"/>
    </row>
    <row r="46" spans="1:11" x14ac:dyDescent="0.25">
      <c r="A46" s="124">
        <v>586.99</v>
      </c>
      <c r="B46" s="54" t="s">
        <v>201</v>
      </c>
      <c r="C46" s="54"/>
      <c r="D46" s="54"/>
      <c r="G46" s="143">
        <v>11620.14026739011</v>
      </c>
      <c r="H46" s="143">
        <f t="shared" si="0"/>
        <v>3450.2109797515368</v>
      </c>
      <c r="I46" s="212">
        <v>15070.351247141647</v>
      </c>
      <c r="J46" s="295" t="s">
        <v>213</v>
      </c>
      <c r="K46" s="5"/>
    </row>
    <row r="47" spans="1:11" x14ac:dyDescent="0.25">
      <c r="A47" s="124">
        <v>903.99</v>
      </c>
      <c r="B47" s="54" t="s">
        <v>202</v>
      </c>
      <c r="C47" s="54"/>
      <c r="D47" s="54"/>
      <c r="G47" s="143">
        <v>11620.14026739011</v>
      </c>
      <c r="H47" s="143">
        <f t="shared" si="0"/>
        <v>3450.2109797515368</v>
      </c>
      <c r="I47" s="212">
        <v>15070.351247141647</v>
      </c>
      <c r="J47" s="295" t="s">
        <v>214</v>
      </c>
      <c r="K47" s="5"/>
    </row>
    <row r="48" spans="1:11" x14ac:dyDescent="0.25">
      <c r="A48" s="124">
        <v>930.99</v>
      </c>
      <c r="B48" s="54" t="s">
        <v>203</v>
      </c>
      <c r="C48" s="54"/>
      <c r="D48" s="54"/>
      <c r="G48" s="144">
        <v>24976.894599898311</v>
      </c>
      <c r="H48" s="144">
        <f t="shared" si="0"/>
        <v>4540.967179906489</v>
      </c>
      <c r="I48" s="144">
        <v>29517.8617798048</v>
      </c>
      <c r="J48" s="295" t="s">
        <v>215</v>
      </c>
      <c r="K48" s="5"/>
    </row>
    <row r="49" spans="1:11" ht="14.25" customHeight="1" x14ac:dyDescent="0.25">
      <c r="A49" s="161" t="s">
        <v>671</v>
      </c>
      <c r="G49" s="143">
        <f>SUM(G40:G48)</f>
        <v>3959299.48</v>
      </c>
      <c r="H49" s="143">
        <f t="shared" si="0"/>
        <v>1204840.6489933538</v>
      </c>
      <c r="I49" s="143">
        <f>SUM(I40:I48)</f>
        <v>5164140.1289933538</v>
      </c>
      <c r="J49" s="295"/>
      <c r="K49" s="5"/>
    </row>
    <row r="50" spans="1:11" ht="14.25" customHeight="1" x14ac:dyDescent="0.25">
      <c r="A50" s="55"/>
      <c r="I50" s="143"/>
      <c r="J50" s="295"/>
      <c r="K50" s="5"/>
    </row>
    <row r="51" spans="1:11" ht="45" customHeight="1" x14ac:dyDescent="0.25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</row>
    <row r="54" spans="1:11" ht="15" x14ac:dyDescent="0.25">
      <c r="D54" s="517"/>
      <c r="E54" s="517"/>
      <c r="F54" s="517"/>
      <c r="G54" s="517"/>
      <c r="H54" s="517"/>
    </row>
  </sheetData>
  <mergeCells count="1">
    <mergeCell ref="E27:H27"/>
  </mergeCells>
  <phoneticPr fontId="6" type="noConversion"/>
  <pageMargins left="0.86" right="0.26" top="0.57999999999999996" bottom="0.37" header="0.36" footer="0.25"/>
  <pageSetup scale="48" orientation="portrait" horizontalDpi="300" verticalDpi="300" r:id="rId1"/>
  <headerFooter alignWithMargins="0">
    <oddHeader>&amp;R&amp;A</oddHeader>
    <oddFooter>&amp;L&amp;8&amp;Z&amp;F&amp;A&amp;R&amp;8&amp;T &amp;D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V88"/>
  <sheetViews>
    <sheetView showGridLines="0" workbookViewId="0">
      <selection activeCell="E20" sqref="E20"/>
    </sheetView>
  </sheetViews>
  <sheetFormatPr defaultColWidth="8" defaultRowHeight="13.2" x14ac:dyDescent="0.25"/>
  <cols>
    <col min="1" max="1" width="7.81640625" style="53" customWidth="1"/>
    <col min="2" max="2" width="28.6328125" style="53" customWidth="1"/>
    <col min="3" max="3" width="11.81640625" style="53" customWidth="1"/>
    <col min="4" max="4" width="12.90625" style="53" customWidth="1"/>
    <col min="5" max="5" width="10.81640625" style="53" customWidth="1"/>
    <col min="6" max="6" width="31.81640625" style="53" customWidth="1"/>
    <col min="7" max="22" width="7.6328125" style="52" customWidth="1"/>
    <col min="23" max="25" width="7.6328125" style="53" customWidth="1"/>
    <col min="26" max="16384" width="8" style="53"/>
  </cols>
  <sheetData>
    <row r="1" spans="1:11" x14ac:dyDescent="0.25">
      <c r="A1" s="66" t="s">
        <v>882</v>
      </c>
      <c r="G1" s="1"/>
    </row>
    <row r="2" spans="1:11" x14ac:dyDescent="0.25">
      <c r="A2" s="324" t="s">
        <v>1118</v>
      </c>
      <c r="B2" s="52"/>
      <c r="C2" s="52"/>
      <c r="D2" s="52"/>
      <c r="G2" s="1"/>
    </row>
    <row r="3" spans="1:11" x14ac:dyDescent="0.25">
      <c r="A3" s="66" t="s">
        <v>1148</v>
      </c>
      <c r="D3" s="52"/>
      <c r="E3" s="52"/>
      <c r="F3" s="52"/>
      <c r="G3" s="1"/>
    </row>
    <row r="4" spans="1:11" x14ac:dyDescent="0.25">
      <c r="A4" s="59"/>
      <c r="D4" s="52"/>
      <c r="E4" s="52"/>
      <c r="F4" s="52"/>
      <c r="G4" s="1"/>
    </row>
    <row r="5" spans="1:11" x14ac:dyDescent="0.25">
      <c r="A5" s="59"/>
      <c r="B5" s="52"/>
      <c r="E5" s="52"/>
      <c r="F5" s="52"/>
      <c r="G5" s="1"/>
    </row>
    <row r="6" spans="1:11" x14ac:dyDescent="0.25">
      <c r="A6" s="128"/>
      <c r="B6" s="108"/>
      <c r="C6" s="108" t="s">
        <v>299</v>
      </c>
      <c r="D6" s="315" t="s">
        <v>146</v>
      </c>
      <c r="E6" s="108" t="str">
        <f>+'S1 VEC Master Summary'!E4</f>
        <v>ADJ Test Year</v>
      </c>
      <c r="G6" s="1"/>
    </row>
    <row r="7" spans="1:11" x14ac:dyDescent="0.25">
      <c r="A7" s="128" t="s">
        <v>72</v>
      </c>
      <c r="B7" s="109" t="s">
        <v>31</v>
      </c>
      <c r="C7" s="109" t="str">
        <f>+'S1 VEC Master Summary'!C5</f>
        <v>7/1/23-6/30/24</v>
      </c>
      <c r="D7" s="315" t="s">
        <v>147</v>
      </c>
      <c r="E7" s="109">
        <f>+'S1 VEC Master Summary'!E5</f>
        <v>2025</v>
      </c>
      <c r="F7" s="109" t="s">
        <v>54</v>
      </c>
      <c r="G7" s="1"/>
    </row>
    <row r="8" spans="1:11" x14ac:dyDescent="0.25">
      <c r="A8" s="52"/>
      <c r="B8" s="52" t="s">
        <v>316</v>
      </c>
      <c r="C8" s="38">
        <v>964969.10055478185</v>
      </c>
      <c r="D8" s="38">
        <f t="shared" ref="D8:D16" si="0">-C8+E8</f>
        <v>35973.52705155767</v>
      </c>
      <c r="E8" s="38">
        <v>1000942.6276063395</v>
      </c>
      <c r="F8" s="261" t="s">
        <v>212</v>
      </c>
      <c r="G8" s="1"/>
    </row>
    <row r="9" spans="1:11" x14ac:dyDescent="0.25">
      <c r="A9" s="52"/>
      <c r="B9" s="52" t="s">
        <v>58</v>
      </c>
      <c r="C9" s="38">
        <v>3234474.4811893324</v>
      </c>
      <c r="D9" s="38">
        <f t="shared" si="0"/>
        <v>371087.29022518406</v>
      </c>
      <c r="E9" s="38">
        <v>3605561.7714145165</v>
      </c>
      <c r="F9" s="261" t="s">
        <v>213</v>
      </c>
      <c r="G9" s="1"/>
    </row>
    <row r="10" spans="1:11" x14ac:dyDescent="0.25">
      <c r="A10" s="52"/>
      <c r="B10" s="52" t="s">
        <v>59</v>
      </c>
      <c r="C10" s="38">
        <v>5346465.7184941107</v>
      </c>
      <c r="D10" s="38">
        <f t="shared" si="0"/>
        <v>-180147.7666825708</v>
      </c>
      <c r="E10" s="38">
        <v>5166317.9518115399</v>
      </c>
      <c r="F10" s="261" t="s">
        <v>213</v>
      </c>
      <c r="G10" s="1"/>
    </row>
    <row r="11" spans="1:11" x14ac:dyDescent="0.25">
      <c r="A11" s="52"/>
      <c r="B11" s="52" t="s">
        <v>60</v>
      </c>
      <c r="C11" s="38">
        <v>1898963.2954312516</v>
      </c>
      <c r="D11" s="38">
        <f t="shared" si="0"/>
        <v>421324.41675475147</v>
      </c>
      <c r="E11" s="38">
        <v>2320287.7121860031</v>
      </c>
      <c r="F11" s="261" t="s">
        <v>214</v>
      </c>
      <c r="G11" s="1"/>
    </row>
    <row r="12" spans="1:11" x14ac:dyDescent="0.25">
      <c r="A12" s="52"/>
      <c r="B12" s="52" t="s">
        <v>281</v>
      </c>
      <c r="C12" s="38">
        <f>2763517.85839272</f>
        <v>2763517.8583927201</v>
      </c>
      <c r="D12" s="38">
        <f t="shared" si="0"/>
        <v>352381.35219066031</v>
      </c>
      <c r="E12" s="38">
        <v>3115899.2105833804</v>
      </c>
      <c r="F12" s="261" t="s">
        <v>215</v>
      </c>
      <c r="G12" s="1"/>
    </row>
    <row r="13" spans="1:11" x14ac:dyDescent="0.25">
      <c r="A13" s="52"/>
      <c r="B13" s="59" t="s">
        <v>140</v>
      </c>
      <c r="C13" s="37">
        <v>123550.90041866573</v>
      </c>
      <c r="D13" s="37">
        <f t="shared" si="0"/>
        <v>-13578.964427159211</v>
      </c>
      <c r="E13" s="37">
        <v>109971.93599150651</v>
      </c>
      <c r="F13" s="262" t="s">
        <v>211</v>
      </c>
      <c r="G13" s="1"/>
    </row>
    <row r="14" spans="1:11" x14ac:dyDescent="0.25">
      <c r="A14" s="66" t="s">
        <v>32</v>
      </c>
      <c r="C14" s="120">
        <f>SUM(C8:C13)</f>
        <v>14331941.354480863</v>
      </c>
      <c r="D14" s="120">
        <f t="shared" si="0"/>
        <v>987039.85511242226</v>
      </c>
      <c r="E14" s="120">
        <f>SUM(E8:E13)</f>
        <v>15318981.209593285</v>
      </c>
      <c r="G14" s="1"/>
    </row>
    <row r="15" spans="1:11" x14ac:dyDescent="0.25">
      <c r="A15" s="52" t="s">
        <v>33</v>
      </c>
      <c r="C15" s="38">
        <v>5276562.25</v>
      </c>
      <c r="D15" s="38">
        <f t="shared" si="0"/>
        <v>331080.37999999989</v>
      </c>
      <c r="E15" s="38">
        <v>5607642.6299999999</v>
      </c>
      <c r="G15" s="5"/>
      <c r="H15" s="65"/>
      <c r="I15" s="65"/>
      <c r="J15" s="327"/>
      <c r="K15" s="53"/>
    </row>
    <row r="16" spans="1:11" x14ac:dyDescent="0.25">
      <c r="A16" s="142" t="s">
        <v>34</v>
      </c>
      <c r="B16" s="142"/>
      <c r="C16" s="120">
        <f>+C14+C15</f>
        <v>19608503.604480863</v>
      </c>
      <c r="D16" s="120">
        <f t="shared" si="0"/>
        <v>1318120.2351124212</v>
      </c>
      <c r="E16" s="120">
        <f>+E14+E15</f>
        <v>20926623.839593284</v>
      </c>
      <c r="F16" s="296" t="s">
        <v>1149</v>
      </c>
      <c r="G16" s="5"/>
      <c r="H16" s="65"/>
      <c r="I16" s="65"/>
      <c r="J16" s="327"/>
      <c r="K16" s="53"/>
    </row>
    <row r="17" spans="1:12" ht="15" x14ac:dyDescent="0.25">
      <c r="A17" s="33"/>
      <c r="B17" s="33"/>
      <c r="C17" s="33"/>
      <c r="D17" s="120"/>
      <c r="E17" s="38"/>
      <c r="F17" s="296" t="s">
        <v>1150</v>
      </c>
      <c r="G17" s="118"/>
      <c r="H17" s="65"/>
      <c r="I17" s="65"/>
    </row>
    <row r="18" spans="1:12" ht="15" x14ac:dyDescent="0.25">
      <c r="A18" s="33"/>
      <c r="B18" s="142"/>
      <c r="C18" s="278"/>
      <c r="D18" s="120"/>
      <c r="E18" s="278"/>
      <c r="F18" s="267"/>
      <c r="G18" s="118"/>
      <c r="H18" s="65"/>
      <c r="I18" s="65"/>
      <c r="L18" s="65"/>
    </row>
    <row r="19" spans="1:12" x14ac:dyDescent="0.25">
      <c r="A19" s="52"/>
      <c r="B19" s="52"/>
      <c r="C19" s="119"/>
      <c r="D19" s="52"/>
      <c r="E19" s="64"/>
      <c r="F19" s="52"/>
      <c r="G19" s="118"/>
      <c r="H19" s="65"/>
      <c r="I19" s="65"/>
    </row>
    <row r="20" spans="1:12" ht="46.95" customHeight="1" x14ac:dyDescent="0.25">
      <c r="A20" s="5"/>
      <c r="B20" s="5"/>
      <c r="C20" s="69"/>
      <c r="D20" s="5"/>
      <c r="E20" s="5"/>
      <c r="F20" s="5"/>
      <c r="G20" s="5"/>
      <c r="H20" s="65"/>
      <c r="I20" s="65"/>
      <c r="J20" s="327"/>
      <c r="L20" s="65"/>
    </row>
    <row r="21" spans="1:12" x14ac:dyDescent="0.25">
      <c r="G21" s="53"/>
      <c r="L21" s="65"/>
    </row>
    <row r="22" spans="1:12" x14ac:dyDescent="0.25">
      <c r="G22" s="53"/>
      <c r="L22" s="65"/>
    </row>
    <row r="23" spans="1:12" x14ac:dyDescent="0.25">
      <c r="G23" s="53"/>
    </row>
    <row r="24" spans="1:12" x14ac:dyDescent="0.25">
      <c r="G24" s="53"/>
      <c r="L24" s="65"/>
    </row>
    <row r="25" spans="1:12" x14ac:dyDescent="0.25">
      <c r="G25" s="53"/>
      <c r="L25" s="65"/>
    </row>
    <row r="26" spans="1:12" x14ac:dyDescent="0.25">
      <c r="G26" s="53"/>
      <c r="L26" s="65"/>
    </row>
    <row r="27" spans="1:12" x14ac:dyDescent="0.25">
      <c r="G27" s="53"/>
      <c r="L27" s="65"/>
    </row>
    <row r="28" spans="1:12" x14ac:dyDescent="0.25">
      <c r="G28" s="53"/>
    </row>
    <row r="29" spans="1:12" x14ac:dyDescent="0.25">
      <c r="G29" s="53"/>
      <c r="L29" s="65"/>
    </row>
    <row r="30" spans="1:12" x14ac:dyDescent="0.25">
      <c r="G30" s="53"/>
      <c r="L30" s="65"/>
    </row>
    <row r="31" spans="1:12" x14ac:dyDescent="0.25">
      <c r="G31" s="53"/>
    </row>
    <row r="32" spans="1:12" x14ac:dyDescent="0.25">
      <c r="G32" s="53"/>
    </row>
    <row r="67" spans="1:6" x14ac:dyDescent="0.25">
      <c r="A67" s="52"/>
      <c r="B67" s="52"/>
      <c r="C67" s="52"/>
      <c r="D67" s="52"/>
      <c r="E67" s="52"/>
      <c r="F67" s="52"/>
    </row>
    <row r="68" spans="1:6" x14ac:dyDescent="0.25">
      <c r="A68" s="52"/>
      <c r="B68" s="52"/>
      <c r="C68" s="52"/>
      <c r="D68" s="52"/>
      <c r="E68" s="52"/>
      <c r="F68" s="52"/>
    </row>
    <row r="69" spans="1:6" x14ac:dyDescent="0.25">
      <c r="A69" s="52"/>
      <c r="B69" s="52"/>
      <c r="C69" s="52"/>
      <c r="D69" s="52"/>
      <c r="E69" s="52"/>
      <c r="F69" s="52"/>
    </row>
    <row r="70" spans="1:6" x14ac:dyDescent="0.25">
      <c r="A70" s="52"/>
      <c r="B70" s="52"/>
      <c r="C70" s="52"/>
      <c r="D70" s="52"/>
      <c r="E70" s="52"/>
      <c r="F70" s="52"/>
    </row>
    <row r="71" spans="1:6" x14ac:dyDescent="0.25">
      <c r="A71" s="52"/>
      <c r="B71" s="52"/>
      <c r="C71" s="52"/>
      <c r="D71" s="52"/>
      <c r="E71" s="52"/>
      <c r="F71" s="52"/>
    </row>
    <row r="72" spans="1:6" x14ac:dyDescent="0.25">
      <c r="A72" s="52"/>
      <c r="B72" s="52"/>
      <c r="C72" s="52"/>
      <c r="D72" s="52"/>
      <c r="E72" s="52"/>
      <c r="F72" s="52"/>
    </row>
    <row r="73" spans="1:6" x14ac:dyDescent="0.25">
      <c r="A73" s="52"/>
      <c r="B73" s="52"/>
      <c r="C73" s="52"/>
      <c r="D73" s="52"/>
      <c r="E73" s="52"/>
      <c r="F73" s="52"/>
    </row>
    <row r="74" spans="1:6" x14ac:dyDescent="0.25">
      <c r="A74" s="52"/>
      <c r="B74" s="52"/>
      <c r="C74" s="52"/>
      <c r="D74" s="52"/>
      <c r="E74" s="52"/>
      <c r="F74" s="52"/>
    </row>
    <row r="75" spans="1:6" x14ac:dyDescent="0.25">
      <c r="A75" s="52"/>
      <c r="B75" s="52"/>
      <c r="C75" s="52"/>
      <c r="D75" s="52"/>
      <c r="E75" s="52"/>
      <c r="F75" s="52"/>
    </row>
    <row r="76" spans="1:6" x14ac:dyDescent="0.25">
      <c r="A76" s="52"/>
      <c r="B76" s="52"/>
      <c r="C76" s="52"/>
      <c r="D76" s="52"/>
      <c r="E76" s="52"/>
      <c r="F76" s="52"/>
    </row>
    <row r="77" spans="1:6" x14ac:dyDescent="0.25">
      <c r="A77" s="52"/>
      <c r="B77" s="52"/>
      <c r="C77" s="52"/>
      <c r="D77" s="52"/>
      <c r="E77" s="52"/>
      <c r="F77" s="52"/>
    </row>
    <row r="78" spans="1:6" x14ac:dyDescent="0.25">
      <c r="A78" s="52"/>
      <c r="B78" s="52"/>
      <c r="C78" s="52"/>
      <c r="D78" s="52"/>
      <c r="E78" s="52"/>
      <c r="F78" s="52"/>
    </row>
    <row r="79" spans="1:6" x14ac:dyDescent="0.25">
      <c r="A79" s="52"/>
      <c r="B79" s="52"/>
      <c r="C79" s="52"/>
      <c r="D79" s="52"/>
      <c r="E79" s="52"/>
      <c r="F79" s="52"/>
    </row>
    <row r="80" spans="1:6" x14ac:dyDescent="0.25">
      <c r="A80" s="52"/>
      <c r="B80" s="52"/>
      <c r="C80" s="52"/>
      <c r="D80" s="52"/>
      <c r="E80" s="52"/>
      <c r="F80" s="52"/>
    </row>
    <row r="81" spans="1:6" x14ac:dyDescent="0.25">
      <c r="A81" s="52"/>
      <c r="B81" s="52"/>
      <c r="C81" s="52"/>
      <c r="D81" s="52"/>
      <c r="E81" s="52"/>
      <c r="F81" s="52"/>
    </row>
    <row r="82" spans="1:6" x14ac:dyDescent="0.25">
      <c r="A82" s="52"/>
      <c r="B82" s="52"/>
      <c r="C82" s="52"/>
      <c r="D82" s="52"/>
      <c r="E82" s="52"/>
      <c r="F82" s="52"/>
    </row>
    <row r="83" spans="1:6" x14ac:dyDescent="0.25">
      <c r="A83" s="52"/>
      <c r="B83" s="52"/>
      <c r="C83" s="52"/>
      <c r="D83" s="52"/>
      <c r="E83" s="52"/>
      <c r="F83" s="52"/>
    </row>
    <row r="84" spans="1:6" x14ac:dyDescent="0.25">
      <c r="A84" s="52"/>
      <c r="B84" s="52"/>
      <c r="C84" s="52"/>
      <c r="D84" s="52"/>
      <c r="E84" s="52"/>
      <c r="F84" s="52"/>
    </row>
    <row r="85" spans="1:6" x14ac:dyDescent="0.25">
      <c r="A85" s="52"/>
      <c r="B85" s="52"/>
      <c r="C85" s="52"/>
      <c r="D85" s="52"/>
      <c r="E85" s="52"/>
      <c r="F85" s="52"/>
    </row>
    <row r="86" spans="1:6" x14ac:dyDescent="0.25">
      <c r="A86" s="52"/>
      <c r="B86" s="52"/>
      <c r="C86" s="52"/>
      <c r="D86" s="52"/>
      <c r="E86" s="52"/>
      <c r="F86" s="52"/>
    </row>
    <row r="87" spans="1:6" x14ac:dyDescent="0.25">
      <c r="A87" s="52"/>
      <c r="B87" s="52"/>
      <c r="C87" s="52"/>
      <c r="D87" s="52"/>
      <c r="E87" s="52"/>
      <c r="F87" s="52"/>
    </row>
    <row r="88" spans="1:6" x14ac:dyDescent="0.25">
      <c r="A88" s="52"/>
      <c r="B88" s="52"/>
      <c r="C88" s="52"/>
      <c r="D88" s="52"/>
      <c r="E88" s="52"/>
      <c r="F88" s="52"/>
    </row>
  </sheetData>
  <sheetProtection selectLockedCells="1" selectUnlockedCells="1"/>
  <phoneticPr fontId="6" type="noConversion"/>
  <pageMargins left="0.21" right="0.18" top="0.38" bottom="0.34" header="0.17" footer="0.17"/>
  <pageSetup scale="84" orientation="portrait" horizontalDpi="300" verticalDpi="300" r:id="rId1"/>
  <headerFooter alignWithMargins="0">
    <oddHeader>&amp;R&amp;A</oddHeader>
    <oddFooter>&amp;L&amp;8&amp;Z&amp;F&amp;A&amp;R&amp;8&amp;T &amp;D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R74"/>
  <sheetViews>
    <sheetView showGridLines="0" workbookViewId="0"/>
  </sheetViews>
  <sheetFormatPr defaultColWidth="8.90625" defaultRowHeight="13.2" x14ac:dyDescent="0.25"/>
  <cols>
    <col min="1" max="1" width="31.54296875" style="53" customWidth="1"/>
    <col min="2" max="2" width="11.54296875" style="53" bestFit="1" customWidth="1"/>
    <col min="3" max="3" width="14" style="53" bestFit="1" customWidth="1"/>
    <col min="4" max="4" width="2.1796875" style="53" customWidth="1"/>
    <col min="5" max="5" width="14" style="53" bestFit="1" customWidth="1"/>
    <col min="6" max="6" width="16.453125" style="53" customWidth="1"/>
    <col min="7" max="7" width="8" style="53"/>
    <col min="8" max="16384" width="8.90625" style="53"/>
  </cols>
  <sheetData>
    <row r="1" spans="1:7" x14ac:dyDescent="0.25">
      <c r="A1" s="66" t="s">
        <v>882</v>
      </c>
      <c r="B1" s="59"/>
      <c r="C1" s="59"/>
      <c r="D1" s="59"/>
      <c r="E1" s="59"/>
      <c r="F1" s="59"/>
      <c r="G1" s="5"/>
    </row>
    <row r="2" spans="1:7" x14ac:dyDescent="0.25">
      <c r="A2" s="324" t="s">
        <v>678</v>
      </c>
      <c r="B2" s="59"/>
      <c r="C2" s="59"/>
      <c r="D2" s="59"/>
      <c r="E2" s="59"/>
      <c r="F2" s="59"/>
      <c r="G2" s="5"/>
    </row>
    <row r="3" spans="1:7" x14ac:dyDescent="0.25">
      <c r="A3" s="66" t="s">
        <v>919</v>
      </c>
      <c r="B3" s="67"/>
      <c r="C3" s="110"/>
      <c r="D3" s="59"/>
      <c r="E3" s="110"/>
      <c r="F3" s="110"/>
      <c r="G3" s="5"/>
    </row>
    <row r="4" spans="1:7" x14ac:dyDescent="0.25">
      <c r="A4" s="59"/>
      <c r="B4" s="67"/>
      <c r="C4" s="110"/>
      <c r="D4" s="59"/>
      <c r="E4" s="110"/>
      <c r="F4" s="110"/>
      <c r="G4" s="5"/>
    </row>
    <row r="5" spans="1:7" x14ac:dyDescent="0.25">
      <c r="A5" s="112"/>
      <c r="B5" s="112"/>
      <c r="C5" s="213"/>
      <c r="D5" s="112"/>
      <c r="E5" s="213"/>
      <c r="F5" s="213"/>
      <c r="G5" s="5"/>
    </row>
    <row r="6" spans="1:7" x14ac:dyDescent="0.25">
      <c r="A6" s="112"/>
      <c r="B6" s="112"/>
      <c r="C6" s="213"/>
      <c r="D6" s="112"/>
      <c r="E6" s="112"/>
      <c r="F6" s="112"/>
      <c r="G6" s="5"/>
    </row>
    <row r="7" spans="1:7" x14ac:dyDescent="0.25">
      <c r="A7" s="128"/>
      <c r="B7" s="108" t="s">
        <v>299</v>
      </c>
      <c r="C7" s="108" t="s">
        <v>146</v>
      </c>
      <c r="D7" s="267"/>
      <c r="E7" s="108" t="s">
        <v>180</v>
      </c>
      <c r="F7" s="112"/>
      <c r="G7" s="5"/>
    </row>
    <row r="8" spans="1:7" x14ac:dyDescent="0.25">
      <c r="A8" s="128"/>
      <c r="B8" s="109" t="str">
        <f>'S1 VEC Master Summary'!C5</f>
        <v>7/1/23-6/30/24</v>
      </c>
      <c r="C8" s="109" t="s">
        <v>147</v>
      </c>
      <c r="D8" s="267"/>
      <c r="E8" s="109">
        <f>+'S1 VEC Master Summary'!E5</f>
        <v>2025</v>
      </c>
      <c r="F8" s="112"/>
      <c r="G8" s="5"/>
    </row>
    <row r="9" spans="1:7" x14ac:dyDescent="0.25">
      <c r="A9" s="112" t="s">
        <v>100</v>
      </c>
      <c r="B9" s="213">
        <v>11341129.5</v>
      </c>
      <c r="C9" s="214">
        <f>SUM(E9-B9)</f>
        <v>1507275.0077520404</v>
      </c>
      <c r="D9" s="112"/>
      <c r="E9" s="334">
        <v>12848404.50775204</v>
      </c>
      <c r="F9" s="112"/>
      <c r="G9" s="5"/>
    </row>
    <row r="10" spans="1:7" x14ac:dyDescent="0.25">
      <c r="A10" s="112" t="s">
        <v>101</v>
      </c>
      <c r="B10" s="213">
        <v>2715189.4</v>
      </c>
      <c r="C10" s="305">
        <f>SUM(E10-B10)</f>
        <v>-877787.15139306872</v>
      </c>
      <c r="D10" s="112"/>
      <c r="E10" s="334">
        <v>1837402.2486069312</v>
      </c>
      <c r="F10" s="112"/>
      <c r="G10" s="5"/>
    </row>
    <row r="11" spans="1:7" x14ac:dyDescent="0.25">
      <c r="A11" s="112" t="s">
        <v>118</v>
      </c>
      <c r="B11" s="334">
        <v>82280</v>
      </c>
      <c r="C11" s="305">
        <f>SUM(E11-B11)</f>
        <v>-8183.5150448478234</v>
      </c>
      <c r="D11" s="112"/>
      <c r="E11" s="334">
        <v>74096.484955152177</v>
      </c>
      <c r="F11" s="112"/>
      <c r="G11" s="5"/>
    </row>
    <row r="12" spans="1:7" x14ac:dyDescent="0.25">
      <c r="A12" s="440" t="s">
        <v>102</v>
      </c>
      <c r="B12" s="336">
        <v>185761.66</v>
      </c>
      <c r="C12" s="337">
        <f>SUM(E12-B12)</f>
        <v>9653.2200000000012</v>
      </c>
      <c r="D12" s="338"/>
      <c r="E12" s="336">
        <v>195414.88</v>
      </c>
      <c r="F12" s="112"/>
      <c r="G12" s="5"/>
    </row>
    <row r="13" spans="1:7" x14ac:dyDescent="0.25">
      <c r="A13" s="218" t="s">
        <v>109</v>
      </c>
      <c r="B13" s="127">
        <f>SUM(B9:B12)</f>
        <v>14324360.560000001</v>
      </c>
      <c r="C13" s="332">
        <f>SUM(E13-B13)</f>
        <v>630957.56131412461</v>
      </c>
      <c r="D13" s="127"/>
      <c r="E13" s="127">
        <f>SUM(E9:E12)</f>
        <v>14955318.121314125</v>
      </c>
      <c r="F13" s="160"/>
      <c r="G13" s="5"/>
    </row>
    <row r="14" spans="1:7" x14ac:dyDescent="0.25">
      <c r="A14" s="112"/>
      <c r="B14" s="112"/>
      <c r="C14" s="214"/>
      <c r="D14" s="112"/>
      <c r="E14" s="112"/>
      <c r="F14" s="160"/>
      <c r="G14" s="5"/>
    </row>
    <row r="15" spans="1:7" x14ac:dyDescent="0.25">
      <c r="A15" s="91"/>
      <c r="B15" s="126"/>
      <c r="C15" s="130"/>
      <c r="D15" s="126"/>
      <c r="E15" s="126"/>
      <c r="F15" s="160"/>
      <c r="G15" s="5"/>
    </row>
    <row r="16" spans="1:7" x14ac:dyDescent="0.25">
      <c r="A16" s="112" t="s">
        <v>103</v>
      </c>
      <c r="B16" s="334">
        <v>2016504.96</v>
      </c>
      <c r="C16" s="214">
        <f t="shared" ref="C16:C21" si="0">SUM(E16-B16)</f>
        <v>358598.49719040142</v>
      </c>
      <c r="D16" s="213"/>
      <c r="E16" s="334">
        <v>2375103.4571904014</v>
      </c>
      <c r="F16" s="160"/>
      <c r="G16" s="5"/>
    </row>
    <row r="17" spans="1:9" x14ac:dyDescent="0.25">
      <c r="A17" s="112" t="s">
        <v>104</v>
      </c>
      <c r="B17" s="334">
        <v>597669.66999999993</v>
      </c>
      <c r="C17" s="214">
        <f t="shared" si="0"/>
        <v>107886.8873447763</v>
      </c>
      <c r="D17" s="213"/>
      <c r="E17" s="334">
        <v>705556.55734477623</v>
      </c>
      <c r="F17" s="160"/>
      <c r="G17" s="5"/>
    </row>
    <row r="18" spans="1:9" x14ac:dyDescent="0.25">
      <c r="A18" s="112" t="s">
        <v>105</v>
      </c>
      <c r="B18" s="334">
        <v>1146824.79</v>
      </c>
      <c r="C18" s="214">
        <f t="shared" si="0"/>
        <v>160676.0075131387</v>
      </c>
      <c r="D18" s="213"/>
      <c r="E18" s="334">
        <v>1307500.7975131387</v>
      </c>
      <c r="F18" s="160"/>
      <c r="G18" s="5"/>
    </row>
    <row r="19" spans="1:9" x14ac:dyDescent="0.25">
      <c r="A19" s="112" t="s">
        <v>106</v>
      </c>
      <c r="B19" s="334">
        <v>80601.23</v>
      </c>
      <c r="C19" s="214">
        <f t="shared" si="0"/>
        <v>2674.2370299999893</v>
      </c>
      <c r="D19" s="213"/>
      <c r="E19" s="334">
        <v>83275.467029999985</v>
      </c>
      <c r="F19" s="160"/>
      <c r="G19" s="5"/>
    </row>
    <row r="20" spans="1:9" x14ac:dyDescent="0.25">
      <c r="A20" s="112" t="s">
        <v>289</v>
      </c>
      <c r="B20" s="334">
        <v>109453.40999999999</v>
      </c>
      <c r="C20" s="214">
        <f t="shared" si="0"/>
        <v>5908.3077232588257</v>
      </c>
      <c r="D20" s="213"/>
      <c r="E20" s="334">
        <v>115361.71772325881</v>
      </c>
      <c r="F20" s="160"/>
      <c r="G20" s="5"/>
    </row>
    <row r="21" spans="1:9" x14ac:dyDescent="0.25">
      <c r="A21" s="440" t="s">
        <v>676</v>
      </c>
      <c r="B21" s="336">
        <v>53792.450000000004</v>
      </c>
      <c r="C21" s="524">
        <f t="shared" si="0"/>
        <v>-517.25833599599719</v>
      </c>
      <c r="D21" s="338"/>
      <c r="E21" s="336">
        <v>53275.191664004007</v>
      </c>
      <c r="F21" s="160"/>
      <c r="G21" s="5"/>
    </row>
    <row r="22" spans="1:9" x14ac:dyDescent="0.25">
      <c r="A22" s="218" t="s">
        <v>107</v>
      </c>
      <c r="B22" s="127">
        <f>SUM(B16:B21)</f>
        <v>4004846.5100000002</v>
      </c>
      <c r="C22" s="332">
        <f>SUM(C16:C21)</f>
        <v>635226.67846557929</v>
      </c>
      <c r="D22" s="127"/>
      <c r="E22" s="127">
        <f>SUM(E16:E21)</f>
        <v>4640073.1884655785</v>
      </c>
      <c r="F22" s="160"/>
      <c r="G22" s="5"/>
    </row>
    <row r="23" spans="1:9" x14ac:dyDescent="0.25">
      <c r="A23" s="91"/>
      <c r="B23" s="91"/>
      <c r="C23" s="332"/>
      <c r="D23" s="91"/>
      <c r="E23" s="91"/>
      <c r="F23" s="160"/>
      <c r="G23" s="5"/>
    </row>
    <row r="24" spans="1:9" x14ac:dyDescent="0.25">
      <c r="A24" s="112" t="s">
        <v>108</v>
      </c>
      <c r="B24" s="334">
        <v>193987.5</v>
      </c>
      <c r="C24" s="445">
        <f>SUM(E24-B24)</f>
        <v>2343.8999999999942</v>
      </c>
      <c r="D24" s="213"/>
      <c r="E24" s="334">
        <v>196331.4</v>
      </c>
      <c r="F24" s="160"/>
      <c r="G24" s="5"/>
    </row>
    <row r="25" spans="1:9" x14ac:dyDescent="0.25">
      <c r="A25" s="112" t="s">
        <v>110</v>
      </c>
      <c r="B25" s="334">
        <v>45984</v>
      </c>
      <c r="C25" s="525">
        <f>SUM(E25-B25)</f>
        <v>-45984</v>
      </c>
      <c r="D25" s="213"/>
      <c r="E25" s="334">
        <v>0</v>
      </c>
      <c r="F25" s="160" t="s">
        <v>302</v>
      </c>
      <c r="G25" s="5"/>
    </row>
    <row r="26" spans="1:9" x14ac:dyDescent="0.25">
      <c r="A26" s="440" t="s">
        <v>113</v>
      </c>
      <c r="B26" s="336">
        <v>1039325.0300000001</v>
      </c>
      <c r="C26" s="339">
        <f>SUM(E26-B26)</f>
        <v>95575.869999999763</v>
      </c>
      <c r="D26" s="338"/>
      <c r="E26" s="336">
        <v>1134900.8999999999</v>
      </c>
      <c r="F26" s="160"/>
      <c r="G26" s="5"/>
    </row>
    <row r="27" spans="1:9" x14ac:dyDescent="0.25">
      <c r="A27" s="340" t="s">
        <v>111</v>
      </c>
      <c r="B27" s="127">
        <f>SUM(B24:B26)</f>
        <v>1279296.5300000003</v>
      </c>
      <c r="C27" s="332">
        <f>SUM(E27-B27)</f>
        <v>51935.769999999553</v>
      </c>
      <c r="D27" s="128"/>
      <c r="E27" s="127">
        <f>SUM(E24:E26)</f>
        <v>1331232.2999999998</v>
      </c>
      <c r="F27" s="160"/>
      <c r="G27" s="5"/>
      <c r="I27" s="267"/>
    </row>
    <row r="28" spans="1:9" x14ac:dyDescent="0.25">
      <c r="A28" s="91"/>
      <c r="B28" s="126"/>
      <c r="C28" s="130"/>
      <c r="D28" s="126"/>
      <c r="E28" s="126"/>
      <c r="F28" s="160"/>
      <c r="G28" s="5"/>
      <c r="I28" s="267"/>
    </row>
    <row r="29" spans="1:9" x14ac:dyDescent="0.25">
      <c r="A29" s="91"/>
      <c r="B29" s="126"/>
      <c r="C29" s="130"/>
      <c r="D29" s="126"/>
      <c r="E29" s="126"/>
      <c r="F29" s="160"/>
      <c r="G29" s="5"/>
    </row>
    <row r="30" spans="1:9" x14ac:dyDescent="0.25">
      <c r="A30" s="91"/>
      <c r="B30" s="126"/>
      <c r="C30" s="130"/>
      <c r="D30" s="126"/>
      <c r="E30" s="126"/>
      <c r="F30" s="160"/>
      <c r="G30" s="5"/>
    </row>
    <row r="31" spans="1:9" x14ac:dyDescent="0.25">
      <c r="A31" s="341" t="s">
        <v>112</v>
      </c>
      <c r="B31" s="127">
        <f>SUM(B13+B22+B27)</f>
        <v>19608503.600000001</v>
      </c>
      <c r="C31" s="332">
        <f>SUM(E31-B31)</f>
        <v>1318120.0097797029</v>
      </c>
      <c r="D31" s="127"/>
      <c r="E31" s="127">
        <f>SUM(E13+E22+E27)</f>
        <v>20926623.609779704</v>
      </c>
      <c r="F31" s="160" t="s">
        <v>698</v>
      </c>
      <c r="G31" s="5"/>
    </row>
    <row r="32" spans="1:9" x14ac:dyDescent="0.25">
      <c r="A32" s="91"/>
      <c r="B32" s="126"/>
      <c r="C32" s="91"/>
      <c r="D32" s="91"/>
      <c r="E32" s="91"/>
      <c r="F32" s="160"/>
      <c r="G32" s="5"/>
    </row>
    <row r="33" spans="1:12" x14ac:dyDescent="0.25">
      <c r="A33" s="326" t="s">
        <v>1158</v>
      </c>
      <c r="B33" s="126"/>
      <c r="C33" s="91"/>
      <c r="D33" s="91"/>
      <c r="E33" s="91"/>
      <c r="F33" s="160"/>
      <c r="G33" s="5"/>
    </row>
    <row r="34" spans="1:12" x14ac:dyDescent="0.25">
      <c r="A34" s="326" t="s">
        <v>1159</v>
      </c>
      <c r="B34" s="126"/>
      <c r="C34" s="91"/>
      <c r="D34" s="91"/>
      <c r="E34" s="91"/>
      <c r="F34" s="160"/>
      <c r="G34" s="5"/>
    </row>
    <row r="35" spans="1:12" x14ac:dyDescent="0.25">
      <c r="A35" s="342" t="s">
        <v>1151</v>
      </c>
      <c r="B35" s="126"/>
      <c r="C35" s="91"/>
      <c r="D35" s="91"/>
      <c r="E35" s="91"/>
      <c r="F35" s="160"/>
      <c r="G35" s="5"/>
    </row>
    <row r="36" spans="1:12" ht="38.4" customHeight="1" x14ac:dyDescent="0.25">
      <c r="A36" s="5"/>
      <c r="B36" s="5"/>
      <c r="C36" s="5"/>
      <c r="D36" s="5"/>
      <c r="E36" s="5"/>
      <c r="F36" s="5"/>
      <c r="G36" s="5"/>
    </row>
    <row r="37" spans="1:12" x14ac:dyDescent="0.25">
      <c r="L37" s="328"/>
    </row>
    <row r="38" spans="1:12" ht="15" hidden="1" x14ac:dyDescent="0.25">
      <c r="B38" s="526">
        <f>B31-'S6A Total Payroll by Function'!C16</f>
        <v>-4.4808611273765564E-3</v>
      </c>
      <c r="C38" s="526">
        <f>C31-'S6A Total Payroll by Function'!D16</f>
        <v>-0.22533271834254265</v>
      </c>
      <c r="D38" s="526"/>
      <c r="E38" s="526">
        <f>E31-'S6A Total Payroll by Function'!E16</f>
        <v>-0.2298135794699192</v>
      </c>
      <c r="F38" s="267" t="s">
        <v>1244</v>
      </c>
      <c r="L38" s="328"/>
    </row>
    <row r="39" spans="1:12" x14ac:dyDescent="0.25">
      <c r="L39" s="328"/>
    </row>
    <row r="40" spans="1:12" x14ac:dyDescent="0.25">
      <c r="L40" s="328"/>
    </row>
    <row r="41" spans="1:12" x14ac:dyDescent="0.25">
      <c r="L41" s="328"/>
    </row>
    <row r="42" spans="1:12" ht="15" customHeight="1" x14ac:dyDescent="0.25">
      <c r="L42" s="328"/>
    </row>
    <row r="43" spans="1:12" x14ac:dyDescent="0.25">
      <c r="L43" s="328"/>
    </row>
    <row r="44" spans="1:12" x14ac:dyDescent="0.25">
      <c r="L44" s="328"/>
    </row>
    <row r="45" spans="1:12" x14ac:dyDescent="0.25">
      <c r="L45" s="328"/>
    </row>
    <row r="46" spans="1:12" x14ac:dyDescent="0.25">
      <c r="L46" s="328"/>
    </row>
    <row r="47" spans="1:12" ht="15.75" customHeight="1" x14ac:dyDescent="0.25">
      <c r="L47" s="328"/>
    </row>
    <row r="49" spans="12:18" x14ac:dyDescent="0.25">
      <c r="M49" s="321"/>
      <c r="N49" s="321"/>
      <c r="O49" s="321"/>
      <c r="P49" s="321"/>
      <c r="Q49" s="321"/>
      <c r="R49" s="321"/>
    </row>
    <row r="53" spans="12:18" x14ac:dyDescent="0.25">
      <c r="M53" s="321"/>
      <c r="N53" s="321"/>
      <c r="O53" s="321"/>
      <c r="P53" s="321"/>
      <c r="Q53" s="321"/>
      <c r="R53" s="321"/>
    </row>
    <row r="54" spans="12:18" x14ac:dyDescent="0.25">
      <c r="M54" s="321"/>
      <c r="N54" s="321"/>
      <c r="O54" s="321"/>
      <c r="P54" s="321"/>
      <c r="Q54" s="321"/>
      <c r="R54" s="321"/>
    </row>
    <row r="55" spans="12:18" x14ac:dyDescent="0.25">
      <c r="M55" s="321"/>
      <c r="N55" s="321"/>
      <c r="O55" s="321"/>
      <c r="P55" s="321"/>
      <c r="Q55" s="321"/>
      <c r="R55" s="321"/>
    </row>
    <row r="56" spans="12:18" x14ac:dyDescent="0.25">
      <c r="M56" s="321"/>
      <c r="N56" s="321"/>
      <c r="O56" s="321"/>
      <c r="P56" s="321"/>
      <c r="Q56" s="321"/>
      <c r="R56" s="321"/>
    </row>
    <row r="58" spans="12:18" x14ac:dyDescent="0.25">
      <c r="M58" s="321"/>
      <c r="N58" s="321"/>
      <c r="O58" s="321"/>
      <c r="P58" s="321"/>
      <c r="Q58" s="321"/>
      <c r="R58" s="321"/>
    </row>
    <row r="59" spans="12:18" x14ac:dyDescent="0.25">
      <c r="M59" s="321"/>
      <c r="N59" s="321"/>
      <c r="O59" s="321"/>
      <c r="P59" s="321"/>
      <c r="Q59" s="321"/>
      <c r="R59" s="321"/>
    </row>
    <row r="60" spans="12:18" x14ac:dyDescent="0.25">
      <c r="L60" s="321"/>
    </row>
    <row r="70" spans="2:4" x14ac:dyDescent="0.25">
      <c r="B70" s="52"/>
      <c r="C70" s="54"/>
    </row>
    <row r="71" spans="2:4" x14ac:dyDescent="0.25">
      <c r="C71" s="54"/>
    </row>
    <row r="72" spans="2:4" x14ac:dyDescent="0.25">
      <c r="D72" s="329"/>
    </row>
    <row r="73" spans="2:4" x14ac:dyDescent="0.25">
      <c r="D73" s="54"/>
    </row>
    <row r="74" spans="2:4" x14ac:dyDescent="0.25">
      <c r="D74" s="54"/>
    </row>
  </sheetData>
  <phoneticPr fontId="6" type="noConversion"/>
  <pageMargins left="0.75" right="0.75" top="1" bottom="1" header="0.5" footer="0.5"/>
  <pageSetup scale="83" orientation="portrait" r:id="rId1"/>
  <headerFooter alignWithMargins="0">
    <oddHeader>&amp;RS6B</oddHead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BO559"/>
  <sheetViews>
    <sheetView showGridLines="0" workbookViewId="0"/>
  </sheetViews>
  <sheetFormatPr defaultColWidth="8.81640625" defaultRowHeight="15" x14ac:dyDescent="0.25"/>
  <cols>
    <col min="1" max="1" width="31.54296875" style="33" customWidth="1"/>
    <col min="2" max="2" width="11.54296875" style="33" bestFit="1" customWidth="1"/>
    <col min="3" max="3" width="2.08984375" style="33" customWidth="1"/>
    <col min="4" max="4" width="14" style="33" bestFit="1" customWidth="1"/>
    <col min="5" max="5" width="2.1796875" style="33" customWidth="1"/>
    <col min="6" max="6" width="14" style="33" bestFit="1" customWidth="1"/>
    <col min="7" max="7" width="21.453125" style="33" bestFit="1" customWidth="1"/>
    <col min="8" max="67" width="8.90625" style="53" customWidth="1"/>
    <col min="68" max="16384" width="8.81640625" style="33"/>
  </cols>
  <sheetData>
    <row r="1" spans="1:8" x14ac:dyDescent="0.25">
      <c r="A1" s="66" t="s">
        <v>882</v>
      </c>
      <c r="B1" s="82"/>
      <c r="C1" s="82"/>
      <c r="D1" s="82"/>
      <c r="E1" s="82"/>
      <c r="F1" s="82"/>
      <c r="G1" s="82"/>
      <c r="H1" s="5"/>
    </row>
    <row r="2" spans="1:8" x14ac:dyDescent="0.25">
      <c r="A2" s="324" t="s">
        <v>300</v>
      </c>
      <c r="B2" s="82"/>
      <c r="C2" s="82"/>
      <c r="D2" s="82"/>
      <c r="E2" s="82"/>
      <c r="F2" s="82"/>
      <c r="G2" s="82"/>
      <c r="H2" s="5"/>
    </row>
    <row r="3" spans="1:8" x14ac:dyDescent="0.25">
      <c r="A3" s="66" t="s">
        <v>920</v>
      </c>
      <c r="B3" s="82"/>
      <c r="C3" s="82"/>
      <c r="D3" s="82"/>
      <c r="E3" s="82"/>
      <c r="F3" s="82"/>
      <c r="G3" s="82"/>
      <c r="H3" s="5"/>
    </row>
    <row r="4" spans="1:8" x14ac:dyDescent="0.25">
      <c r="A4" s="59"/>
      <c r="B4" s="82"/>
      <c r="C4" s="82"/>
      <c r="D4" s="82"/>
      <c r="E4" s="82"/>
      <c r="F4" s="82"/>
      <c r="G4" s="82"/>
      <c r="H4" s="5"/>
    </row>
    <row r="5" spans="1:8" x14ac:dyDescent="0.25">
      <c r="A5" s="82"/>
      <c r="B5" s="82"/>
      <c r="C5" s="82"/>
      <c r="D5" s="82"/>
      <c r="E5" s="82"/>
      <c r="F5" s="82"/>
      <c r="G5" s="82"/>
      <c r="H5" s="5"/>
    </row>
    <row r="6" spans="1:8" x14ac:dyDescent="0.25">
      <c r="A6" s="128"/>
      <c r="B6" s="108" t="s">
        <v>299</v>
      </c>
      <c r="C6" s="331"/>
      <c r="D6" s="308" t="s">
        <v>146</v>
      </c>
      <c r="E6" s="308"/>
      <c r="F6" s="108" t="s">
        <v>180</v>
      </c>
      <c r="G6" s="82"/>
      <c r="H6" s="5"/>
    </row>
    <row r="7" spans="1:8" x14ac:dyDescent="0.25">
      <c r="A7" s="128"/>
      <c r="B7" s="109" t="str">
        <f>+'S1 VEC Master Summary'!C5</f>
        <v>7/1/23-6/30/24</v>
      </c>
      <c r="C7" s="263"/>
      <c r="D7" s="264" t="s">
        <v>147</v>
      </c>
      <c r="E7" s="264"/>
      <c r="F7" s="109">
        <f>+'S1 VEC Master Summary'!E5</f>
        <v>2025</v>
      </c>
      <c r="G7" s="141" t="s">
        <v>54</v>
      </c>
      <c r="H7" s="5"/>
    </row>
    <row r="8" spans="1:8" x14ac:dyDescent="0.25">
      <c r="A8" s="128" t="s">
        <v>115</v>
      </c>
      <c r="B8" s="127"/>
      <c r="C8" s="128"/>
      <c r="D8" s="127"/>
      <c r="E8" s="128"/>
      <c r="F8" s="127"/>
      <c r="G8" s="82"/>
      <c r="H8" s="5"/>
    </row>
    <row r="9" spans="1:8" x14ac:dyDescent="0.25">
      <c r="A9" s="441" t="s">
        <v>1104</v>
      </c>
      <c r="B9" s="127">
        <f>'S6B Total Payroll + Benefits'!B25</f>
        <v>45984</v>
      </c>
      <c r="C9" s="127"/>
      <c r="D9" s="127">
        <f>SUM(F9-B9)</f>
        <v>-45984</v>
      </c>
      <c r="E9" s="127"/>
      <c r="F9" s="127">
        <f>'S6B Total Payroll + Benefits'!E25</f>
        <v>0</v>
      </c>
      <c r="G9" s="446" t="s">
        <v>1160</v>
      </c>
      <c r="H9" s="5"/>
    </row>
    <row r="10" spans="1:8" x14ac:dyDescent="0.25">
      <c r="A10" s="128"/>
      <c r="B10" s="127"/>
      <c r="C10" s="128"/>
      <c r="D10" s="127"/>
      <c r="E10" s="128"/>
      <c r="F10" s="127"/>
      <c r="G10" s="352" t="s">
        <v>1152</v>
      </c>
      <c r="H10" s="5"/>
    </row>
    <row r="11" spans="1:8" x14ac:dyDescent="0.25">
      <c r="A11" s="128" t="s">
        <v>114</v>
      </c>
      <c r="B11" s="86"/>
      <c r="C11" s="86"/>
      <c r="D11" s="86"/>
      <c r="E11" s="86"/>
      <c r="F11" s="86"/>
      <c r="G11" s="82"/>
      <c r="H11" s="5"/>
    </row>
    <row r="12" spans="1:8" x14ac:dyDescent="0.25">
      <c r="A12" s="441" t="s">
        <v>1101</v>
      </c>
      <c r="B12" s="334">
        <v>199494</v>
      </c>
      <c r="C12" s="160"/>
      <c r="D12" s="334">
        <f>SUM(F12-B12)</f>
        <v>84599</v>
      </c>
      <c r="E12" s="160"/>
      <c r="F12" s="334">
        <v>284093</v>
      </c>
      <c r="G12" s="82"/>
      <c r="H12" s="5"/>
    </row>
    <row r="13" spans="1:8" x14ac:dyDescent="0.25">
      <c r="A13" s="441" t="s">
        <v>1102</v>
      </c>
      <c r="B13" s="334">
        <v>28263</v>
      </c>
      <c r="C13" s="160"/>
      <c r="D13" s="445">
        <f>SUM(F13-B13)</f>
        <v>2698.4000000000015</v>
      </c>
      <c r="E13" s="160"/>
      <c r="F13" s="334">
        <v>30961.4</v>
      </c>
      <c r="G13" s="82"/>
      <c r="H13" s="5"/>
    </row>
    <row r="14" spans="1:8" x14ac:dyDescent="0.25">
      <c r="A14" s="442" t="s">
        <v>1103</v>
      </c>
      <c r="B14" s="336">
        <v>14830</v>
      </c>
      <c r="C14" s="336"/>
      <c r="D14" s="336">
        <f>SUM(F14-B14)</f>
        <v>375.39999999999964</v>
      </c>
      <c r="E14" s="336"/>
      <c r="F14" s="336">
        <v>15205.4</v>
      </c>
      <c r="G14" s="82"/>
      <c r="H14" s="5"/>
    </row>
    <row r="15" spans="1:8" x14ac:dyDescent="0.25">
      <c r="A15" s="218" t="s">
        <v>116</v>
      </c>
      <c r="B15" s="127">
        <f>SUM(B12:B14)</f>
        <v>242587</v>
      </c>
      <c r="C15" s="128"/>
      <c r="D15" s="127">
        <f>SUM(F15-B15)</f>
        <v>87672.800000000047</v>
      </c>
      <c r="E15" s="127"/>
      <c r="F15" s="127">
        <f>SUM(F12:F14)</f>
        <v>330259.80000000005</v>
      </c>
      <c r="G15" s="330" t="s">
        <v>698</v>
      </c>
      <c r="H15" s="5"/>
    </row>
    <row r="16" spans="1:8" x14ac:dyDescent="0.25">
      <c r="B16" s="86"/>
      <c r="C16" s="86"/>
      <c r="D16" s="86"/>
      <c r="E16" s="86"/>
      <c r="F16" s="86"/>
      <c r="G16" s="86"/>
      <c r="H16" s="5"/>
    </row>
    <row r="17" spans="1:8" x14ac:dyDescent="0.25">
      <c r="A17" s="343" t="s">
        <v>1236</v>
      </c>
      <c r="B17" s="86"/>
      <c r="C17" s="86"/>
      <c r="D17" s="86"/>
      <c r="E17" s="86"/>
      <c r="F17" s="86"/>
      <c r="G17" s="86"/>
      <c r="H17" s="5"/>
    </row>
    <row r="18" spans="1:8" x14ac:dyDescent="0.25">
      <c r="A18" s="86"/>
      <c r="B18" s="86"/>
      <c r="C18" s="86"/>
      <c r="D18" s="86"/>
      <c r="E18" s="86"/>
      <c r="F18" s="86"/>
      <c r="G18" s="86"/>
      <c r="H18" s="5"/>
    </row>
    <row r="19" spans="1:8" ht="15.6" x14ac:dyDescent="0.25">
      <c r="A19" s="86"/>
      <c r="B19" s="215" t="s">
        <v>117</v>
      </c>
      <c r="C19" s="87"/>
      <c r="E19" s="87"/>
      <c r="F19" s="87"/>
      <c r="G19" s="87"/>
      <c r="H19" s="5"/>
    </row>
    <row r="20" spans="1:8" x14ac:dyDescent="0.25">
      <c r="A20" s="308"/>
      <c r="B20" s="108" t="s">
        <v>299</v>
      </c>
      <c r="C20" s="331"/>
      <c r="D20" s="308" t="s">
        <v>146</v>
      </c>
      <c r="E20" s="308"/>
      <c r="F20" s="108" t="s">
        <v>180</v>
      </c>
      <c r="G20" s="87"/>
      <c r="H20" s="5"/>
    </row>
    <row r="21" spans="1:8" x14ac:dyDescent="0.25">
      <c r="A21" s="264" t="s">
        <v>1036</v>
      </c>
      <c r="B21" s="109" t="str">
        <f>+'S1 VEC Master Summary'!C5</f>
        <v>7/1/23-6/30/24</v>
      </c>
      <c r="C21" s="263"/>
      <c r="D21" s="264" t="s">
        <v>147</v>
      </c>
      <c r="E21" s="264"/>
      <c r="F21" s="109">
        <f>+'S1 VEC Master Summary'!E5</f>
        <v>2025</v>
      </c>
      <c r="G21" s="87"/>
      <c r="H21" s="5"/>
    </row>
    <row r="22" spans="1:8" x14ac:dyDescent="0.25">
      <c r="A22" s="112" t="s">
        <v>258</v>
      </c>
      <c r="B22" s="346">
        <v>0</v>
      </c>
      <c r="C22" s="140"/>
      <c r="D22" s="346">
        <f t="shared" ref="D22:D28" si="0">+F22-B22</f>
        <v>0</v>
      </c>
      <c r="E22" s="158"/>
      <c r="F22" s="346">
        <v>0</v>
      </c>
      <c r="G22" s="87"/>
      <c r="H22" s="5"/>
    </row>
    <row r="23" spans="1:8" x14ac:dyDescent="0.25">
      <c r="A23" s="112" t="s">
        <v>1038</v>
      </c>
      <c r="B23" s="346">
        <v>68747.5</v>
      </c>
      <c r="C23" s="140"/>
      <c r="D23" s="346">
        <f t="shared" si="0"/>
        <v>27844.5</v>
      </c>
      <c r="E23" s="158"/>
      <c r="F23" s="346">
        <v>96592</v>
      </c>
      <c r="G23" s="446" t="s">
        <v>213</v>
      </c>
      <c r="H23" s="5"/>
    </row>
    <row r="24" spans="1:8" x14ac:dyDescent="0.25">
      <c r="A24" s="112" t="s">
        <v>1037</v>
      </c>
      <c r="B24" s="346">
        <v>0</v>
      </c>
      <c r="C24" s="140"/>
      <c r="D24" s="346">
        <f t="shared" si="0"/>
        <v>0</v>
      </c>
      <c r="E24" s="140"/>
      <c r="F24" s="346">
        <v>0</v>
      </c>
      <c r="G24" s="237"/>
      <c r="H24" s="5"/>
    </row>
    <row r="25" spans="1:8" x14ac:dyDescent="0.25">
      <c r="A25" s="112" t="s">
        <v>1039</v>
      </c>
      <c r="B25" s="346">
        <v>0</v>
      </c>
      <c r="C25" s="158"/>
      <c r="D25" s="346">
        <f t="shared" si="0"/>
        <v>0</v>
      </c>
      <c r="E25" s="158"/>
      <c r="F25" s="346">
        <v>0</v>
      </c>
      <c r="G25" s="259"/>
      <c r="H25" s="5"/>
    </row>
    <row r="26" spans="1:8" ht="16.8" x14ac:dyDescent="0.4">
      <c r="A26" s="440" t="s">
        <v>1040</v>
      </c>
      <c r="B26" s="348">
        <v>84809</v>
      </c>
      <c r="C26" s="349"/>
      <c r="D26" s="348">
        <f t="shared" si="0"/>
        <v>32670</v>
      </c>
      <c r="E26" s="350"/>
      <c r="F26" s="348">
        <v>117479</v>
      </c>
      <c r="G26" s="352" t="s">
        <v>215</v>
      </c>
      <c r="H26" s="5"/>
    </row>
    <row r="27" spans="1:8" x14ac:dyDescent="0.25">
      <c r="A27" s="112" t="s">
        <v>1041</v>
      </c>
      <c r="B27" s="346">
        <f>SUM(B22:B26)</f>
        <v>153556.5</v>
      </c>
      <c r="C27" s="349"/>
      <c r="D27" s="346">
        <f t="shared" si="0"/>
        <v>60514.5</v>
      </c>
      <c r="E27" s="350"/>
      <c r="F27" s="346">
        <f>SUM(F22:F26)</f>
        <v>214071</v>
      </c>
      <c r="G27" s="87"/>
      <c r="H27" s="5"/>
    </row>
    <row r="28" spans="1:8" ht="16.8" x14ac:dyDescent="0.4">
      <c r="A28" s="440" t="s">
        <v>1042</v>
      </c>
      <c r="B28" s="348">
        <v>89030.5</v>
      </c>
      <c r="C28" s="443"/>
      <c r="D28" s="348">
        <f t="shared" si="0"/>
        <v>27158</v>
      </c>
      <c r="E28" s="444"/>
      <c r="F28" s="348">
        <v>116188.5</v>
      </c>
      <c r="G28" s="87"/>
      <c r="H28" s="5"/>
    </row>
    <row r="29" spans="1:8" x14ac:dyDescent="0.25">
      <c r="A29" s="129" t="s">
        <v>1161</v>
      </c>
      <c r="B29" s="277">
        <f>B28+B27</f>
        <v>242587</v>
      </c>
      <c r="C29" s="121"/>
      <c r="D29" s="333">
        <f>+F29-B29</f>
        <v>87672.5</v>
      </c>
      <c r="E29" s="129"/>
      <c r="F29" s="277">
        <f>F28+F27</f>
        <v>330259.5</v>
      </c>
      <c r="G29" s="87"/>
      <c r="H29" s="5"/>
    </row>
    <row r="30" spans="1:8" x14ac:dyDescent="0.25">
      <c r="A30" s="128"/>
      <c r="B30" s="217"/>
      <c r="C30" s="121"/>
      <c r="D30" s="121"/>
      <c r="E30" s="121"/>
      <c r="F30" s="121"/>
      <c r="G30" s="87"/>
      <c r="H30" s="5"/>
    </row>
    <row r="31" spans="1:8" s="53" customFormat="1" ht="47.4" customHeight="1" x14ac:dyDescent="0.25">
      <c r="A31" s="5"/>
      <c r="B31" s="5"/>
      <c r="C31" s="5"/>
      <c r="D31" s="5"/>
      <c r="E31" s="5"/>
      <c r="F31" s="5"/>
      <c r="G31" s="5"/>
      <c r="H31" s="5"/>
    </row>
    <row r="32" spans="1:8" s="53" customFormat="1" ht="13.2" x14ac:dyDescent="0.25">
      <c r="D32" s="519"/>
    </row>
    <row r="33" spans="2:17" s="53" customFormat="1" x14ac:dyDescent="0.25">
      <c r="B33" s="518"/>
      <c r="C33" s="518"/>
      <c r="D33" s="528"/>
      <c r="E33" s="526"/>
      <c r="F33" s="526"/>
      <c r="K33" s="328"/>
    </row>
    <row r="34" spans="2:17" s="53" customFormat="1" ht="13.2" x14ac:dyDescent="0.25">
      <c r="K34" s="328"/>
    </row>
    <row r="35" spans="2:17" s="53" customFormat="1" ht="13.2" x14ac:dyDescent="0.25">
      <c r="K35" s="328"/>
    </row>
    <row r="36" spans="2:17" s="53" customFormat="1" ht="13.2" x14ac:dyDescent="0.25">
      <c r="K36" s="328"/>
    </row>
    <row r="37" spans="2:17" s="53" customFormat="1" ht="13.2" x14ac:dyDescent="0.25">
      <c r="K37" s="328"/>
    </row>
    <row r="38" spans="2:17" s="53" customFormat="1" ht="15" customHeight="1" x14ac:dyDescent="0.25">
      <c r="K38" s="328"/>
    </row>
    <row r="39" spans="2:17" s="53" customFormat="1" ht="13.2" x14ac:dyDescent="0.25">
      <c r="K39" s="328"/>
    </row>
    <row r="40" spans="2:17" s="53" customFormat="1" ht="13.2" x14ac:dyDescent="0.25">
      <c r="K40" s="328"/>
    </row>
    <row r="41" spans="2:17" s="53" customFormat="1" ht="13.2" x14ac:dyDescent="0.25">
      <c r="K41" s="328"/>
    </row>
    <row r="42" spans="2:17" s="53" customFormat="1" ht="13.2" x14ac:dyDescent="0.25">
      <c r="K42" s="328"/>
    </row>
    <row r="43" spans="2:17" s="53" customFormat="1" ht="15.75" customHeight="1" x14ac:dyDescent="0.25">
      <c r="K43" s="328"/>
    </row>
    <row r="44" spans="2:17" s="53" customFormat="1" ht="13.2" x14ac:dyDescent="0.25"/>
    <row r="45" spans="2:17" s="53" customFormat="1" ht="13.2" x14ac:dyDescent="0.25">
      <c r="L45" s="321"/>
      <c r="M45" s="321"/>
      <c r="N45" s="321"/>
      <c r="O45" s="321"/>
      <c r="P45" s="321"/>
      <c r="Q45" s="321"/>
    </row>
    <row r="46" spans="2:17" s="53" customFormat="1" ht="13.2" x14ac:dyDescent="0.25"/>
    <row r="47" spans="2:17" s="53" customFormat="1" ht="13.2" x14ac:dyDescent="0.25"/>
    <row r="48" spans="2:17" s="53" customFormat="1" ht="13.2" x14ac:dyDescent="0.25"/>
    <row r="49" spans="11:17" s="53" customFormat="1" ht="13.2" x14ac:dyDescent="0.25">
      <c r="L49" s="321"/>
      <c r="M49" s="321"/>
      <c r="N49" s="321"/>
      <c r="O49" s="321"/>
      <c r="P49" s="321"/>
      <c r="Q49" s="321"/>
    </row>
    <row r="50" spans="11:17" s="53" customFormat="1" ht="13.2" x14ac:dyDescent="0.25">
      <c r="L50" s="321"/>
      <c r="M50" s="321"/>
      <c r="N50" s="321"/>
      <c r="O50" s="321"/>
      <c r="P50" s="321"/>
      <c r="Q50" s="321"/>
    </row>
    <row r="51" spans="11:17" s="53" customFormat="1" ht="13.2" x14ac:dyDescent="0.25">
      <c r="L51" s="321"/>
      <c r="M51" s="321"/>
      <c r="N51" s="321"/>
      <c r="O51" s="321"/>
      <c r="P51" s="321"/>
      <c r="Q51" s="321"/>
    </row>
    <row r="52" spans="11:17" s="53" customFormat="1" ht="13.2" x14ac:dyDescent="0.25">
      <c r="L52" s="321"/>
      <c r="M52" s="321"/>
      <c r="N52" s="321"/>
      <c r="O52" s="321"/>
      <c r="P52" s="321"/>
      <c r="Q52" s="321"/>
    </row>
    <row r="53" spans="11:17" s="53" customFormat="1" ht="13.2" x14ac:dyDescent="0.25"/>
    <row r="54" spans="11:17" s="53" customFormat="1" ht="13.2" x14ac:dyDescent="0.25">
      <c r="L54" s="321"/>
      <c r="M54" s="321"/>
      <c r="N54" s="321"/>
      <c r="O54" s="321"/>
      <c r="P54" s="321"/>
      <c r="Q54" s="321"/>
    </row>
    <row r="55" spans="11:17" s="53" customFormat="1" ht="13.2" x14ac:dyDescent="0.25">
      <c r="L55" s="321"/>
      <c r="M55" s="321"/>
      <c r="N55" s="321"/>
      <c r="O55" s="321"/>
      <c r="P55" s="321"/>
      <c r="Q55" s="321"/>
    </row>
    <row r="56" spans="11:17" s="53" customFormat="1" ht="13.2" x14ac:dyDescent="0.25">
      <c r="K56" s="321"/>
    </row>
    <row r="57" spans="11:17" s="53" customFormat="1" ht="13.2" x14ac:dyDescent="0.25"/>
    <row r="58" spans="11:17" s="53" customFormat="1" ht="13.2" x14ac:dyDescent="0.25"/>
    <row r="59" spans="11:17" s="53" customFormat="1" ht="13.2" x14ac:dyDescent="0.25"/>
    <row r="60" spans="11:17" s="53" customFormat="1" ht="13.2" x14ac:dyDescent="0.25"/>
    <row r="61" spans="11:17" s="53" customFormat="1" ht="13.2" x14ac:dyDescent="0.25"/>
    <row r="62" spans="11:17" s="53" customFormat="1" ht="13.2" x14ac:dyDescent="0.25"/>
    <row r="63" spans="11:17" s="53" customFormat="1" ht="13.2" x14ac:dyDescent="0.25"/>
    <row r="64" spans="11:17" s="53" customFormat="1" ht="13.2" x14ac:dyDescent="0.25"/>
    <row r="65" spans="2:4" s="53" customFormat="1" ht="13.2" x14ac:dyDescent="0.25"/>
    <row r="66" spans="2:4" s="53" customFormat="1" ht="13.2" x14ac:dyDescent="0.25">
      <c r="B66" s="52"/>
      <c r="C66" s="54"/>
    </row>
    <row r="67" spans="2:4" s="53" customFormat="1" ht="13.2" x14ac:dyDescent="0.25">
      <c r="C67" s="54"/>
    </row>
    <row r="68" spans="2:4" s="53" customFormat="1" ht="13.2" x14ac:dyDescent="0.25">
      <c r="D68" s="329"/>
    </row>
    <row r="69" spans="2:4" s="53" customFormat="1" ht="13.2" x14ac:dyDescent="0.25">
      <c r="D69" s="54"/>
    </row>
    <row r="70" spans="2:4" s="53" customFormat="1" ht="13.2" x14ac:dyDescent="0.25">
      <c r="D70" s="54"/>
    </row>
    <row r="71" spans="2:4" s="53" customFormat="1" ht="13.2" x14ac:dyDescent="0.25"/>
    <row r="72" spans="2:4" s="53" customFormat="1" ht="13.2" x14ac:dyDescent="0.25"/>
    <row r="73" spans="2:4" s="53" customFormat="1" ht="13.2" x14ac:dyDescent="0.25"/>
    <row r="74" spans="2:4" s="53" customFormat="1" ht="13.2" x14ac:dyDescent="0.25"/>
    <row r="75" spans="2:4" s="53" customFormat="1" ht="13.2" x14ac:dyDescent="0.25"/>
    <row r="76" spans="2:4" s="53" customFormat="1" ht="13.2" x14ac:dyDescent="0.25"/>
    <row r="77" spans="2:4" s="53" customFormat="1" ht="13.2" x14ac:dyDescent="0.25"/>
    <row r="78" spans="2:4" s="53" customFormat="1" ht="13.2" x14ac:dyDescent="0.25"/>
    <row r="79" spans="2:4" s="53" customFormat="1" ht="13.2" x14ac:dyDescent="0.25"/>
    <row r="80" spans="2:4" s="53" customFormat="1" ht="13.2" x14ac:dyDescent="0.25"/>
    <row r="81" s="53" customFormat="1" ht="13.2" x14ac:dyDescent="0.25"/>
    <row r="82" s="53" customFormat="1" ht="13.2" x14ac:dyDescent="0.25"/>
    <row r="83" s="53" customFormat="1" ht="13.2" x14ac:dyDescent="0.25"/>
    <row r="84" s="53" customFormat="1" ht="13.2" x14ac:dyDescent="0.25"/>
    <row r="85" s="53" customFormat="1" ht="13.2" x14ac:dyDescent="0.25"/>
    <row r="86" s="53" customFormat="1" ht="13.2" x14ac:dyDescent="0.25"/>
    <row r="87" s="53" customFormat="1" ht="13.2" x14ac:dyDescent="0.25"/>
    <row r="88" s="53" customFormat="1" ht="13.2" x14ac:dyDescent="0.25"/>
    <row r="89" s="53" customFormat="1" ht="13.2" x14ac:dyDescent="0.25"/>
    <row r="90" s="53" customFormat="1" ht="13.2" x14ac:dyDescent="0.25"/>
    <row r="91" s="53" customFormat="1" ht="13.2" x14ac:dyDescent="0.25"/>
    <row r="92" s="53" customFormat="1" ht="13.2" x14ac:dyDescent="0.25"/>
    <row r="93" s="53" customFormat="1" ht="13.2" x14ac:dyDescent="0.25"/>
    <row r="94" s="53" customFormat="1" ht="13.2" x14ac:dyDescent="0.25"/>
    <row r="95" s="53" customFormat="1" ht="13.2" x14ac:dyDescent="0.25"/>
    <row r="96" s="53" customFormat="1" ht="13.2" x14ac:dyDescent="0.25"/>
    <row r="97" s="53" customFormat="1" ht="13.2" x14ac:dyDescent="0.25"/>
    <row r="98" s="53" customFormat="1" ht="13.2" x14ac:dyDescent="0.25"/>
    <row r="99" s="53" customFormat="1" ht="13.2" x14ac:dyDescent="0.25"/>
    <row r="100" s="53" customFormat="1" ht="13.2" x14ac:dyDescent="0.25"/>
    <row r="101" s="53" customFormat="1" ht="13.2" x14ac:dyDescent="0.25"/>
    <row r="102" s="53" customFormat="1" ht="13.2" x14ac:dyDescent="0.25"/>
    <row r="103" s="53" customFormat="1" ht="13.2" x14ac:dyDescent="0.25"/>
    <row r="104" s="53" customFormat="1" ht="13.2" x14ac:dyDescent="0.25"/>
    <row r="105" s="53" customFormat="1" ht="13.2" x14ac:dyDescent="0.25"/>
    <row r="106" s="53" customFormat="1" ht="13.2" x14ac:dyDescent="0.25"/>
    <row r="107" s="53" customFormat="1" ht="13.2" x14ac:dyDescent="0.25"/>
    <row r="108" s="53" customFormat="1" ht="13.2" x14ac:dyDescent="0.25"/>
    <row r="109" s="53" customFormat="1" ht="13.2" x14ac:dyDescent="0.25"/>
    <row r="110" s="53" customFormat="1" ht="13.2" x14ac:dyDescent="0.25"/>
    <row r="111" s="53" customFormat="1" ht="13.2" x14ac:dyDescent="0.25"/>
    <row r="112" s="53" customFormat="1" ht="13.2" x14ac:dyDescent="0.25"/>
    <row r="113" s="53" customFormat="1" ht="13.2" x14ac:dyDescent="0.25"/>
    <row r="114" s="53" customFormat="1" ht="13.2" x14ac:dyDescent="0.25"/>
    <row r="115" s="53" customFormat="1" ht="13.2" x14ac:dyDescent="0.25"/>
    <row r="116" s="53" customFormat="1" ht="13.2" x14ac:dyDescent="0.25"/>
    <row r="117" s="53" customFormat="1" ht="13.2" x14ac:dyDescent="0.25"/>
    <row r="118" s="53" customFormat="1" ht="13.2" x14ac:dyDescent="0.25"/>
    <row r="119" s="53" customFormat="1" ht="13.2" x14ac:dyDescent="0.25"/>
    <row r="120" s="53" customFormat="1" ht="13.2" x14ac:dyDescent="0.25"/>
    <row r="121" s="53" customFormat="1" ht="13.2" x14ac:dyDescent="0.25"/>
    <row r="122" s="53" customFormat="1" ht="13.2" x14ac:dyDescent="0.25"/>
    <row r="123" s="53" customFormat="1" ht="13.2" x14ac:dyDescent="0.25"/>
    <row r="124" s="53" customFormat="1" ht="13.2" x14ac:dyDescent="0.25"/>
    <row r="125" s="53" customFormat="1" ht="13.2" x14ac:dyDescent="0.25"/>
    <row r="126" s="53" customFormat="1" ht="13.2" x14ac:dyDescent="0.25"/>
    <row r="127" s="53" customFormat="1" ht="13.2" x14ac:dyDescent="0.25"/>
    <row r="128" s="53" customFormat="1" ht="13.2" x14ac:dyDescent="0.25"/>
    <row r="129" s="53" customFormat="1" ht="13.2" x14ac:dyDescent="0.25"/>
    <row r="130" s="53" customFormat="1" ht="13.2" x14ac:dyDescent="0.25"/>
    <row r="131" s="53" customFormat="1" ht="13.2" x14ac:dyDescent="0.25"/>
    <row r="132" s="53" customFormat="1" ht="13.2" x14ac:dyDescent="0.25"/>
    <row r="133" s="53" customFormat="1" ht="13.2" x14ac:dyDescent="0.25"/>
    <row r="134" s="53" customFormat="1" ht="13.2" x14ac:dyDescent="0.25"/>
    <row r="135" s="53" customFormat="1" ht="13.2" x14ac:dyDescent="0.25"/>
    <row r="136" s="53" customFormat="1" ht="13.2" x14ac:dyDescent="0.25"/>
    <row r="137" s="53" customFormat="1" ht="13.2" x14ac:dyDescent="0.25"/>
    <row r="138" s="53" customFormat="1" ht="13.2" x14ac:dyDescent="0.25"/>
    <row r="139" s="53" customFormat="1" ht="13.2" x14ac:dyDescent="0.25"/>
    <row r="140" s="53" customFormat="1" ht="13.2" x14ac:dyDescent="0.25"/>
    <row r="141" s="53" customFormat="1" ht="13.2" x14ac:dyDescent="0.25"/>
    <row r="142" s="53" customFormat="1" ht="13.2" x14ac:dyDescent="0.25"/>
    <row r="143" s="53" customFormat="1" ht="13.2" x14ac:dyDescent="0.25"/>
    <row r="144" s="53" customFormat="1" ht="13.2" x14ac:dyDescent="0.25"/>
    <row r="145" s="53" customFormat="1" ht="13.2" x14ac:dyDescent="0.25"/>
    <row r="146" s="53" customFormat="1" ht="13.2" x14ac:dyDescent="0.25"/>
    <row r="147" s="53" customFormat="1" ht="13.2" x14ac:dyDescent="0.25"/>
    <row r="148" s="53" customFormat="1" ht="13.2" x14ac:dyDescent="0.25"/>
    <row r="149" s="53" customFormat="1" ht="13.2" x14ac:dyDescent="0.25"/>
    <row r="150" s="53" customFormat="1" ht="13.2" x14ac:dyDescent="0.25"/>
    <row r="151" s="53" customFormat="1" ht="13.2" x14ac:dyDescent="0.25"/>
    <row r="152" s="53" customFormat="1" ht="13.2" x14ac:dyDescent="0.25"/>
    <row r="153" s="53" customFormat="1" ht="13.2" x14ac:dyDescent="0.25"/>
    <row r="154" s="53" customFormat="1" ht="13.2" x14ac:dyDescent="0.25"/>
    <row r="155" s="53" customFormat="1" ht="13.2" x14ac:dyDescent="0.25"/>
    <row r="156" s="53" customFormat="1" ht="13.2" x14ac:dyDescent="0.25"/>
    <row r="157" s="53" customFormat="1" ht="13.2" x14ac:dyDescent="0.25"/>
    <row r="158" s="53" customFormat="1" ht="13.2" x14ac:dyDescent="0.25"/>
    <row r="159" s="53" customFormat="1" ht="13.2" x14ac:dyDescent="0.25"/>
    <row r="160" s="53" customFormat="1" ht="13.2" x14ac:dyDescent="0.25"/>
    <row r="161" s="53" customFormat="1" ht="13.2" x14ac:dyDescent="0.25"/>
    <row r="162" s="53" customFormat="1" ht="13.2" x14ac:dyDescent="0.25"/>
    <row r="163" s="53" customFormat="1" ht="13.2" x14ac:dyDescent="0.25"/>
    <row r="164" s="53" customFormat="1" ht="13.2" x14ac:dyDescent="0.25"/>
    <row r="165" s="53" customFormat="1" ht="13.2" x14ac:dyDescent="0.25"/>
    <row r="166" s="53" customFormat="1" ht="13.2" x14ac:dyDescent="0.25"/>
    <row r="167" s="53" customFormat="1" ht="13.2" x14ac:dyDescent="0.25"/>
    <row r="168" s="53" customFormat="1" ht="13.2" x14ac:dyDescent="0.25"/>
    <row r="169" s="53" customFormat="1" ht="13.2" x14ac:dyDescent="0.25"/>
    <row r="170" s="53" customFormat="1" ht="13.2" x14ac:dyDescent="0.25"/>
    <row r="171" s="53" customFormat="1" ht="13.2" x14ac:dyDescent="0.25"/>
    <row r="172" s="53" customFormat="1" ht="13.2" x14ac:dyDescent="0.25"/>
    <row r="173" s="53" customFormat="1" ht="13.2" x14ac:dyDescent="0.25"/>
    <row r="174" s="53" customFormat="1" ht="13.2" x14ac:dyDescent="0.25"/>
    <row r="175" s="53" customFormat="1" ht="13.2" x14ac:dyDescent="0.25"/>
    <row r="176" s="53" customFormat="1" ht="13.2" x14ac:dyDescent="0.25"/>
    <row r="177" s="53" customFormat="1" ht="13.2" x14ac:dyDescent="0.25"/>
    <row r="178" s="53" customFormat="1" ht="13.2" x14ac:dyDescent="0.25"/>
    <row r="179" s="53" customFormat="1" ht="13.2" x14ac:dyDescent="0.25"/>
    <row r="180" s="53" customFormat="1" ht="13.2" x14ac:dyDescent="0.25"/>
    <row r="181" s="53" customFormat="1" ht="13.2" x14ac:dyDescent="0.25"/>
    <row r="182" s="53" customFormat="1" ht="13.2" x14ac:dyDescent="0.25"/>
    <row r="183" s="53" customFormat="1" ht="13.2" x14ac:dyDescent="0.25"/>
    <row r="184" s="53" customFormat="1" ht="13.2" x14ac:dyDescent="0.25"/>
    <row r="185" s="53" customFormat="1" ht="13.2" x14ac:dyDescent="0.25"/>
    <row r="186" s="53" customFormat="1" ht="13.2" x14ac:dyDescent="0.25"/>
    <row r="187" s="53" customFormat="1" ht="13.2" x14ac:dyDescent="0.25"/>
    <row r="188" s="53" customFormat="1" ht="13.2" x14ac:dyDescent="0.25"/>
    <row r="189" s="53" customFormat="1" ht="13.2" x14ac:dyDescent="0.25"/>
    <row r="190" s="53" customFormat="1" ht="13.2" x14ac:dyDescent="0.25"/>
    <row r="191" s="53" customFormat="1" ht="13.2" x14ac:dyDescent="0.25"/>
    <row r="192" s="53" customFormat="1" ht="13.2" x14ac:dyDescent="0.25"/>
    <row r="193" s="53" customFormat="1" ht="13.2" x14ac:dyDescent="0.25"/>
    <row r="194" s="53" customFormat="1" ht="13.2" x14ac:dyDescent="0.25"/>
    <row r="195" s="53" customFormat="1" ht="13.2" x14ac:dyDescent="0.25"/>
    <row r="196" s="53" customFormat="1" ht="13.2" x14ac:dyDescent="0.25"/>
    <row r="197" s="53" customFormat="1" ht="13.2" x14ac:dyDescent="0.25"/>
    <row r="198" s="53" customFormat="1" ht="13.2" x14ac:dyDescent="0.25"/>
    <row r="199" s="53" customFormat="1" ht="13.2" x14ac:dyDescent="0.25"/>
    <row r="200" s="53" customFormat="1" ht="13.2" x14ac:dyDescent="0.25"/>
    <row r="201" s="53" customFormat="1" ht="13.2" x14ac:dyDescent="0.25"/>
    <row r="202" s="53" customFormat="1" ht="13.2" x14ac:dyDescent="0.25"/>
    <row r="203" s="53" customFormat="1" ht="13.2" x14ac:dyDescent="0.25"/>
    <row r="204" s="53" customFormat="1" ht="13.2" x14ac:dyDescent="0.25"/>
    <row r="205" s="53" customFormat="1" ht="13.2" x14ac:dyDescent="0.25"/>
    <row r="206" s="53" customFormat="1" ht="13.2" x14ac:dyDescent="0.25"/>
    <row r="207" s="53" customFormat="1" ht="13.2" x14ac:dyDescent="0.25"/>
    <row r="208" s="53" customFormat="1" ht="13.2" x14ac:dyDescent="0.25"/>
    <row r="209" s="53" customFormat="1" ht="13.2" x14ac:dyDescent="0.25"/>
    <row r="210" s="53" customFormat="1" ht="13.2" x14ac:dyDescent="0.25"/>
    <row r="211" s="53" customFormat="1" ht="13.2" x14ac:dyDescent="0.25"/>
    <row r="212" s="53" customFormat="1" ht="13.2" x14ac:dyDescent="0.25"/>
    <row r="213" s="53" customFormat="1" ht="13.2" x14ac:dyDescent="0.25"/>
    <row r="214" s="53" customFormat="1" ht="13.2" x14ac:dyDescent="0.25"/>
    <row r="215" s="53" customFormat="1" ht="13.2" x14ac:dyDescent="0.25"/>
    <row r="216" s="53" customFormat="1" ht="13.2" x14ac:dyDescent="0.25"/>
    <row r="217" s="53" customFormat="1" ht="13.2" x14ac:dyDescent="0.25"/>
    <row r="218" s="53" customFormat="1" ht="13.2" x14ac:dyDescent="0.25"/>
    <row r="219" s="53" customFormat="1" ht="13.2" x14ac:dyDescent="0.25"/>
    <row r="220" s="53" customFormat="1" ht="13.2" x14ac:dyDescent="0.25"/>
    <row r="221" s="53" customFormat="1" ht="13.2" x14ac:dyDescent="0.25"/>
    <row r="222" s="53" customFormat="1" ht="13.2" x14ac:dyDescent="0.25"/>
    <row r="223" s="53" customFormat="1" ht="13.2" x14ac:dyDescent="0.25"/>
    <row r="224" s="53" customFormat="1" ht="13.2" x14ac:dyDescent="0.25"/>
    <row r="225" s="53" customFormat="1" ht="13.2" x14ac:dyDescent="0.25"/>
    <row r="226" s="53" customFormat="1" ht="13.2" x14ac:dyDescent="0.25"/>
    <row r="227" s="53" customFormat="1" ht="13.2" x14ac:dyDescent="0.25"/>
    <row r="228" s="53" customFormat="1" ht="13.2" x14ac:dyDescent="0.25"/>
    <row r="229" s="53" customFormat="1" ht="13.2" x14ac:dyDescent="0.25"/>
    <row r="230" s="53" customFormat="1" ht="13.2" x14ac:dyDescent="0.25"/>
    <row r="231" s="53" customFormat="1" ht="13.2" x14ac:dyDescent="0.25"/>
    <row r="232" s="53" customFormat="1" ht="13.2" x14ac:dyDescent="0.25"/>
    <row r="233" s="53" customFormat="1" ht="13.2" x14ac:dyDescent="0.25"/>
    <row r="234" s="53" customFormat="1" ht="13.2" x14ac:dyDescent="0.25"/>
    <row r="235" s="53" customFormat="1" ht="13.2" x14ac:dyDescent="0.25"/>
    <row r="236" s="53" customFormat="1" ht="13.2" x14ac:dyDescent="0.25"/>
    <row r="237" s="53" customFormat="1" ht="13.2" x14ac:dyDescent="0.25"/>
    <row r="238" s="53" customFormat="1" ht="13.2" x14ac:dyDescent="0.25"/>
    <row r="239" s="53" customFormat="1" ht="13.2" x14ac:dyDescent="0.25"/>
    <row r="240" s="53" customFormat="1" ht="13.2" x14ac:dyDescent="0.25"/>
    <row r="241" s="53" customFormat="1" ht="13.2" x14ac:dyDescent="0.25"/>
    <row r="242" s="53" customFormat="1" ht="13.2" x14ac:dyDescent="0.25"/>
    <row r="243" s="53" customFormat="1" ht="13.2" x14ac:dyDescent="0.25"/>
    <row r="244" s="53" customFormat="1" ht="13.2" x14ac:dyDescent="0.25"/>
    <row r="245" s="53" customFormat="1" ht="13.2" x14ac:dyDescent="0.25"/>
    <row r="246" s="53" customFormat="1" ht="13.2" x14ac:dyDescent="0.25"/>
    <row r="247" s="53" customFormat="1" ht="13.2" x14ac:dyDescent="0.25"/>
    <row r="248" s="53" customFormat="1" ht="13.2" x14ac:dyDescent="0.25"/>
    <row r="249" s="53" customFormat="1" ht="13.2" x14ac:dyDescent="0.25"/>
    <row r="250" s="53" customFormat="1" ht="13.2" x14ac:dyDescent="0.25"/>
    <row r="251" s="53" customFormat="1" ht="13.2" x14ac:dyDescent="0.25"/>
    <row r="252" s="53" customFormat="1" ht="13.2" x14ac:dyDescent="0.25"/>
    <row r="253" s="53" customFormat="1" ht="13.2" x14ac:dyDescent="0.25"/>
    <row r="254" s="53" customFormat="1" ht="13.2" x14ac:dyDescent="0.25"/>
    <row r="255" s="53" customFormat="1" ht="13.2" x14ac:dyDescent="0.25"/>
    <row r="256" s="53" customFormat="1" ht="13.2" x14ac:dyDescent="0.25"/>
    <row r="257" s="53" customFormat="1" ht="13.2" x14ac:dyDescent="0.25"/>
    <row r="258" s="53" customFormat="1" ht="13.2" x14ac:dyDescent="0.25"/>
    <row r="259" s="53" customFormat="1" ht="13.2" x14ac:dyDescent="0.25"/>
    <row r="260" s="53" customFormat="1" ht="13.2" x14ac:dyDescent="0.25"/>
    <row r="261" s="53" customFormat="1" ht="13.2" x14ac:dyDescent="0.25"/>
    <row r="262" s="53" customFormat="1" ht="13.2" x14ac:dyDescent="0.25"/>
    <row r="263" s="53" customFormat="1" ht="13.2" x14ac:dyDescent="0.25"/>
    <row r="264" s="53" customFormat="1" ht="13.2" x14ac:dyDescent="0.25"/>
    <row r="265" s="53" customFormat="1" ht="13.2" x14ac:dyDescent="0.25"/>
    <row r="266" s="53" customFormat="1" ht="13.2" x14ac:dyDescent="0.25"/>
    <row r="267" s="53" customFormat="1" ht="13.2" x14ac:dyDescent="0.25"/>
    <row r="268" s="53" customFormat="1" ht="13.2" x14ac:dyDescent="0.25"/>
    <row r="269" s="53" customFormat="1" ht="13.2" x14ac:dyDescent="0.25"/>
    <row r="270" s="53" customFormat="1" ht="13.2" x14ac:dyDescent="0.25"/>
    <row r="271" s="53" customFormat="1" ht="13.2" x14ac:dyDescent="0.25"/>
    <row r="272" s="53" customFormat="1" ht="13.2" x14ac:dyDescent="0.25"/>
    <row r="273" s="53" customFormat="1" ht="13.2" x14ac:dyDescent="0.25"/>
    <row r="274" s="53" customFormat="1" ht="13.2" x14ac:dyDescent="0.25"/>
    <row r="275" s="53" customFormat="1" ht="13.2" x14ac:dyDescent="0.25"/>
    <row r="276" s="53" customFormat="1" ht="13.2" x14ac:dyDescent="0.25"/>
    <row r="277" s="53" customFormat="1" ht="13.2" x14ac:dyDescent="0.25"/>
    <row r="278" s="53" customFormat="1" ht="13.2" x14ac:dyDescent="0.25"/>
    <row r="279" s="53" customFormat="1" ht="13.2" x14ac:dyDescent="0.25"/>
    <row r="280" s="53" customFormat="1" ht="13.2" x14ac:dyDescent="0.25"/>
    <row r="281" s="53" customFormat="1" ht="13.2" x14ac:dyDescent="0.25"/>
    <row r="282" s="53" customFormat="1" ht="13.2" x14ac:dyDescent="0.25"/>
    <row r="283" s="53" customFormat="1" ht="13.2" x14ac:dyDescent="0.25"/>
    <row r="284" s="53" customFormat="1" ht="13.2" x14ac:dyDescent="0.25"/>
    <row r="285" s="53" customFormat="1" ht="13.2" x14ac:dyDescent="0.25"/>
    <row r="286" s="53" customFormat="1" ht="13.2" x14ac:dyDescent="0.25"/>
    <row r="287" s="53" customFormat="1" ht="13.2" x14ac:dyDescent="0.25"/>
    <row r="288" s="53" customFormat="1" ht="13.2" x14ac:dyDescent="0.25"/>
    <row r="289" s="53" customFormat="1" ht="13.2" x14ac:dyDescent="0.25"/>
    <row r="290" s="53" customFormat="1" ht="13.2" x14ac:dyDescent="0.25"/>
    <row r="291" s="53" customFormat="1" ht="13.2" x14ac:dyDescent="0.25"/>
    <row r="292" s="53" customFormat="1" ht="13.2" x14ac:dyDescent="0.25"/>
    <row r="293" s="53" customFormat="1" ht="13.2" x14ac:dyDescent="0.25"/>
    <row r="294" s="53" customFormat="1" ht="13.2" x14ac:dyDescent="0.25"/>
    <row r="295" s="53" customFormat="1" ht="13.2" x14ac:dyDescent="0.25"/>
    <row r="296" s="53" customFormat="1" ht="13.2" x14ac:dyDescent="0.25"/>
    <row r="297" s="53" customFormat="1" ht="13.2" x14ac:dyDescent="0.25"/>
    <row r="298" s="53" customFormat="1" ht="13.2" x14ac:dyDescent="0.25"/>
    <row r="299" s="53" customFormat="1" ht="13.2" x14ac:dyDescent="0.25"/>
    <row r="300" s="53" customFormat="1" ht="13.2" x14ac:dyDescent="0.25"/>
    <row r="301" s="53" customFormat="1" ht="13.2" x14ac:dyDescent="0.25"/>
    <row r="302" s="53" customFormat="1" ht="13.2" x14ac:dyDescent="0.25"/>
    <row r="303" s="53" customFormat="1" ht="13.2" x14ac:dyDescent="0.25"/>
    <row r="304" s="53" customFormat="1" ht="13.2" x14ac:dyDescent="0.25"/>
    <row r="305" s="53" customFormat="1" ht="13.2" x14ac:dyDescent="0.25"/>
    <row r="306" s="53" customFormat="1" ht="13.2" x14ac:dyDescent="0.25"/>
    <row r="307" s="53" customFormat="1" ht="13.2" x14ac:dyDescent="0.25"/>
    <row r="308" s="53" customFormat="1" ht="13.2" x14ac:dyDescent="0.25"/>
    <row r="309" s="53" customFormat="1" ht="13.2" x14ac:dyDescent="0.25"/>
    <row r="310" s="53" customFormat="1" ht="13.2" x14ac:dyDescent="0.25"/>
    <row r="311" s="53" customFormat="1" ht="13.2" x14ac:dyDescent="0.25"/>
    <row r="312" s="53" customFormat="1" ht="13.2" x14ac:dyDescent="0.25"/>
    <row r="313" s="53" customFormat="1" ht="13.2" x14ac:dyDescent="0.25"/>
    <row r="314" s="53" customFormat="1" ht="13.2" x14ac:dyDescent="0.25"/>
    <row r="315" s="53" customFormat="1" ht="13.2" x14ac:dyDescent="0.25"/>
    <row r="316" s="53" customFormat="1" ht="13.2" x14ac:dyDescent="0.25"/>
    <row r="317" s="53" customFormat="1" ht="13.2" x14ac:dyDescent="0.25"/>
    <row r="318" s="53" customFormat="1" ht="13.2" x14ac:dyDescent="0.25"/>
    <row r="319" s="53" customFormat="1" ht="13.2" x14ac:dyDescent="0.25"/>
    <row r="320" s="53" customFormat="1" ht="13.2" x14ac:dyDescent="0.25"/>
    <row r="321" s="53" customFormat="1" ht="13.2" x14ac:dyDescent="0.25"/>
    <row r="322" s="53" customFormat="1" ht="13.2" x14ac:dyDescent="0.25"/>
    <row r="323" s="53" customFormat="1" ht="13.2" x14ac:dyDescent="0.25"/>
    <row r="324" s="53" customFormat="1" ht="13.2" x14ac:dyDescent="0.25"/>
    <row r="325" s="53" customFormat="1" ht="13.2" x14ac:dyDescent="0.25"/>
    <row r="326" s="53" customFormat="1" ht="13.2" x14ac:dyDescent="0.25"/>
    <row r="327" s="53" customFormat="1" ht="13.2" x14ac:dyDescent="0.25"/>
    <row r="328" s="53" customFormat="1" ht="13.2" x14ac:dyDescent="0.25"/>
    <row r="329" s="53" customFormat="1" ht="13.2" x14ac:dyDescent="0.25"/>
    <row r="330" s="53" customFormat="1" ht="13.2" x14ac:dyDescent="0.25"/>
    <row r="331" s="53" customFormat="1" ht="13.2" x14ac:dyDescent="0.25"/>
    <row r="332" s="53" customFormat="1" ht="13.2" x14ac:dyDescent="0.25"/>
    <row r="333" s="53" customFormat="1" ht="13.2" x14ac:dyDescent="0.25"/>
    <row r="334" s="53" customFormat="1" ht="13.2" x14ac:dyDescent="0.25"/>
    <row r="335" s="53" customFormat="1" ht="13.2" x14ac:dyDescent="0.25"/>
    <row r="336" s="53" customFormat="1" ht="13.2" x14ac:dyDescent="0.25"/>
    <row r="337" s="53" customFormat="1" ht="13.2" x14ac:dyDescent="0.25"/>
    <row r="338" s="53" customFormat="1" ht="13.2" x14ac:dyDescent="0.25"/>
    <row r="339" s="53" customFormat="1" ht="13.2" x14ac:dyDescent="0.25"/>
    <row r="340" s="53" customFormat="1" ht="13.2" x14ac:dyDescent="0.25"/>
    <row r="341" s="53" customFormat="1" ht="13.2" x14ac:dyDescent="0.25"/>
    <row r="342" s="53" customFormat="1" ht="13.2" x14ac:dyDescent="0.25"/>
    <row r="343" s="53" customFormat="1" ht="13.2" x14ac:dyDescent="0.25"/>
    <row r="344" s="53" customFormat="1" ht="13.2" x14ac:dyDescent="0.25"/>
    <row r="345" s="53" customFormat="1" ht="13.2" x14ac:dyDescent="0.25"/>
    <row r="346" s="53" customFormat="1" ht="13.2" x14ac:dyDescent="0.25"/>
    <row r="347" s="53" customFormat="1" ht="13.2" x14ac:dyDescent="0.25"/>
    <row r="348" s="53" customFormat="1" ht="13.2" x14ac:dyDescent="0.25"/>
    <row r="349" s="53" customFormat="1" ht="13.2" x14ac:dyDescent="0.25"/>
    <row r="350" s="53" customFormat="1" ht="13.2" x14ac:dyDescent="0.25"/>
    <row r="351" s="53" customFormat="1" ht="13.2" x14ac:dyDescent="0.25"/>
    <row r="352" s="53" customFormat="1" ht="13.2" x14ac:dyDescent="0.25"/>
    <row r="353" s="53" customFormat="1" ht="13.2" x14ac:dyDescent="0.25"/>
    <row r="354" s="53" customFormat="1" ht="13.2" x14ac:dyDescent="0.25"/>
    <row r="355" s="53" customFormat="1" ht="13.2" x14ac:dyDescent="0.25"/>
    <row r="356" s="53" customFormat="1" ht="13.2" x14ac:dyDescent="0.25"/>
    <row r="357" s="53" customFormat="1" ht="13.2" x14ac:dyDescent="0.25"/>
    <row r="358" s="53" customFormat="1" ht="13.2" x14ac:dyDescent="0.25"/>
    <row r="359" s="53" customFormat="1" ht="13.2" x14ac:dyDescent="0.25"/>
    <row r="360" s="53" customFormat="1" ht="13.2" x14ac:dyDescent="0.25"/>
    <row r="361" s="53" customFormat="1" ht="13.2" x14ac:dyDescent="0.25"/>
    <row r="362" s="53" customFormat="1" ht="13.2" x14ac:dyDescent="0.25"/>
    <row r="363" s="53" customFormat="1" ht="13.2" x14ac:dyDescent="0.25"/>
    <row r="364" s="53" customFormat="1" ht="13.2" x14ac:dyDescent="0.25"/>
    <row r="365" s="53" customFormat="1" ht="13.2" x14ac:dyDescent="0.25"/>
    <row r="366" s="53" customFormat="1" ht="13.2" x14ac:dyDescent="0.25"/>
    <row r="367" s="53" customFormat="1" ht="13.2" x14ac:dyDescent="0.25"/>
    <row r="368" s="53" customFormat="1" ht="13.2" x14ac:dyDescent="0.25"/>
    <row r="369" s="53" customFormat="1" ht="13.2" x14ac:dyDescent="0.25"/>
    <row r="370" s="53" customFormat="1" ht="13.2" x14ac:dyDescent="0.25"/>
    <row r="371" s="53" customFormat="1" ht="13.2" x14ac:dyDescent="0.25"/>
    <row r="372" s="53" customFormat="1" ht="13.2" x14ac:dyDescent="0.25"/>
    <row r="373" s="53" customFormat="1" ht="13.2" x14ac:dyDescent="0.25"/>
    <row r="374" s="53" customFormat="1" ht="13.2" x14ac:dyDescent="0.25"/>
    <row r="375" s="53" customFormat="1" ht="13.2" x14ac:dyDescent="0.25"/>
    <row r="376" s="53" customFormat="1" ht="13.2" x14ac:dyDescent="0.25"/>
    <row r="377" s="53" customFormat="1" ht="13.2" x14ac:dyDescent="0.25"/>
    <row r="378" s="53" customFormat="1" ht="13.2" x14ac:dyDescent="0.25"/>
    <row r="379" s="53" customFormat="1" ht="13.2" x14ac:dyDescent="0.25"/>
    <row r="380" s="53" customFormat="1" ht="13.2" x14ac:dyDescent="0.25"/>
    <row r="381" s="53" customFormat="1" ht="13.2" x14ac:dyDescent="0.25"/>
    <row r="382" s="53" customFormat="1" ht="13.2" x14ac:dyDescent="0.25"/>
    <row r="383" s="53" customFormat="1" ht="13.2" x14ac:dyDescent="0.25"/>
    <row r="384" s="53" customFormat="1" ht="13.2" x14ac:dyDescent="0.25"/>
    <row r="385" s="53" customFormat="1" ht="13.2" x14ac:dyDescent="0.25"/>
    <row r="386" s="53" customFormat="1" ht="13.2" x14ac:dyDescent="0.25"/>
    <row r="387" s="53" customFormat="1" ht="13.2" x14ac:dyDescent="0.25"/>
    <row r="388" s="53" customFormat="1" ht="13.2" x14ac:dyDescent="0.25"/>
    <row r="389" s="53" customFormat="1" ht="13.2" x14ac:dyDescent="0.25"/>
    <row r="390" s="53" customFormat="1" ht="13.2" x14ac:dyDescent="0.25"/>
    <row r="391" s="53" customFormat="1" ht="13.2" x14ac:dyDescent="0.25"/>
    <row r="392" s="53" customFormat="1" ht="13.2" x14ac:dyDescent="0.25"/>
    <row r="393" s="53" customFormat="1" ht="13.2" x14ac:dyDescent="0.25"/>
    <row r="394" s="53" customFormat="1" ht="13.2" x14ac:dyDescent="0.25"/>
    <row r="395" s="53" customFormat="1" ht="13.2" x14ac:dyDescent="0.25"/>
    <row r="396" s="53" customFormat="1" ht="13.2" x14ac:dyDescent="0.25"/>
    <row r="397" s="53" customFormat="1" ht="13.2" x14ac:dyDescent="0.25"/>
    <row r="398" s="53" customFormat="1" ht="13.2" x14ac:dyDescent="0.25"/>
    <row r="399" s="53" customFormat="1" ht="13.2" x14ac:dyDescent="0.25"/>
    <row r="400" s="53" customFormat="1" ht="13.2" x14ac:dyDescent="0.25"/>
    <row r="401" s="53" customFormat="1" ht="13.2" x14ac:dyDescent="0.25"/>
    <row r="402" s="53" customFormat="1" ht="13.2" x14ac:dyDescent="0.25"/>
    <row r="403" s="53" customFormat="1" ht="13.2" x14ac:dyDescent="0.25"/>
    <row r="404" s="53" customFormat="1" ht="13.2" x14ac:dyDescent="0.25"/>
    <row r="405" s="53" customFormat="1" ht="13.2" x14ac:dyDescent="0.25"/>
    <row r="406" s="53" customFormat="1" ht="13.2" x14ac:dyDescent="0.25"/>
    <row r="407" s="53" customFormat="1" ht="13.2" x14ac:dyDescent="0.25"/>
    <row r="408" s="53" customFormat="1" ht="13.2" x14ac:dyDescent="0.25"/>
    <row r="409" s="53" customFormat="1" ht="13.2" x14ac:dyDescent="0.25"/>
    <row r="410" s="53" customFormat="1" ht="13.2" x14ac:dyDescent="0.25"/>
    <row r="411" s="53" customFormat="1" ht="13.2" x14ac:dyDescent="0.25"/>
    <row r="412" s="53" customFormat="1" ht="13.2" x14ac:dyDescent="0.25"/>
    <row r="413" s="53" customFormat="1" ht="13.2" x14ac:dyDescent="0.25"/>
    <row r="414" s="53" customFormat="1" ht="13.2" x14ac:dyDescent="0.25"/>
    <row r="415" s="53" customFormat="1" ht="13.2" x14ac:dyDescent="0.25"/>
    <row r="416" s="53" customFormat="1" ht="13.2" x14ac:dyDescent="0.25"/>
    <row r="417" s="53" customFormat="1" ht="13.2" x14ac:dyDescent="0.25"/>
    <row r="418" s="53" customFormat="1" ht="13.2" x14ac:dyDescent="0.25"/>
    <row r="419" s="53" customFormat="1" ht="13.2" x14ac:dyDescent="0.25"/>
    <row r="420" s="53" customFormat="1" ht="13.2" x14ac:dyDescent="0.25"/>
    <row r="421" s="53" customFormat="1" ht="13.2" x14ac:dyDescent="0.25"/>
    <row r="422" s="53" customFormat="1" ht="13.2" x14ac:dyDescent="0.25"/>
    <row r="423" s="53" customFormat="1" ht="13.2" x14ac:dyDescent="0.25"/>
    <row r="424" s="53" customFormat="1" ht="13.2" x14ac:dyDescent="0.25"/>
    <row r="425" s="53" customFormat="1" ht="13.2" x14ac:dyDescent="0.25"/>
    <row r="426" s="53" customFormat="1" ht="13.2" x14ac:dyDescent="0.25"/>
    <row r="427" s="53" customFormat="1" ht="13.2" x14ac:dyDescent="0.25"/>
    <row r="428" s="53" customFormat="1" ht="13.2" x14ac:dyDescent="0.25"/>
    <row r="429" s="53" customFormat="1" ht="13.2" x14ac:dyDescent="0.25"/>
    <row r="430" s="53" customFormat="1" ht="13.2" x14ac:dyDescent="0.25"/>
    <row r="431" s="53" customFormat="1" ht="13.2" x14ac:dyDescent="0.25"/>
    <row r="432" s="53" customFormat="1" ht="13.2" x14ac:dyDescent="0.25"/>
    <row r="433" s="53" customFormat="1" ht="13.2" x14ac:dyDescent="0.25"/>
    <row r="434" s="53" customFormat="1" ht="13.2" x14ac:dyDescent="0.25"/>
    <row r="435" s="53" customFormat="1" ht="13.2" x14ac:dyDescent="0.25"/>
    <row r="436" s="53" customFormat="1" ht="13.2" x14ac:dyDescent="0.25"/>
    <row r="437" s="53" customFormat="1" ht="13.2" x14ac:dyDescent="0.25"/>
    <row r="438" s="53" customFormat="1" ht="13.2" x14ac:dyDescent="0.25"/>
    <row r="439" s="53" customFormat="1" ht="13.2" x14ac:dyDescent="0.25"/>
    <row r="440" s="53" customFormat="1" ht="13.2" x14ac:dyDescent="0.25"/>
    <row r="441" s="53" customFormat="1" ht="13.2" x14ac:dyDescent="0.25"/>
    <row r="442" s="53" customFormat="1" ht="13.2" x14ac:dyDescent="0.25"/>
    <row r="443" s="53" customFormat="1" ht="13.2" x14ac:dyDescent="0.25"/>
    <row r="444" s="53" customFormat="1" ht="13.2" x14ac:dyDescent="0.25"/>
    <row r="445" s="53" customFormat="1" ht="13.2" x14ac:dyDescent="0.25"/>
    <row r="446" s="53" customFormat="1" ht="13.2" x14ac:dyDescent="0.25"/>
    <row r="447" s="53" customFormat="1" ht="13.2" x14ac:dyDescent="0.25"/>
    <row r="448" s="53" customFormat="1" ht="13.2" x14ac:dyDescent="0.25"/>
    <row r="449" s="53" customFormat="1" ht="13.2" x14ac:dyDescent="0.25"/>
    <row r="450" s="53" customFormat="1" ht="13.2" x14ac:dyDescent="0.25"/>
    <row r="451" s="53" customFormat="1" ht="13.2" x14ac:dyDescent="0.25"/>
    <row r="452" s="53" customFormat="1" ht="13.2" x14ac:dyDescent="0.25"/>
    <row r="453" s="53" customFormat="1" ht="13.2" x14ac:dyDescent="0.25"/>
    <row r="454" s="53" customFormat="1" ht="13.2" x14ac:dyDescent="0.25"/>
    <row r="455" s="53" customFormat="1" ht="13.2" x14ac:dyDescent="0.25"/>
    <row r="456" s="53" customFormat="1" ht="13.2" x14ac:dyDescent="0.25"/>
    <row r="457" s="53" customFormat="1" ht="13.2" x14ac:dyDescent="0.25"/>
    <row r="458" s="53" customFormat="1" ht="13.2" x14ac:dyDescent="0.25"/>
    <row r="459" s="53" customFormat="1" ht="13.2" x14ac:dyDescent="0.25"/>
    <row r="460" s="53" customFormat="1" ht="13.2" x14ac:dyDescent="0.25"/>
    <row r="461" s="53" customFormat="1" ht="13.2" x14ac:dyDescent="0.25"/>
    <row r="462" s="53" customFormat="1" ht="13.2" x14ac:dyDescent="0.25"/>
    <row r="463" s="53" customFormat="1" ht="13.2" x14ac:dyDescent="0.25"/>
    <row r="464" s="53" customFormat="1" ht="13.2" x14ac:dyDescent="0.25"/>
    <row r="465" s="53" customFormat="1" ht="13.2" x14ac:dyDescent="0.25"/>
    <row r="466" s="53" customFormat="1" ht="13.2" x14ac:dyDescent="0.25"/>
    <row r="467" s="53" customFormat="1" ht="13.2" x14ac:dyDescent="0.25"/>
    <row r="468" s="53" customFormat="1" ht="13.2" x14ac:dyDescent="0.25"/>
    <row r="469" s="53" customFormat="1" ht="13.2" x14ac:dyDescent="0.25"/>
    <row r="470" s="53" customFormat="1" ht="13.2" x14ac:dyDescent="0.25"/>
    <row r="471" s="53" customFormat="1" ht="13.2" x14ac:dyDescent="0.25"/>
    <row r="472" s="53" customFormat="1" ht="13.2" x14ac:dyDescent="0.25"/>
    <row r="473" s="53" customFormat="1" ht="13.2" x14ac:dyDescent="0.25"/>
    <row r="474" s="53" customFormat="1" ht="13.2" x14ac:dyDescent="0.25"/>
    <row r="475" s="53" customFormat="1" ht="13.2" x14ac:dyDescent="0.25"/>
    <row r="476" s="53" customFormat="1" ht="13.2" x14ac:dyDescent="0.25"/>
    <row r="477" s="53" customFormat="1" ht="13.2" x14ac:dyDescent="0.25"/>
    <row r="478" s="53" customFormat="1" ht="13.2" x14ac:dyDescent="0.25"/>
    <row r="479" s="53" customFormat="1" ht="13.2" x14ac:dyDescent="0.25"/>
    <row r="480" s="53" customFormat="1" ht="13.2" x14ac:dyDescent="0.25"/>
    <row r="481" s="53" customFormat="1" ht="13.2" x14ac:dyDescent="0.25"/>
    <row r="482" s="53" customFormat="1" ht="13.2" x14ac:dyDescent="0.25"/>
    <row r="483" s="53" customFormat="1" ht="13.2" x14ac:dyDescent="0.25"/>
    <row r="484" s="53" customFormat="1" ht="13.2" x14ac:dyDescent="0.25"/>
    <row r="485" s="53" customFormat="1" ht="13.2" x14ac:dyDescent="0.25"/>
    <row r="486" s="53" customFormat="1" ht="13.2" x14ac:dyDescent="0.25"/>
    <row r="487" s="53" customFormat="1" ht="13.2" x14ac:dyDescent="0.25"/>
    <row r="488" s="53" customFormat="1" ht="13.2" x14ac:dyDescent="0.25"/>
    <row r="489" s="53" customFormat="1" ht="13.2" x14ac:dyDescent="0.25"/>
    <row r="490" s="53" customFormat="1" ht="13.2" x14ac:dyDescent="0.25"/>
    <row r="491" s="53" customFormat="1" ht="13.2" x14ac:dyDescent="0.25"/>
    <row r="492" s="53" customFormat="1" ht="13.2" x14ac:dyDescent="0.25"/>
    <row r="493" s="53" customFormat="1" ht="13.2" x14ac:dyDescent="0.25"/>
    <row r="494" s="53" customFormat="1" ht="13.2" x14ac:dyDescent="0.25"/>
    <row r="495" s="53" customFormat="1" ht="13.2" x14ac:dyDescent="0.25"/>
    <row r="496" s="53" customFormat="1" ht="13.2" x14ac:dyDescent="0.25"/>
    <row r="497" s="53" customFormat="1" ht="13.2" x14ac:dyDescent="0.25"/>
    <row r="498" s="53" customFormat="1" ht="13.2" x14ac:dyDescent="0.25"/>
    <row r="499" s="53" customFormat="1" ht="13.2" x14ac:dyDescent="0.25"/>
    <row r="500" s="53" customFormat="1" ht="13.2" x14ac:dyDescent="0.25"/>
    <row r="501" s="53" customFormat="1" ht="13.2" x14ac:dyDescent="0.25"/>
    <row r="502" s="53" customFormat="1" ht="13.2" x14ac:dyDescent="0.25"/>
    <row r="503" s="53" customFormat="1" ht="13.2" x14ac:dyDescent="0.25"/>
    <row r="504" s="53" customFormat="1" ht="13.2" x14ac:dyDescent="0.25"/>
    <row r="505" s="53" customFormat="1" ht="13.2" x14ac:dyDescent="0.25"/>
    <row r="506" s="53" customFormat="1" ht="13.2" x14ac:dyDescent="0.25"/>
    <row r="507" s="53" customFormat="1" ht="13.2" x14ac:dyDescent="0.25"/>
    <row r="508" s="53" customFormat="1" ht="13.2" x14ac:dyDescent="0.25"/>
    <row r="509" s="53" customFormat="1" ht="13.2" x14ac:dyDescent="0.25"/>
    <row r="510" s="53" customFormat="1" ht="13.2" x14ac:dyDescent="0.25"/>
    <row r="511" s="53" customFormat="1" ht="13.2" x14ac:dyDescent="0.25"/>
    <row r="512" s="53" customFormat="1" ht="13.2" x14ac:dyDescent="0.25"/>
    <row r="513" s="53" customFormat="1" ht="13.2" x14ac:dyDescent="0.25"/>
    <row r="514" s="53" customFormat="1" ht="13.2" x14ac:dyDescent="0.25"/>
    <row r="515" s="53" customFormat="1" ht="13.2" x14ac:dyDescent="0.25"/>
    <row r="516" s="53" customFormat="1" ht="13.2" x14ac:dyDescent="0.25"/>
    <row r="517" s="53" customFormat="1" ht="13.2" x14ac:dyDescent="0.25"/>
    <row r="518" s="53" customFormat="1" ht="13.2" x14ac:dyDescent="0.25"/>
    <row r="519" s="53" customFormat="1" ht="13.2" x14ac:dyDescent="0.25"/>
    <row r="520" s="53" customFormat="1" ht="13.2" x14ac:dyDescent="0.25"/>
    <row r="521" s="53" customFormat="1" ht="13.2" x14ac:dyDescent="0.25"/>
    <row r="522" s="53" customFormat="1" ht="13.2" x14ac:dyDescent="0.25"/>
    <row r="523" s="53" customFormat="1" ht="13.2" x14ac:dyDescent="0.25"/>
    <row r="524" s="53" customFormat="1" ht="13.2" x14ac:dyDescent="0.25"/>
    <row r="525" s="53" customFormat="1" ht="13.2" x14ac:dyDescent="0.25"/>
    <row r="526" s="53" customFormat="1" ht="13.2" x14ac:dyDescent="0.25"/>
    <row r="527" s="53" customFormat="1" ht="13.2" x14ac:dyDescent="0.25"/>
    <row r="528" s="53" customFormat="1" ht="13.2" x14ac:dyDescent="0.25"/>
    <row r="529" s="53" customFormat="1" ht="13.2" x14ac:dyDescent="0.25"/>
    <row r="530" s="53" customFormat="1" ht="13.2" x14ac:dyDescent="0.25"/>
    <row r="531" s="53" customFormat="1" ht="13.2" x14ac:dyDescent="0.25"/>
    <row r="532" s="53" customFormat="1" ht="13.2" x14ac:dyDescent="0.25"/>
    <row r="533" s="53" customFormat="1" ht="13.2" x14ac:dyDescent="0.25"/>
    <row r="534" s="53" customFormat="1" ht="13.2" x14ac:dyDescent="0.25"/>
    <row r="535" s="53" customFormat="1" ht="13.2" x14ac:dyDescent="0.25"/>
    <row r="536" s="53" customFormat="1" ht="13.2" x14ac:dyDescent="0.25"/>
    <row r="537" s="53" customFormat="1" ht="13.2" x14ac:dyDescent="0.25"/>
    <row r="538" s="53" customFormat="1" ht="13.2" x14ac:dyDescent="0.25"/>
    <row r="539" s="53" customFormat="1" ht="13.2" x14ac:dyDescent="0.25"/>
    <row r="540" s="53" customFormat="1" ht="13.2" x14ac:dyDescent="0.25"/>
    <row r="541" s="53" customFormat="1" ht="13.2" x14ac:dyDescent="0.25"/>
    <row r="542" s="53" customFormat="1" ht="13.2" x14ac:dyDescent="0.25"/>
    <row r="543" s="53" customFormat="1" ht="13.2" x14ac:dyDescent="0.25"/>
    <row r="544" s="53" customFormat="1" ht="13.2" x14ac:dyDescent="0.25"/>
    <row r="545" s="53" customFormat="1" ht="13.2" x14ac:dyDescent="0.25"/>
    <row r="546" s="53" customFormat="1" ht="13.2" x14ac:dyDescent="0.25"/>
    <row r="547" s="53" customFormat="1" ht="13.2" x14ac:dyDescent="0.25"/>
    <row r="548" s="53" customFormat="1" ht="13.2" x14ac:dyDescent="0.25"/>
    <row r="549" s="53" customFormat="1" ht="13.2" x14ac:dyDescent="0.25"/>
    <row r="550" s="53" customFormat="1" ht="13.2" x14ac:dyDescent="0.25"/>
    <row r="551" s="53" customFormat="1" ht="13.2" x14ac:dyDescent="0.25"/>
    <row r="552" s="53" customFormat="1" ht="13.2" x14ac:dyDescent="0.25"/>
    <row r="553" s="53" customFormat="1" ht="13.2" x14ac:dyDescent="0.25"/>
    <row r="554" s="53" customFormat="1" ht="13.2" x14ac:dyDescent="0.25"/>
    <row r="555" s="53" customFormat="1" ht="13.2" x14ac:dyDescent="0.25"/>
    <row r="556" s="53" customFormat="1" ht="13.2" x14ac:dyDescent="0.25"/>
    <row r="557" s="53" customFormat="1" ht="13.2" x14ac:dyDescent="0.25"/>
    <row r="558" s="53" customFormat="1" ht="13.2" x14ac:dyDescent="0.25"/>
    <row r="559" s="53" customFormat="1" ht="13.2" x14ac:dyDescent="0.25"/>
  </sheetData>
  <phoneticPr fontId="6" type="noConversion"/>
  <pageMargins left="0.75" right="0.75" top="1" bottom="1" header="0.5" footer="0.5"/>
  <pageSetup scale="77" orientation="portrait" r:id="rId1"/>
  <headerFooter alignWithMargins="0">
    <oddHeader>&amp;RS7</oddHead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R66"/>
  <sheetViews>
    <sheetView showGridLines="0" workbookViewId="0"/>
  </sheetViews>
  <sheetFormatPr defaultColWidth="8.90625" defaultRowHeight="13.2" x14ac:dyDescent="0.25"/>
  <cols>
    <col min="1" max="1" width="36.36328125" style="267" customWidth="1"/>
    <col min="2" max="2" width="11.54296875" style="267" bestFit="1" customWidth="1"/>
    <col min="3" max="3" width="2.08984375" style="267" customWidth="1"/>
    <col min="4" max="4" width="14" style="267" bestFit="1" customWidth="1"/>
    <col min="5" max="5" width="2.1796875" style="267" customWidth="1"/>
    <col min="6" max="6" width="14" style="267" bestFit="1" customWidth="1"/>
    <col min="7" max="7" width="3.453125" style="267" customWidth="1"/>
    <col min="8" max="8" width="26.36328125" style="267" bestFit="1" customWidth="1"/>
    <col min="9" max="16384" width="8.90625" style="267"/>
  </cols>
  <sheetData>
    <row r="1" spans="1:9" x14ac:dyDescent="0.25">
      <c r="A1" s="66" t="s">
        <v>882</v>
      </c>
      <c r="B1" s="112"/>
      <c r="C1" s="112"/>
      <c r="D1" s="112"/>
      <c r="E1" s="112"/>
      <c r="F1" s="112"/>
      <c r="G1" s="112"/>
      <c r="H1" s="112"/>
      <c r="I1" s="69"/>
    </row>
    <row r="2" spans="1:9" x14ac:dyDescent="0.25">
      <c r="A2" s="324" t="s">
        <v>874</v>
      </c>
      <c r="B2" s="112"/>
      <c r="C2" s="112"/>
      <c r="D2" s="112"/>
      <c r="E2" s="112"/>
      <c r="F2" s="112"/>
      <c r="G2" s="112"/>
      <c r="H2" s="112"/>
      <c r="I2" s="69"/>
    </row>
    <row r="3" spans="1:9" x14ac:dyDescent="0.25">
      <c r="A3" s="66" t="s">
        <v>921</v>
      </c>
      <c r="B3" s="112"/>
      <c r="C3" s="112"/>
      <c r="D3" s="112"/>
      <c r="E3" s="112"/>
      <c r="F3" s="112"/>
      <c r="G3" s="112"/>
      <c r="H3" s="112"/>
      <c r="I3" s="69"/>
    </row>
    <row r="4" spans="1:9" x14ac:dyDescent="0.25">
      <c r="A4" s="59"/>
      <c r="B4" s="112"/>
      <c r="C4" s="112"/>
      <c r="D4" s="112"/>
      <c r="E4" s="112"/>
      <c r="F4" s="112"/>
      <c r="G4" s="112"/>
      <c r="H4" s="112"/>
      <c r="I4" s="69"/>
    </row>
    <row r="5" spans="1:9" x14ac:dyDescent="0.25">
      <c r="A5" s="112"/>
      <c r="B5" s="112"/>
      <c r="C5" s="112"/>
      <c r="D5" s="112"/>
      <c r="E5" s="112"/>
      <c r="F5" s="112"/>
      <c r="G5" s="112"/>
      <c r="H5" s="112"/>
      <c r="I5" s="69"/>
    </row>
    <row r="6" spans="1:9" x14ac:dyDescent="0.25">
      <c r="A6" s="128"/>
      <c r="B6" s="108" t="s">
        <v>299</v>
      </c>
      <c r="C6" s="331"/>
      <c r="D6" s="308" t="s">
        <v>146</v>
      </c>
      <c r="E6" s="308"/>
      <c r="F6" s="108" t="s">
        <v>180</v>
      </c>
      <c r="G6" s="112"/>
      <c r="H6" s="112"/>
      <c r="I6" s="69"/>
    </row>
    <row r="7" spans="1:9" x14ac:dyDescent="0.25">
      <c r="A7" s="128"/>
      <c r="B7" s="109" t="str">
        <f>+'S1 VEC Master Summary'!C5</f>
        <v>7/1/23-6/30/24</v>
      </c>
      <c r="C7" s="263"/>
      <c r="D7" s="264" t="s">
        <v>147</v>
      </c>
      <c r="E7" s="264"/>
      <c r="F7" s="109">
        <f>+'S1 VEC Master Summary'!E5</f>
        <v>2025</v>
      </c>
      <c r="G7" s="112"/>
      <c r="H7" s="141" t="s">
        <v>54</v>
      </c>
      <c r="I7" s="69"/>
    </row>
    <row r="8" spans="1:9" x14ac:dyDescent="0.25">
      <c r="A8" s="128"/>
      <c r="B8" s="109"/>
      <c r="C8" s="263"/>
      <c r="D8" s="264"/>
      <c r="E8" s="264"/>
      <c r="F8" s="109"/>
      <c r="G8" s="112"/>
      <c r="H8" s="160"/>
      <c r="I8" s="69"/>
    </row>
    <row r="9" spans="1:9" x14ac:dyDescent="0.25">
      <c r="A9" s="160" t="s">
        <v>1045</v>
      </c>
      <c r="B9" s="346">
        <f>1109524.06-92421</f>
        <v>1017103.06</v>
      </c>
      <c r="C9" s="140"/>
      <c r="D9" s="346">
        <f>+F9-B9</f>
        <v>217970.67999999993</v>
      </c>
      <c r="E9" s="158"/>
      <c r="F9" s="346">
        <v>1235073.74</v>
      </c>
      <c r="H9" s="160" t="s">
        <v>1154</v>
      </c>
      <c r="I9" s="69"/>
    </row>
    <row r="10" spans="1:9" x14ac:dyDescent="0.25">
      <c r="A10" s="160" t="s">
        <v>1046</v>
      </c>
      <c r="B10" s="346">
        <v>284495.61</v>
      </c>
      <c r="C10" s="140"/>
      <c r="D10" s="346">
        <f>+F10-B10</f>
        <v>46412.98000000004</v>
      </c>
      <c r="E10" s="158"/>
      <c r="F10" s="346">
        <v>330908.59000000003</v>
      </c>
      <c r="H10" s="160" t="s">
        <v>1155</v>
      </c>
      <c r="I10" s="69"/>
    </row>
    <row r="11" spans="1:9" ht="15" x14ac:dyDescent="0.4">
      <c r="A11" s="160" t="s">
        <v>1090</v>
      </c>
      <c r="B11" s="347">
        <v>92421</v>
      </c>
      <c r="C11" s="140"/>
      <c r="D11" s="347">
        <f>+F11-B11</f>
        <v>-92421</v>
      </c>
      <c r="E11" s="158"/>
      <c r="F11" s="347">
        <v>0</v>
      </c>
      <c r="H11" s="344" t="s">
        <v>1156</v>
      </c>
      <c r="I11" s="69"/>
    </row>
    <row r="12" spans="1:9" x14ac:dyDescent="0.25">
      <c r="A12" s="218" t="s">
        <v>875</v>
      </c>
      <c r="B12" s="199">
        <f>SUM(B9:B11)</f>
        <v>1394019.67</v>
      </c>
      <c r="C12" s="129"/>
      <c r="D12" s="199">
        <f>SUM(F12-B12)</f>
        <v>171962.66000000015</v>
      </c>
      <c r="E12" s="129"/>
      <c r="F12" s="199">
        <f>SUM(F9:F11)</f>
        <v>1565982.33</v>
      </c>
      <c r="G12" s="160"/>
      <c r="H12" s="160"/>
      <c r="I12" s="69"/>
    </row>
    <row r="13" spans="1:9" ht="17.25" customHeight="1" x14ac:dyDescent="0.25">
      <c r="A13" s="160"/>
      <c r="B13" s="277"/>
      <c r="C13" s="277"/>
      <c r="D13" s="277"/>
      <c r="E13" s="277"/>
      <c r="F13" s="277"/>
      <c r="G13" s="160"/>
      <c r="H13" s="160"/>
      <c r="I13" s="69"/>
    </row>
    <row r="14" spans="1:9" x14ac:dyDescent="0.25">
      <c r="A14" s="160"/>
      <c r="B14" s="447" t="s">
        <v>1162</v>
      </c>
      <c r="C14" s="448"/>
      <c r="D14" s="209"/>
      <c r="E14" s="140"/>
      <c r="F14" s="140"/>
      <c r="G14" s="140"/>
      <c r="H14" s="160"/>
      <c r="I14" s="69"/>
    </row>
    <row r="15" spans="1:9" x14ac:dyDescent="0.25">
      <c r="A15" s="160"/>
      <c r="B15" s="121"/>
      <c r="C15" s="140"/>
      <c r="E15" s="140"/>
      <c r="F15" s="140"/>
      <c r="G15" s="140"/>
      <c r="H15" s="160"/>
      <c r="I15" s="69"/>
    </row>
    <row r="16" spans="1:9" x14ac:dyDescent="0.25">
      <c r="A16" s="308"/>
      <c r="B16" s="108" t="s">
        <v>299</v>
      </c>
      <c r="C16" s="331"/>
      <c r="D16" s="308" t="s">
        <v>146</v>
      </c>
      <c r="E16" s="308"/>
      <c r="F16" s="108" t="s">
        <v>180</v>
      </c>
      <c r="G16" s="140"/>
      <c r="H16" s="160"/>
      <c r="I16" s="69"/>
    </row>
    <row r="17" spans="1:9" x14ac:dyDescent="0.25">
      <c r="A17" s="264" t="s">
        <v>317</v>
      </c>
      <c r="B17" s="109" t="str">
        <f>+B7</f>
        <v>7/1/23-6/30/24</v>
      </c>
      <c r="C17" s="263"/>
      <c r="D17" s="264" t="s">
        <v>147</v>
      </c>
      <c r="E17" s="264"/>
      <c r="F17" s="109">
        <f>+F7</f>
        <v>2025</v>
      </c>
      <c r="G17" s="140"/>
      <c r="H17" s="160"/>
      <c r="I17" s="69"/>
    </row>
    <row r="18" spans="1:9" x14ac:dyDescent="0.25">
      <c r="A18" s="216"/>
      <c r="B18" s="199"/>
      <c r="C18" s="92"/>
      <c r="D18" s="199"/>
      <c r="E18" s="93"/>
      <c r="F18" s="199"/>
      <c r="G18" s="140"/>
      <c r="H18" s="160"/>
      <c r="I18" s="69"/>
    </row>
    <row r="19" spans="1:9" ht="15" x14ac:dyDescent="0.4">
      <c r="A19" s="59" t="s">
        <v>1157</v>
      </c>
      <c r="B19" s="348">
        <v>153626.75</v>
      </c>
      <c r="C19" s="349"/>
      <c r="D19" s="348">
        <f>+F19-B19</f>
        <v>19516.910000000003</v>
      </c>
      <c r="E19" s="350"/>
      <c r="F19" s="348">
        <v>173143.66</v>
      </c>
      <c r="G19" s="140"/>
      <c r="H19" s="160"/>
      <c r="I19" s="69"/>
    </row>
    <row r="20" spans="1:9" x14ac:dyDescent="0.25">
      <c r="A20" s="216"/>
      <c r="B20" s="199">
        <f>SUM(B19:B19)</f>
        <v>153626.75</v>
      </c>
      <c r="C20" s="92"/>
      <c r="D20" s="199">
        <f>SUM(D19:D19)</f>
        <v>19516.910000000003</v>
      </c>
      <c r="E20" s="93"/>
      <c r="F20" s="199">
        <f>SUM(F19:F19)</f>
        <v>173143.66</v>
      </c>
      <c r="G20" s="131"/>
      <c r="H20" s="160"/>
      <c r="I20" s="69"/>
    </row>
    <row r="21" spans="1:9" x14ac:dyDescent="0.25">
      <c r="A21" s="216"/>
      <c r="B21" s="199"/>
      <c r="C21" s="92"/>
      <c r="D21" s="199"/>
      <c r="E21" s="93"/>
      <c r="F21" s="199"/>
      <c r="G21" s="131"/>
      <c r="H21" s="236"/>
      <c r="I21" s="69"/>
    </row>
    <row r="22" spans="1:9" x14ac:dyDescent="0.25">
      <c r="A22" s="59" t="s">
        <v>316</v>
      </c>
      <c r="B22" s="346">
        <v>55760.79</v>
      </c>
      <c r="C22" s="140"/>
      <c r="D22" s="346">
        <f t="shared" ref="D22:D27" si="0">+F22-B22</f>
        <v>6878.5032383333382</v>
      </c>
      <c r="E22" s="158"/>
      <c r="F22" s="346">
        <v>62639.293238333339</v>
      </c>
      <c r="G22" s="351"/>
      <c r="H22" s="352" t="s">
        <v>212</v>
      </c>
      <c r="I22" s="69"/>
    </row>
    <row r="23" spans="1:9" x14ac:dyDescent="0.25">
      <c r="A23" s="59" t="s">
        <v>58</v>
      </c>
      <c r="B23" s="346">
        <v>215077.45</v>
      </c>
      <c r="C23" s="140"/>
      <c r="D23" s="346">
        <f t="shared" si="0"/>
        <v>27323.677914166648</v>
      </c>
      <c r="E23" s="158"/>
      <c r="F23" s="346">
        <v>242401.12791416666</v>
      </c>
      <c r="G23" s="351"/>
      <c r="H23" s="352" t="s">
        <v>213</v>
      </c>
      <c r="I23" s="69"/>
    </row>
    <row r="24" spans="1:9" x14ac:dyDescent="0.25">
      <c r="A24" s="59" t="s">
        <v>59</v>
      </c>
      <c r="B24" s="346">
        <v>54054.17</v>
      </c>
      <c r="C24" s="140"/>
      <c r="D24" s="346">
        <f t="shared" si="0"/>
        <v>8818.4628599999996</v>
      </c>
      <c r="E24" s="140"/>
      <c r="F24" s="346">
        <v>62872.632859999998</v>
      </c>
      <c r="G24" s="351"/>
      <c r="H24" s="352" t="s">
        <v>213</v>
      </c>
      <c r="I24" s="69"/>
    </row>
    <row r="25" spans="1:9" x14ac:dyDescent="0.25">
      <c r="A25" s="59" t="s">
        <v>60</v>
      </c>
      <c r="B25" s="346">
        <v>589755.25</v>
      </c>
      <c r="C25" s="158"/>
      <c r="D25" s="346">
        <f t="shared" si="0"/>
        <v>70147.468930416624</v>
      </c>
      <c r="E25" s="158"/>
      <c r="F25" s="346">
        <v>659902.71893041662</v>
      </c>
      <c r="G25" s="351"/>
      <c r="H25" s="352" t="s">
        <v>214</v>
      </c>
      <c r="I25" s="69"/>
    </row>
    <row r="26" spans="1:9" ht="15" x14ac:dyDescent="0.4">
      <c r="A26" s="59" t="s">
        <v>281</v>
      </c>
      <c r="B26" s="348">
        <v>325745.27</v>
      </c>
      <c r="C26" s="349"/>
      <c r="D26" s="348">
        <f t="shared" si="0"/>
        <v>39277.625219583279</v>
      </c>
      <c r="E26" s="350"/>
      <c r="F26" s="348">
        <v>365022.8952195833</v>
      </c>
      <c r="G26" s="351"/>
      <c r="H26" s="352" t="s">
        <v>215</v>
      </c>
      <c r="I26" s="69"/>
    </row>
    <row r="27" spans="1:9" x14ac:dyDescent="0.25">
      <c r="A27" s="216" t="s">
        <v>301</v>
      </c>
      <c r="B27" s="199">
        <f>SUM(B22:B26)</f>
        <v>1240392.93</v>
      </c>
      <c r="C27" s="92"/>
      <c r="D27" s="199">
        <f t="shared" si="0"/>
        <v>152445.73816250009</v>
      </c>
      <c r="E27" s="93"/>
      <c r="F27" s="199">
        <f>SUM(F22:F26)</f>
        <v>1392838.6681625</v>
      </c>
      <c r="G27" s="131"/>
      <c r="H27" s="160"/>
      <c r="I27" s="69"/>
    </row>
    <row r="28" spans="1:9" x14ac:dyDescent="0.25">
      <c r="A28" s="216"/>
      <c r="B28" s="199"/>
      <c r="C28" s="92"/>
      <c r="D28" s="199"/>
      <c r="E28" s="93"/>
      <c r="F28" s="199"/>
      <c r="G28" s="131"/>
      <c r="H28" s="160"/>
      <c r="I28" s="69"/>
    </row>
    <row r="29" spans="1:9" x14ac:dyDescent="0.25">
      <c r="A29" s="129" t="s">
        <v>924</v>
      </c>
      <c r="B29" s="277">
        <f>+B20+B27</f>
        <v>1394019.68</v>
      </c>
      <c r="C29" s="121"/>
      <c r="D29" s="333">
        <f>+F29-B29</f>
        <v>171962.6481625</v>
      </c>
      <c r="E29" s="129"/>
      <c r="F29" s="333">
        <f>+F20+F27</f>
        <v>1565982.3281624999</v>
      </c>
      <c r="G29" s="345"/>
      <c r="H29" s="160"/>
      <c r="I29" s="69"/>
    </row>
    <row r="30" spans="1:9" x14ac:dyDescent="0.25">
      <c r="A30" s="128"/>
      <c r="B30" s="346"/>
      <c r="C30" s="121"/>
      <c r="D30" s="121"/>
      <c r="E30" s="121"/>
      <c r="F30" s="121"/>
      <c r="G30" s="140"/>
      <c r="H30" s="160"/>
      <c r="I30" s="69"/>
    </row>
    <row r="31" spans="1:9" x14ac:dyDescent="0.25">
      <c r="A31" s="128" t="s">
        <v>1058</v>
      </c>
      <c r="B31" s="522"/>
      <c r="C31" s="121"/>
      <c r="D31" s="121"/>
      <c r="E31" s="121"/>
      <c r="F31" s="121"/>
      <c r="G31" s="140"/>
      <c r="H31" s="160"/>
      <c r="I31" s="69"/>
    </row>
    <row r="32" spans="1:9" x14ac:dyDescent="0.25">
      <c r="A32" s="128" t="s">
        <v>1289</v>
      </c>
      <c r="B32" s="522"/>
      <c r="C32" s="121"/>
      <c r="D32" s="121"/>
      <c r="E32" s="121"/>
      <c r="F32" s="121"/>
      <c r="G32" s="140"/>
      <c r="H32" s="160"/>
      <c r="I32" s="69"/>
    </row>
    <row r="33" spans="1:18" x14ac:dyDescent="0.25">
      <c r="A33" s="128" t="s">
        <v>1057</v>
      </c>
      <c r="B33" s="522"/>
      <c r="C33" s="121"/>
      <c r="D33" s="121"/>
      <c r="E33" s="121"/>
      <c r="F33" s="121"/>
      <c r="G33" s="140"/>
      <c r="H33" s="160"/>
      <c r="I33" s="69"/>
    </row>
    <row r="34" spans="1:18" x14ac:dyDescent="0.25">
      <c r="A34" s="353"/>
      <c r="B34" s="353"/>
      <c r="C34" s="353"/>
      <c r="D34" s="354"/>
      <c r="E34" s="354"/>
      <c r="F34" s="354"/>
      <c r="G34" s="354"/>
      <c r="H34" s="160"/>
      <c r="I34" s="69"/>
    </row>
    <row r="35" spans="1:18" ht="46.2" customHeight="1" x14ac:dyDescent="0.25">
      <c r="A35" s="69"/>
      <c r="B35" s="69"/>
      <c r="C35" s="69"/>
      <c r="D35" s="69"/>
      <c r="E35" s="69"/>
      <c r="F35" s="69"/>
      <c r="G35" s="69"/>
      <c r="H35" s="69"/>
      <c r="I35" s="69"/>
      <c r="L35" s="328"/>
    </row>
    <row r="36" spans="1:18" x14ac:dyDescent="0.25">
      <c r="L36" s="328"/>
    </row>
    <row r="37" spans="1:18" x14ac:dyDescent="0.25">
      <c r="L37" s="328"/>
    </row>
    <row r="38" spans="1:18" x14ac:dyDescent="0.25">
      <c r="L38" s="328"/>
    </row>
    <row r="39" spans="1:18" ht="15.75" customHeight="1" x14ac:dyDescent="0.25">
      <c r="L39" s="328"/>
    </row>
    <row r="41" spans="1:18" x14ac:dyDescent="0.25">
      <c r="M41" s="321"/>
      <c r="N41" s="321"/>
      <c r="O41" s="321"/>
      <c r="P41" s="321"/>
      <c r="Q41" s="321"/>
      <c r="R41" s="321"/>
    </row>
    <row r="45" spans="1:18" x14ac:dyDescent="0.25">
      <c r="M45" s="321"/>
      <c r="N45" s="321"/>
      <c r="O45" s="321"/>
      <c r="P45" s="321"/>
      <c r="Q45" s="321"/>
      <c r="R45" s="321"/>
    </row>
    <row r="46" spans="1:18" x14ac:dyDescent="0.25">
      <c r="M46" s="321"/>
      <c r="N46" s="321"/>
      <c r="O46" s="321"/>
      <c r="P46" s="321"/>
      <c r="Q46" s="321"/>
      <c r="R46" s="321"/>
    </row>
    <row r="47" spans="1:18" x14ac:dyDescent="0.25">
      <c r="M47" s="321"/>
      <c r="N47" s="321"/>
      <c r="O47" s="321"/>
      <c r="P47" s="321"/>
      <c r="Q47" s="321"/>
      <c r="R47" s="321"/>
    </row>
    <row r="48" spans="1:18" x14ac:dyDescent="0.25">
      <c r="M48" s="321"/>
      <c r="N48" s="321"/>
      <c r="O48" s="321"/>
      <c r="P48" s="321"/>
      <c r="Q48" s="321"/>
      <c r="R48" s="321"/>
    </row>
    <row r="50" spans="2:18" x14ac:dyDescent="0.25">
      <c r="M50" s="321"/>
      <c r="N50" s="321"/>
      <c r="O50" s="321"/>
      <c r="P50" s="321"/>
      <c r="Q50" s="321"/>
      <c r="R50" s="321"/>
    </row>
    <row r="51" spans="2:18" x14ac:dyDescent="0.25">
      <c r="M51" s="321"/>
      <c r="N51" s="321"/>
      <c r="O51" s="321"/>
      <c r="P51" s="321"/>
      <c r="Q51" s="321"/>
      <c r="R51" s="321"/>
    </row>
    <row r="52" spans="2:18" x14ac:dyDescent="0.25">
      <c r="L52" s="321"/>
    </row>
    <row r="62" spans="2:18" x14ac:dyDescent="0.25">
      <c r="B62" s="59"/>
      <c r="C62" s="203"/>
    </row>
    <row r="63" spans="2:18" x14ac:dyDescent="0.25">
      <c r="C63" s="203"/>
    </row>
    <row r="64" spans="2:18" x14ac:dyDescent="0.25">
      <c r="D64" s="355"/>
    </row>
    <row r="65" spans="4:4" x14ac:dyDescent="0.25">
      <c r="D65" s="203"/>
    </row>
    <row r="66" spans="4:4" x14ac:dyDescent="0.25">
      <c r="D66" s="203"/>
    </row>
  </sheetData>
  <pageMargins left="0.45" right="0.45" top="0.5" bottom="0.5" header="0.3" footer="0.3"/>
  <pageSetup scale="74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44FEDF-3A7E-4E5C-922E-FC4D1DF139B2}">
  <sheetPr>
    <pageSetUpPr fitToPage="1"/>
  </sheetPr>
  <dimension ref="A1:I32"/>
  <sheetViews>
    <sheetView showGridLines="0" workbookViewId="0"/>
  </sheetViews>
  <sheetFormatPr defaultColWidth="8.90625" defaultRowHeight="13.2" x14ac:dyDescent="0.25"/>
  <cols>
    <col min="1" max="1" width="31.54296875" style="267" customWidth="1"/>
    <col min="2" max="2" width="11.54296875" style="267" bestFit="1" customWidth="1"/>
    <col min="3" max="3" width="2.08984375" style="267" customWidth="1"/>
    <col min="4" max="4" width="14" style="267" bestFit="1" customWidth="1"/>
    <col min="5" max="5" width="2.1796875" style="267" customWidth="1"/>
    <col min="6" max="6" width="14" style="267" bestFit="1" customWidth="1"/>
    <col min="7" max="7" width="4.6328125" style="267" customWidth="1"/>
    <col min="8" max="8" width="17.81640625" style="267" bestFit="1" customWidth="1"/>
    <col min="9" max="16384" width="8.90625" style="267"/>
  </cols>
  <sheetData>
    <row r="1" spans="1:9" x14ac:dyDescent="0.25">
      <c r="A1" s="66" t="s">
        <v>882</v>
      </c>
      <c r="B1" s="112"/>
      <c r="C1" s="112"/>
      <c r="D1" s="112"/>
      <c r="E1" s="112"/>
      <c r="F1" s="112"/>
      <c r="G1" s="112"/>
      <c r="H1" s="112"/>
      <c r="I1" s="69"/>
    </row>
    <row r="2" spans="1:9" x14ac:dyDescent="0.25">
      <c r="A2" s="324" t="s">
        <v>1114</v>
      </c>
      <c r="B2" s="112"/>
      <c r="C2" s="112"/>
      <c r="D2" s="112"/>
      <c r="E2" s="112"/>
      <c r="F2" s="112"/>
      <c r="G2" s="112"/>
      <c r="H2" s="112"/>
      <c r="I2" s="69"/>
    </row>
    <row r="3" spans="1:9" x14ac:dyDescent="0.25">
      <c r="A3" s="66" t="s">
        <v>1115</v>
      </c>
      <c r="B3" s="112"/>
      <c r="C3" s="112"/>
      <c r="D3" s="112"/>
      <c r="E3" s="112"/>
      <c r="F3" s="112"/>
      <c r="G3" s="112"/>
      <c r="H3" s="112"/>
      <c r="I3" s="69"/>
    </row>
    <row r="4" spans="1:9" x14ac:dyDescent="0.25">
      <c r="A4" s="59"/>
      <c r="B4" s="112"/>
      <c r="C4" s="112"/>
      <c r="D4" s="112"/>
      <c r="E4" s="112"/>
      <c r="F4" s="112"/>
      <c r="G4" s="112"/>
      <c r="H4" s="112"/>
      <c r="I4" s="69"/>
    </row>
    <row r="5" spans="1:9" x14ac:dyDescent="0.25">
      <c r="A5" s="112"/>
      <c r="B5" s="112"/>
      <c r="C5" s="112"/>
      <c r="D5" s="112"/>
      <c r="E5" s="112"/>
      <c r="F5" s="112"/>
      <c r="G5" s="112"/>
      <c r="H5" s="112"/>
      <c r="I5" s="69"/>
    </row>
    <row r="6" spans="1:9" x14ac:dyDescent="0.25">
      <c r="A6" s="128"/>
      <c r="B6" s="108" t="s">
        <v>299</v>
      </c>
      <c r="C6" s="331"/>
      <c r="D6" s="308" t="s">
        <v>146</v>
      </c>
      <c r="E6" s="308"/>
      <c r="F6" s="108" t="s">
        <v>180</v>
      </c>
      <c r="G6" s="112"/>
      <c r="H6" s="112"/>
      <c r="I6" s="69"/>
    </row>
    <row r="7" spans="1:9" x14ac:dyDescent="0.25">
      <c r="A7" s="128"/>
      <c r="B7" s="109" t="str">
        <f>+'S1 VEC Master Summary'!C5</f>
        <v>7/1/23-6/30/24</v>
      </c>
      <c r="C7" s="263"/>
      <c r="D7" s="264" t="s">
        <v>147</v>
      </c>
      <c r="E7" s="264"/>
      <c r="F7" s="109">
        <f>+'S1 VEC Master Summary'!E5</f>
        <v>2025</v>
      </c>
      <c r="G7" s="112"/>
      <c r="H7" s="141" t="s">
        <v>54</v>
      </c>
      <c r="I7" s="69"/>
    </row>
    <row r="8" spans="1:9" x14ac:dyDescent="0.25">
      <c r="A8" s="128"/>
      <c r="B8" s="109"/>
      <c r="C8" s="263"/>
      <c r="D8" s="264"/>
      <c r="E8" s="264"/>
      <c r="F8" s="109"/>
      <c r="G8" s="112"/>
      <c r="H8" s="160"/>
      <c r="I8" s="69"/>
    </row>
    <row r="9" spans="1:9" x14ac:dyDescent="0.25">
      <c r="A9" s="128" t="s">
        <v>1164</v>
      </c>
      <c r="B9" s="199">
        <v>1691137</v>
      </c>
      <c r="C9" s="121"/>
      <c r="D9" s="199">
        <f>+F9-B9</f>
        <v>226398</v>
      </c>
      <c r="E9" s="129"/>
      <c r="F9" s="199">
        <f>1917536-1</f>
        <v>1917535</v>
      </c>
      <c r="H9" s="160" t="s">
        <v>1153</v>
      </c>
      <c r="I9" s="69"/>
    </row>
    <row r="10" spans="1:9" ht="17.25" customHeight="1" x14ac:dyDescent="0.25">
      <c r="A10" s="160"/>
      <c r="B10" s="277"/>
      <c r="C10" s="277"/>
      <c r="D10" s="277"/>
      <c r="E10" s="277"/>
      <c r="F10" s="277"/>
      <c r="G10" s="160"/>
      <c r="H10" s="160"/>
      <c r="I10" s="69"/>
    </row>
    <row r="11" spans="1:9" x14ac:dyDescent="0.25">
      <c r="A11" s="160"/>
      <c r="B11" s="447" t="s">
        <v>1163</v>
      </c>
      <c r="C11" s="448"/>
      <c r="D11" s="209"/>
      <c r="E11" s="140"/>
      <c r="F11" s="140"/>
      <c r="G11" s="140"/>
      <c r="H11" s="160"/>
      <c r="I11" s="69"/>
    </row>
    <row r="12" spans="1:9" x14ac:dyDescent="0.25">
      <c r="A12" s="160"/>
      <c r="B12" s="447"/>
      <c r="C12" s="448"/>
      <c r="D12" s="209"/>
      <c r="E12" s="140"/>
      <c r="F12" s="140"/>
      <c r="G12" s="140"/>
      <c r="H12" s="160"/>
      <c r="I12" s="69"/>
    </row>
    <row r="13" spans="1:9" x14ac:dyDescent="0.25">
      <c r="A13" s="308"/>
      <c r="B13" s="108" t="s">
        <v>299</v>
      </c>
      <c r="C13" s="331"/>
      <c r="D13" s="308" t="s">
        <v>146</v>
      </c>
      <c r="E13" s="308"/>
      <c r="F13" s="108" t="s">
        <v>180</v>
      </c>
      <c r="G13" s="140"/>
      <c r="H13" s="160"/>
      <c r="I13" s="69"/>
    </row>
    <row r="14" spans="1:9" x14ac:dyDescent="0.25">
      <c r="A14" s="264" t="s">
        <v>317</v>
      </c>
      <c r="B14" s="109" t="str">
        <f>+B7</f>
        <v>7/1/23-6/30/24</v>
      </c>
      <c r="C14" s="263"/>
      <c r="D14" s="264" t="s">
        <v>147</v>
      </c>
      <c r="E14" s="264"/>
      <c r="F14" s="109">
        <f>+F7</f>
        <v>2025</v>
      </c>
      <c r="G14" s="140"/>
      <c r="H14" s="160"/>
      <c r="I14" s="69"/>
    </row>
    <row r="15" spans="1:9" x14ac:dyDescent="0.25">
      <c r="A15" s="216"/>
      <c r="B15" s="199"/>
      <c r="C15" s="92"/>
      <c r="D15" s="199"/>
      <c r="E15" s="93"/>
      <c r="F15" s="199"/>
      <c r="G15" s="140"/>
      <c r="H15" s="160"/>
      <c r="I15" s="69"/>
    </row>
    <row r="16" spans="1:9" ht="15" x14ac:dyDescent="0.4">
      <c r="A16" s="59" t="s">
        <v>1116</v>
      </c>
      <c r="B16" s="348">
        <v>853848</v>
      </c>
      <c r="C16" s="349"/>
      <c r="D16" s="348">
        <f>+F16-B16</f>
        <v>120878</v>
      </c>
      <c r="E16" s="350"/>
      <c r="F16" s="348">
        <v>974726</v>
      </c>
      <c r="G16" s="140"/>
      <c r="H16" s="160"/>
      <c r="I16" s="69"/>
    </row>
    <row r="17" spans="1:9" x14ac:dyDescent="0.25">
      <c r="A17" s="216"/>
      <c r="B17" s="199">
        <f>SUM(B16:B16)</f>
        <v>853848</v>
      </c>
      <c r="C17" s="92"/>
      <c r="D17" s="199">
        <f>SUM(D16:D16)</f>
        <v>120878</v>
      </c>
      <c r="E17" s="93"/>
      <c r="F17" s="199">
        <f>SUM(F16:F16)</f>
        <v>974726</v>
      </c>
      <c r="G17" s="131"/>
      <c r="H17" s="160"/>
      <c r="I17" s="69"/>
    </row>
    <row r="18" spans="1:9" ht="12" customHeight="1" x14ac:dyDescent="0.25">
      <c r="A18" s="216"/>
      <c r="B18" s="199"/>
      <c r="C18" s="92"/>
      <c r="D18" s="199"/>
      <c r="E18" s="93"/>
      <c r="F18" s="199"/>
      <c r="G18" s="131"/>
      <c r="H18" s="236"/>
      <c r="I18" s="69"/>
    </row>
    <row r="19" spans="1:9" x14ac:dyDescent="0.25">
      <c r="A19" s="59" t="s">
        <v>316</v>
      </c>
      <c r="B19" s="346">
        <v>9817</v>
      </c>
      <c r="C19" s="140"/>
      <c r="D19" s="346">
        <f t="shared" ref="D19:D24" si="0">+F19-B19</f>
        <v>1599</v>
      </c>
      <c r="E19" s="158"/>
      <c r="F19" s="346">
        <v>11416</v>
      </c>
      <c r="G19" s="131"/>
      <c r="H19" s="352" t="s">
        <v>212</v>
      </c>
      <c r="I19" s="69"/>
    </row>
    <row r="20" spans="1:9" x14ac:dyDescent="0.25">
      <c r="A20" s="59" t="s">
        <v>58</v>
      </c>
      <c r="B20" s="346">
        <v>149148</v>
      </c>
      <c r="C20" s="140"/>
      <c r="D20" s="346">
        <f t="shared" si="0"/>
        <v>20333</v>
      </c>
      <c r="E20" s="158"/>
      <c r="F20" s="346">
        <v>169481</v>
      </c>
      <c r="G20" s="131"/>
      <c r="H20" s="352" t="s">
        <v>213</v>
      </c>
      <c r="I20" s="69"/>
    </row>
    <row r="21" spans="1:9" x14ac:dyDescent="0.25">
      <c r="A21" s="59" t="s">
        <v>59</v>
      </c>
      <c r="B21" s="346">
        <v>631828</v>
      </c>
      <c r="C21" s="140"/>
      <c r="D21" s="346">
        <f t="shared" si="0"/>
        <v>77690</v>
      </c>
      <c r="E21" s="140"/>
      <c r="F21" s="346">
        <v>709518</v>
      </c>
      <c r="G21" s="131"/>
      <c r="H21" s="352" t="s">
        <v>213</v>
      </c>
      <c r="I21" s="69"/>
    </row>
    <row r="22" spans="1:9" x14ac:dyDescent="0.25">
      <c r="A22" s="59" t="s">
        <v>60</v>
      </c>
      <c r="B22" s="346">
        <v>23954</v>
      </c>
      <c r="C22" s="158"/>
      <c r="D22" s="346">
        <f t="shared" si="0"/>
        <v>3167</v>
      </c>
      <c r="E22" s="158"/>
      <c r="F22" s="346">
        <v>27121</v>
      </c>
      <c r="G22" s="131"/>
      <c r="H22" s="352" t="s">
        <v>214</v>
      </c>
      <c r="I22" s="69"/>
    </row>
    <row r="23" spans="1:9" x14ac:dyDescent="0.25">
      <c r="A23" s="59" t="s">
        <v>281</v>
      </c>
      <c r="B23" s="346">
        <v>8893</v>
      </c>
      <c r="C23" s="349"/>
      <c r="D23" s="346">
        <f t="shared" si="0"/>
        <v>1177</v>
      </c>
      <c r="E23" s="350"/>
      <c r="F23" s="346">
        <v>10070</v>
      </c>
      <c r="G23" s="131"/>
      <c r="H23" s="352" t="s">
        <v>215</v>
      </c>
      <c r="I23" s="69"/>
    </row>
    <row r="24" spans="1:9" ht="15" x14ac:dyDescent="0.4">
      <c r="A24" s="59" t="s">
        <v>140</v>
      </c>
      <c r="B24" s="348">
        <v>13649</v>
      </c>
      <c r="C24" s="349"/>
      <c r="D24" s="348">
        <f t="shared" si="0"/>
        <v>1554</v>
      </c>
      <c r="E24" s="350"/>
      <c r="F24" s="348">
        <v>15203</v>
      </c>
      <c r="G24" s="131"/>
      <c r="H24" s="352"/>
      <c r="I24" s="69"/>
    </row>
    <row r="25" spans="1:9" x14ac:dyDescent="0.25">
      <c r="A25" s="216" t="s">
        <v>301</v>
      </c>
      <c r="B25" s="199">
        <f>SUM(B19:B24)</f>
        <v>837289</v>
      </c>
      <c r="C25" s="92"/>
      <c r="D25" s="199">
        <f>+F25-B25</f>
        <v>105520</v>
      </c>
      <c r="E25" s="93"/>
      <c r="F25" s="199">
        <f>SUM(F19:F24)</f>
        <v>942809</v>
      </c>
      <c r="G25" s="131"/>
      <c r="H25" s="160"/>
      <c r="I25" s="69"/>
    </row>
    <row r="26" spans="1:9" x14ac:dyDescent="0.25">
      <c r="A26" s="216"/>
      <c r="B26" s="199"/>
      <c r="C26" s="92"/>
      <c r="D26" s="199"/>
      <c r="E26" s="93"/>
      <c r="F26" s="199"/>
      <c r="G26" s="131"/>
      <c r="H26" s="160"/>
      <c r="I26" s="69"/>
    </row>
    <row r="27" spans="1:9" x14ac:dyDescent="0.25">
      <c r="A27" s="129" t="s">
        <v>1117</v>
      </c>
      <c r="B27" s="277">
        <f>+B17+B25</f>
        <v>1691137</v>
      </c>
      <c r="C27" s="121"/>
      <c r="D27" s="333">
        <f>+F27-B27</f>
        <v>226398</v>
      </c>
      <c r="E27" s="129"/>
      <c r="F27" s="333">
        <f>+F17+F25</f>
        <v>1917535</v>
      </c>
      <c r="G27" s="345"/>
      <c r="H27" s="160"/>
      <c r="I27" s="69"/>
    </row>
    <row r="28" spans="1:9" x14ac:dyDescent="0.25">
      <c r="A28" s="128"/>
      <c r="B28" s="346"/>
      <c r="C28" s="121"/>
      <c r="D28" s="121"/>
      <c r="E28" s="121"/>
      <c r="F28" s="121"/>
      <c r="G28" s="140"/>
      <c r="H28" s="160"/>
      <c r="I28" s="69"/>
    </row>
    <row r="29" spans="1:9" x14ac:dyDescent="0.25">
      <c r="A29" s="128"/>
      <c r="B29" s="346"/>
      <c r="C29" s="121"/>
      <c r="D29" s="121"/>
      <c r="E29" s="121"/>
      <c r="F29" s="121"/>
      <c r="G29" s="140"/>
      <c r="H29" s="160"/>
      <c r="I29" s="69"/>
    </row>
    <row r="30" spans="1:9" x14ac:dyDescent="0.25">
      <c r="A30" s="342" t="s">
        <v>1269</v>
      </c>
      <c r="B30" s="522"/>
      <c r="C30" s="121"/>
      <c r="D30" s="121"/>
      <c r="E30" s="121"/>
      <c r="F30" s="121"/>
      <c r="G30" s="140"/>
      <c r="H30" s="160"/>
      <c r="I30" s="69"/>
    </row>
    <row r="31" spans="1:9" x14ac:dyDescent="0.25">
      <c r="A31" s="353" t="s">
        <v>1290</v>
      </c>
      <c r="B31" s="353"/>
      <c r="C31" s="353"/>
      <c r="D31" s="354"/>
      <c r="E31" s="354"/>
      <c r="F31" s="354"/>
      <c r="G31" s="354"/>
      <c r="H31" s="160"/>
      <c r="I31" s="69"/>
    </row>
    <row r="32" spans="1:9" ht="42.6" customHeight="1" x14ac:dyDescent="0.25">
      <c r="A32" s="69"/>
      <c r="B32" s="69"/>
      <c r="C32" s="69"/>
      <c r="D32" s="69"/>
      <c r="E32" s="69"/>
      <c r="F32" s="69"/>
      <c r="G32" s="69"/>
      <c r="H32" s="69"/>
      <c r="I32" s="69"/>
    </row>
  </sheetData>
  <pageMargins left="0.7" right="0.7" top="0.75" bottom="0.75" header="0.3" footer="0.3"/>
  <pageSetup scale="78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O97"/>
  <sheetViews>
    <sheetView showGridLines="0" zoomScale="90" zoomScaleNormal="90" workbookViewId="0"/>
  </sheetViews>
  <sheetFormatPr defaultColWidth="8" defaultRowHeight="13.2" x14ac:dyDescent="0.25"/>
  <cols>
    <col min="1" max="1" width="14.08984375" style="5" customWidth="1"/>
    <col min="2" max="2" width="31.08984375" style="5" customWidth="1"/>
    <col min="3" max="3" width="15" style="5" customWidth="1"/>
    <col min="4" max="4" width="14.36328125" style="5" customWidth="1"/>
    <col min="5" max="5" width="11.54296875" style="5" customWidth="1"/>
    <col min="6" max="6" width="11.08984375" style="5" customWidth="1"/>
    <col min="7" max="7" width="12" style="5" customWidth="1"/>
    <col min="8" max="8" width="20.6328125" style="5" customWidth="1"/>
    <col min="9" max="9" width="8" style="5"/>
    <col min="10" max="16384" width="8" style="53"/>
  </cols>
  <sheetData>
    <row r="1" spans="1:11" x14ac:dyDescent="0.25">
      <c r="A1" s="66" t="s">
        <v>882</v>
      </c>
      <c r="B1" s="52"/>
      <c r="C1" s="52"/>
      <c r="D1" s="52"/>
      <c r="E1" s="52"/>
      <c r="F1" s="52"/>
      <c r="G1" s="52"/>
      <c r="H1" s="52"/>
    </row>
    <row r="2" spans="1:11" x14ac:dyDescent="0.25">
      <c r="A2" s="324" t="s">
        <v>282</v>
      </c>
      <c r="B2" s="52"/>
      <c r="C2" s="52"/>
      <c r="D2" s="52"/>
      <c r="E2" s="52"/>
      <c r="F2" s="52"/>
      <c r="G2" s="52"/>
      <c r="H2" s="53"/>
    </row>
    <row r="3" spans="1:11" x14ac:dyDescent="0.25">
      <c r="A3" s="66" t="s">
        <v>922</v>
      </c>
      <c r="B3" s="51"/>
      <c r="C3" s="52"/>
      <c r="D3" s="52"/>
      <c r="E3" s="52"/>
      <c r="F3" s="52"/>
      <c r="G3" s="52"/>
      <c r="H3" s="52"/>
    </row>
    <row r="4" spans="1:11" x14ac:dyDescent="0.25">
      <c r="A4" s="52"/>
      <c r="B4" s="52"/>
      <c r="C4" s="59"/>
      <c r="D4" s="52"/>
      <c r="E4" s="52"/>
      <c r="F4" s="52"/>
      <c r="G4" s="52"/>
      <c r="H4" s="52"/>
    </row>
    <row r="5" spans="1:11" x14ac:dyDescent="0.25">
      <c r="A5" s="204" t="s">
        <v>173</v>
      </c>
      <c r="B5" s="53"/>
      <c r="C5" s="53"/>
      <c r="D5" s="165"/>
      <c r="E5" s="53"/>
      <c r="F5" s="53"/>
      <c r="G5" s="53"/>
      <c r="H5" s="53"/>
    </row>
    <row r="6" spans="1:11" x14ac:dyDescent="0.25">
      <c r="A6" s="54"/>
      <c r="B6" s="53"/>
      <c r="C6" s="53"/>
      <c r="D6" s="165"/>
      <c r="E6" s="53"/>
      <c r="F6" s="53"/>
      <c r="G6" s="53"/>
      <c r="H6" s="53"/>
    </row>
    <row r="7" spans="1:11" x14ac:dyDescent="0.25">
      <c r="A7" s="203" t="s">
        <v>842</v>
      </c>
      <c r="B7" s="53"/>
      <c r="C7" s="53"/>
      <c r="D7" s="165"/>
      <c r="E7" s="53"/>
      <c r="F7" s="53"/>
      <c r="G7" s="53"/>
      <c r="H7" s="53"/>
    </row>
    <row r="8" spans="1:11" x14ac:dyDescent="0.25">
      <c r="A8" s="203" t="s">
        <v>1004</v>
      </c>
      <c r="B8" s="53"/>
      <c r="C8" s="53"/>
      <c r="D8" s="165"/>
      <c r="E8" s="53"/>
      <c r="F8" s="53"/>
      <c r="G8" s="53"/>
      <c r="H8" s="53"/>
    </row>
    <row r="9" spans="1:11" x14ac:dyDescent="0.25">
      <c r="A9" s="203"/>
      <c r="B9" s="53"/>
      <c r="C9" s="516"/>
      <c r="D9" s="165"/>
      <c r="E9" s="53"/>
      <c r="F9" s="53"/>
      <c r="G9" s="53"/>
      <c r="H9" s="53"/>
    </row>
    <row r="10" spans="1:11" x14ac:dyDescent="0.25">
      <c r="A10" s="54"/>
      <c r="B10" s="52"/>
      <c r="C10" s="108" t="s">
        <v>299</v>
      </c>
      <c r="D10" s="108" t="s">
        <v>146</v>
      </c>
      <c r="E10" s="108" t="str">
        <f>+'S1 VEC Master Summary'!E4</f>
        <v>ADJ Test Year</v>
      </c>
      <c r="F10" s="53"/>
      <c r="G10" s="53"/>
      <c r="H10" s="53"/>
    </row>
    <row r="11" spans="1:11" x14ac:dyDescent="0.25">
      <c r="A11" s="54"/>
      <c r="B11" s="107" t="s">
        <v>229</v>
      </c>
      <c r="C11" s="109" t="str">
        <f>+'S1 VEC Master Summary'!C5</f>
        <v>7/1/23-6/30/24</v>
      </c>
      <c r="D11" s="109" t="s">
        <v>147</v>
      </c>
      <c r="E11" s="109">
        <f>+'S1 VEC Master Summary'!E5</f>
        <v>2025</v>
      </c>
      <c r="F11" s="141" t="s">
        <v>54</v>
      </c>
      <c r="G11" s="53"/>
      <c r="H11" s="53"/>
    </row>
    <row r="12" spans="1:11" ht="13.8" thickBot="1" x14ac:dyDescent="0.3">
      <c r="A12" s="54"/>
      <c r="B12" s="53" t="s">
        <v>229</v>
      </c>
      <c r="C12" s="85">
        <f>+SUM('S12 Chart of Accts Trial Bal.'!C187:C194)</f>
        <v>6606656.6699999999</v>
      </c>
      <c r="D12" s="224">
        <f>+E12-C12</f>
        <v>228848.33000000007</v>
      </c>
      <c r="E12" s="85">
        <v>6835505</v>
      </c>
      <c r="F12" s="67" t="s">
        <v>843</v>
      </c>
      <c r="G12" s="53"/>
      <c r="H12" s="53"/>
    </row>
    <row r="13" spans="1:11" ht="13.8" thickTop="1" x14ac:dyDescent="0.25">
      <c r="A13" s="54"/>
      <c r="B13" s="53"/>
      <c r="C13" s="85"/>
      <c r="D13" s="85"/>
      <c r="E13" s="85"/>
      <c r="F13" s="53"/>
      <c r="G13" s="53"/>
      <c r="H13" s="53"/>
      <c r="K13" s="85"/>
    </row>
    <row r="14" spans="1:11" x14ac:dyDescent="0.25">
      <c r="A14" s="54"/>
      <c r="B14" s="53"/>
      <c r="C14" s="85"/>
      <c r="D14" s="85"/>
      <c r="E14" s="85"/>
      <c r="F14" s="53"/>
      <c r="G14" s="53"/>
      <c r="H14" s="53"/>
    </row>
    <row r="15" spans="1:11" x14ac:dyDescent="0.25">
      <c r="A15" s="128" t="s">
        <v>1245</v>
      </c>
      <c r="B15" s="52"/>
      <c r="C15" s="53"/>
      <c r="D15" s="258"/>
      <c r="E15" s="258" t="s">
        <v>174</v>
      </c>
      <c r="F15" s="141" t="s">
        <v>54</v>
      </c>
      <c r="G15" s="53"/>
      <c r="H15" s="53"/>
    </row>
    <row r="16" spans="1:11" x14ac:dyDescent="0.25">
      <c r="A16" s="160" t="s">
        <v>1250</v>
      </c>
      <c r="B16" s="52"/>
      <c r="C16" s="52"/>
      <c r="D16" s="58"/>
      <c r="E16" s="449">
        <f>7033809-575864</f>
        <v>6457945</v>
      </c>
      <c r="F16" s="67" t="s">
        <v>841</v>
      </c>
      <c r="G16" s="53"/>
      <c r="H16" s="53"/>
    </row>
    <row r="17" spans="1:8" x14ac:dyDescent="0.25">
      <c r="A17" s="228"/>
      <c r="B17" s="52"/>
      <c r="C17" s="58"/>
      <c r="D17" s="58"/>
      <c r="E17" s="58"/>
      <c r="F17" s="85"/>
      <c r="G17" s="85"/>
      <c r="H17" s="53"/>
    </row>
    <row r="18" spans="1:8" x14ac:dyDescent="0.25">
      <c r="A18" s="160"/>
      <c r="B18" s="52"/>
      <c r="C18" s="58"/>
      <c r="D18" s="58"/>
      <c r="E18" s="58"/>
      <c r="F18" s="85"/>
      <c r="G18" s="85"/>
      <c r="H18" s="53"/>
    </row>
    <row r="19" spans="1:8" x14ac:dyDescent="0.25">
      <c r="A19" s="128" t="s">
        <v>1246</v>
      </c>
      <c r="B19" s="52"/>
      <c r="C19" s="52"/>
      <c r="D19" s="228"/>
      <c r="E19" s="228"/>
      <c r="F19" s="141" t="s">
        <v>54</v>
      </c>
      <c r="G19" s="53"/>
      <c r="H19" s="53"/>
    </row>
    <row r="20" spans="1:8" x14ac:dyDescent="0.25">
      <c r="A20" s="160" t="s">
        <v>856</v>
      </c>
      <c r="B20" s="52"/>
      <c r="C20" s="57"/>
      <c r="D20" s="271"/>
      <c r="E20" s="271"/>
      <c r="F20" s="53"/>
      <c r="G20" s="53"/>
      <c r="H20" s="53"/>
    </row>
    <row r="21" spans="1:8" x14ac:dyDescent="0.25">
      <c r="A21" s="160"/>
      <c r="B21" s="52"/>
      <c r="C21" s="57"/>
      <c r="D21" s="271"/>
      <c r="E21" s="271"/>
      <c r="F21" s="209" t="s">
        <v>849</v>
      </c>
      <c r="G21" s="209"/>
      <c r="H21" s="209"/>
    </row>
    <row r="22" spans="1:8" x14ac:dyDescent="0.25">
      <c r="A22" s="272" t="s">
        <v>844</v>
      </c>
      <c r="B22" s="94" t="s">
        <v>226</v>
      </c>
      <c r="C22" s="258" t="s">
        <v>227</v>
      </c>
      <c r="D22" s="258" t="s">
        <v>855</v>
      </c>
      <c r="E22" s="258" t="s">
        <v>773</v>
      </c>
      <c r="F22" s="67" t="s">
        <v>850</v>
      </c>
      <c r="G22" s="520">
        <v>0.247</v>
      </c>
      <c r="H22" s="67"/>
    </row>
    <row r="23" spans="1:8" x14ac:dyDescent="0.25">
      <c r="A23" s="160" t="s">
        <v>845</v>
      </c>
      <c r="B23" s="234">
        <v>5845821</v>
      </c>
      <c r="C23" s="207">
        <f>-B23*G22</f>
        <v>-1443917.787</v>
      </c>
      <c r="D23" s="207">
        <f>+B23+C23</f>
        <v>4401903.2129999995</v>
      </c>
      <c r="E23" s="230">
        <f>+D23*G27</f>
        <v>136458.99960299997</v>
      </c>
      <c r="F23" s="67" t="s">
        <v>851</v>
      </c>
      <c r="G23" s="520">
        <v>0.28299999999999997</v>
      </c>
      <c r="H23" s="67"/>
    </row>
    <row r="24" spans="1:8" x14ac:dyDescent="0.25">
      <c r="A24" s="160" t="s">
        <v>258</v>
      </c>
      <c r="B24" s="234">
        <v>205146</v>
      </c>
      <c r="C24" s="207">
        <f>-B24*G23</f>
        <v>-58056.317999999992</v>
      </c>
      <c r="D24" s="231">
        <f>+B24+C24</f>
        <v>147089.682</v>
      </c>
      <c r="E24" s="211">
        <f>+D24*G28</f>
        <v>3765.4958592000003</v>
      </c>
      <c r="F24" s="67" t="s">
        <v>852</v>
      </c>
      <c r="G24" s="520">
        <v>0</v>
      </c>
      <c r="H24" s="67"/>
    </row>
    <row r="25" spans="1:8" x14ac:dyDescent="0.25">
      <c r="A25" s="160" t="s">
        <v>846</v>
      </c>
      <c r="B25" s="234">
        <v>21075</v>
      </c>
      <c r="C25" s="207">
        <f>-B25*G24</f>
        <v>0</v>
      </c>
      <c r="D25" s="207">
        <f>+B25+C25</f>
        <v>21075</v>
      </c>
      <c r="E25" s="211">
        <f>+D25*G29</f>
        <v>790.3125</v>
      </c>
      <c r="F25" s="53"/>
      <c r="G25" s="267"/>
      <c r="H25" s="53"/>
    </row>
    <row r="26" spans="1:8" x14ac:dyDescent="0.25">
      <c r="A26" s="160" t="s">
        <v>847</v>
      </c>
      <c r="B26" s="254">
        <v>30843</v>
      </c>
      <c r="C26" s="94">
        <v>0</v>
      </c>
      <c r="D26" s="205">
        <f>+B26+C26</f>
        <v>30843</v>
      </c>
      <c r="E26" s="210">
        <f>+D26*G30</f>
        <v>6168.6</v>
      </c>
      <c r="F26" s="272" t="s">
        <v>854</v>
      </c>
      <c r="G26" s="209"/>
      <c r="H26" s="209"/>
    </row>
    <row r="27" spans="1:8" x14ac:dyDescent="0.25">
      <c r="A27" s="160" t="s">
        <v>848</v>
      </c>
      <c r="B27" s="208">
        <f>SUM(B23:B26)</f>
        <v>6102885</v>
      </c>
      <c r="C27" s="208">
        <f>SUM(C23:C26)</f>
        <v>-1501974.105</v>
      </c>
      <c r="D27" s="273">
        <f>SUM(D23:D26)</f>
        <v>4600910.8949999996</v>
      </c>
      <c r="E27" s="273">
        <f>SUM(E23:E26)</f>
        <v>147183.40796219997</v>
      </c>
      <c r="F27" s="160" t="s">
        <v>850</v>
      </c>
      <c r="G27" s="520">
        <v>3.1E-2</v>
      </c>
      <c r="H27" s="53"/>
    </row>
    <row r="28" spans="1:8" x14ac:dyDescent="0.25">
      <c r="A28" s="160"/>
      <c r="B28" s="208"/>
      <c r="C28" s="52"/>
      <c r="D28" s="53"/>
      <c r="E28" s="147"/>
      <c r="F28" s="160" t="s">
        <v>851</v>
      </c>
      <c r="G28" s="520">
        <v>2.5600000000000001E-2</v>
      </c>
      <c r="H28" s="53"/>
    </row>
    <row r="29" spans="1:8" x14ac:dyDescent="0.25">
      <c r="A29" s="160"/>
      <c r="B29" s="208"/>
      <c r="C29" s="52"/>
      <c r="D29" s="53"/>
      <c r="E29" s="147"/>
      <c r="F29" s="160" t="s">
        <v>852</v>
      </c>
      <c r="G29" s="520">
        <v>3.7499999999999999E-2</v>
      </c>
      <c r="H29" s="53"/>
    </row>
    <row r="30" spans="1:8" x14ac:dyDescent="0.25">
      <c r="A30" s="160"/>
      <c r="B30" s="208"/>
      <c r="C30" s="52"/>
      <c r="D30" s="53"/>
      <c r="E30" s="147"/>
      <c r="F30" s="160" t="s">
        <v>853</v>
      </c>
      <c r="G30" s="520">
        <v>0.2</v>
      </c>
      <c r="H30" s="53"/>
    </row>
    <row r="31" spans="1:8" ht="15" x14ac:dyDescent="0.25">
      <c r="A31" s="160"/>
      <c r="B31" s="208"/>
      <c r="C31" s="52"/>
      <c r="D31" s="53"/>
      <c r="E31" s="147"/>
      <c r="F31" s="160"/>
      <c r="G31" s="229"/>
      <c r="H31" s="53"/>
    </row>
    <row r="32" spans="1:8" x14ac:dyDescent="0.25">
      <c r="A32" s="160" t="s">
        <v>1247</v>
      </c>
      <c r="B32" s="146"/>
      <c r="C32" s="146"/>
      <c r="D32" s="146"/>
      <c r="E32" s="449">
        <f>SUM(E23:E26)+8</f>
        <v>147191.40796219997</v>
      </c>
      <c r="F32" s="53" t="s">
        <v>228</v>
      </c>
      <c r="G32" s="53"/>
      <c r="H32" s="53"/>
    </row>
    <row r="33" spans="1:8" x14ac:dyDescent="0.25">
      <c r="A33" s="228"/>
      <c r="B33" s="146"/>
      <c r="C33" s="146"/>
      <c r="D33" s="146"/>
      <c r="E33" s="146"/>
      <c r="F33" s="53"/>
      <c r="G33" s="53"/>
      <c r="H33" s="53"/>
    </row>
    <row r="34" spans="1:8" x14ac:dyDescent="0.25">
      <c r="A34" s="128" t="s">
        <v>1249</v>
      </c>
      <c r="B34" s="146"/>
      <c r="C34" s="146"/>
      <c r="D34" s="146"/>
      <c r="E34" s="146"/>
      <c r="F34" s="53"/>
      <c r="G34" s="53"/>
      <c r="H34" s="53"/>
    </row>
    <row r="35" spans="1:8" x14ac:dyDescent="0.25">
      <c r="A35" s="160" t="s">
        <v>858</v>
      </c>
      <c r="B35" s="53"/>
      <c r="C35" s="53"/>
      <c r="D35" s="53"/>
      <c r="E35" s="228"/>
      <c r="F35" s="53"/>
      <c r="G35" s="67"/>
      <c r="H35" s="53"/>
    </row>
    <row r="36" spans="1:8" x14ac:dyDescent="0.25">
      <c r="A36" s="160"/>
      <c r="B36" s="53"/>
      <c r="C36" s="53"/>
      <c r="D36" s="53"/>
      <c r="E36" s="228"/>
      <c r="F36" s="53"/>
      <c r="G36" s="165"/>
      <c r="H36" s="165"/>
    </row>
    <row r="37" spans="1:8" x14ac:dyDescent="0.25">
      <c r="A37" s="272" t="s">
        <v>857</v>
      </c>
      <c r="B37" s="94" t="s">
        <v>226</v>
      </c>
      <c r="C37" s="258" t="s">
        <v>227</v>
      </c>
      <c r="D37" s="258" t="s">
        <v>855</v>
      </c>
      <c r="E37" s="258" t="s">
        <v>773</v>
      </c>
      <c r="F37" s="53"/>
      <c r="G37" s="165"/>
      <c r="H37" s="165"/>
    </row>
    <row r="38" spans="1:8" x14ac:dyDescent="0.25">
      <c r="A38" s="160" t="s">
        <v>845</v>
      </c>
      <c r="B38" s="207">
        <f>3144948-4576099</f>
        <v>-1431151</v>
      </c>
      <c r="C38" s="207">
        <f>-B38*G22</f>
        <v>353494.29700000002</v>
      </c>
      <c r="D38" s="207">
        <f>+B38+C38</f>
        <v>-1077656.703</v>
      </c>
      <c r="E38" s="274">
        <f>+D38*G27</f>
        <v>-33407.357792999996</v>
      </c>
      <c r="F38" s="255" t="s">
        <v>1023</v>
      </c>
      <c r="G38" s="261"/>
      <c r="H38" s="230"/>
    </row>
    <row r="39" spans="1:8" x14ac:dyDescent="0.25">
      <c r="A39" s="160" t="s">
        <v>258</v>
      </c>
      <c r="B39" s="206">
        <v>0</v>
      </c>
      <c r="C39" s="207">
        <f>-B39*G23</f>
        <v>0</v>
      </c>
      <c r="D39" s="207">
        <f>+B39+C39</f>
        <v>0</v>
      </c>
      <c r="E39" s="230">
        <f>+D39*G28</f>
        <v>0</v>
      </c>
      <c r="F39" s="53"/>
      <c r="G39" s="261"/>
      <c r="H39" s="230"/>
    </row>
    <row r="40" spans="1:8" x14ac:dyDescent="0.25">
      <c r="A40" s="160" t="s">
        <v>846</v>
      </c>
      <c r="B40" s="206">
        <v>171778</v>
      </c>
      <c r="C40" s="207">
        <f>-B40*G24</f>
        <v>0</v>
      </c>
      <c r="D40" s="207">
        <f>+B40+C40</f>
        <v>171778</v>
      </c>
      <c r="E40" s="230">
        <f>+D40*G29</f>
        <v>6441.6750000000002</v>
      </c>
      <c r="F40" s="53"/>
      <c r="G40" s="261"/>
      <c r="H40" s="230"/>
    </row>
    <row r="41" spans="1:8" x14ac:dyDescent="0.25">
      <c r="A41" s="160" t="s">
        <v>847</v>
      </c>
      <c r="B41" s="210">
        <v>264575</v>
      </c>
      <c r="C41" s="94">
        <v>0</v>
      </c>
      <c r="D41" s="205">
        <f>+B41+C41</f>
        <v>264575</v>
      </c>
      <c r="E41" s="275">
        <f>+D41*G30</f>
        <v>52915</v>
      </c>
      <c r="F41" s="53"/>
      <c r="G41" s="261"/>
      <c r="H41" s="230"/>
    </row>
    <row r="42" spans="1:8" x14ac:dyDescent="0.25">
      <c r="A42" s="160" t="s">
        <v>859</v>
      </c>
      <c r="B42" s="208">
        <f>SUM(B38:B41)</f>
        <v>-994798</v>
      </c>
      <c r="C42" s="208">
        <f>SUM(C38:C41)</f>
        <v>353494.29700000002</v>
      </c>
      <c r="D42" s="273">
        <f>SUM(D38:D41)</f>
        <v>-641303.70299999998</v>
      </c>
      <c r="E42" s="273">
        <f>SUM(E38:E41)</f>
        <v>25949.317207000004</v>
      </c>
      <c r="F42" s="53"/>
      <c r="G42" s="261"/>
      <c r="H42" s="275"/>
    </row>
    <row r="43" spans="1:8" x14ac:dyDescent="0.25">
      <c r="A43" s="228"/>
      <c r="B43" s="52"/>
      <c r="C43" s="52"/>
      <c r="D43" s="53"/>
      <c r="E43" s="147"/>
      <c r="F43" s="53"/>
      <c r="G43" s="262"/>
      <c r="H43" s="166"/>
    </row>
    <row r="44" spans="1:8" x14ac:dyDescent="0.25">
      <c r="A44" s="160" t="s">
        <v>1251</v>
      </c>
      <c r="B44" s="146"/>
      <c r="C44" s="146"/>
      <c r="D44" s="146"/>
      <c r="E44" s="449">
        <f>+E42</f>
        <v>25949.317207000004</v>
      </c>
      <c r="F44" s="53" t="s">
        <v>228</v>
      </c>
      <c r="G44" s="53"/>
      <c r="H44" s="53"/>
    </row>
    <row r="45" spans="1:8" x14ac:dyDescent="0.25">
      <c r="A45" s="228"/>
      <c r="B45" s="52"/>
      <c r="C45" s="52"/>
      <c r="D45" s="58"/>
      <c r="E45" s="228"/>
      <c r="F45" s="53"/>
      <c r="G45" s="53"/>
      <c r="H45" s="53"/>
    </row>
    <row r="46" spans="1:8" x14ac:dyDescent="0.25">
      <c r="A46" s="128" t="s">
        <v>1248</v>
      </c>
      <c r="B46" s="52"/>
      <c r="C46" s="52"/>
      <c r="D46" s="53"/>
      <c r="E46" s="53"/>
      <c r="F46" s="53"/>
      <c r="G46" s="53"/>
      <c r="H46" s="53"/>
    </row>
    <row r="47" spans="1:8" x14ac:dyDescent="0.25">
      <c r="A47" s="160" t="s">
        <v>1011</v>
      </c>
      <c r="B47" s="52"/>
      <c r="C47" s="52"/>
      <c r="D47" s="53"/>
      <c r="E47" s="53"/>
      <c r="F47" s="53"/>
      <c r="G47" s="53"/>
      <c r="H47" s="53"/>
    </row>
    <row r="48" spans="1:8" x14ac:dyDescent="0.25">
      <c r="A48" s="160"/>
      <c r="B48" s="52"/>
      <c r="C48" s="52"/>
      <c r="D48" s="53"/>
      <c r="E48" s="53"/>
      <c r="F48" s="53"/>
      <c r="G48" s="53"/>
      <c r="H48" s="53"/>
    </row>
    <row r="49" spans="1:8" x14ac:dyDescent="0.25">
      <c r="A49" s="272" t="s">
        <v>857</v>
      </c>
      <c r="B49" s="94" t="s">
        <v>226</v>
      </c>
      <c r="C49" s="258" t="s">
        <v>227</v>
      </c>
      <c r="D49" s="258" t="s">
        <v>855</v>
      </c>
      <c r="E49" s="258" t="s">
        <v>773</v>
      </c>
      <c r="F49" s="53"/>
      <c r="G49" s="53"/>
      <c r="H49" s="53"/>
    </row>
    <row r="50" spans="1:8" x14ac:dyDescent="0.25">
      <c r="A50" s="160" t="s">
        <v>845</v>
      </c>
      <c r="B50" s="207">
        <v>5429975</v>
      </c>
      <c r="C50" s="207">
        <f>-B50*G22</f>
        <v>-1341203.825</v>
      </c>
      <c r="D50" s="207">
        <f>+B50+C50</f>
        <v>4088771.1749999998</v>
      </c>
      <c r="E50" s="230">
        <f>+(D50*G27)/2</f>
        <v>63375.953212499997</v>
      </c>
      <c r="F50" s="53"/>
      <c r="G50" s="53"/>
      <c r="H50" s="53"/>
    </row>
    <row r="51" spans="1:8" x14ac:dyDescent="0.25">
      <c r="A51" s="160" t="s">
        <v>258</v>
      </c>
      <c r="B51" s="206">
        <v>182800</v>
      </c>
      <c r="C51" s="207">
        <f>-B51*G23</f>
        <v>-51732.399999999994</v>
      </c>
      <c r="D51" s="207">
        <f>+B51+C51</f>
        <v>131067.6</v>
      </c>
      <c r="E51" s="230">
        <f>+(D51*G28)</f>
        <v>3355.3305600000003</v>
      </c>
      <c r="F51" s="53"/>
      <c r="G51" s="53"/>
      <c r="H51" s="53"/>
    </row>
    <row r="52" spans="1:8" x14ac:dyDescent="0.25">
      <c r="A52" s="160" t="s">
        <v>846</v>
      </c>
      <c r="B52" s="206">
        <v>165000</v>
      </c>
      <c r="C52" s="207">
        <f>-B52*G24</f>
        <v>0</v>
      </c>
      <c r="D52" s="207">
        <f>+B52+C52</f>
        <v>165000</v>
      </c>
      <c r="E52" s="230">
        <f>+(D52*G29)</f>
        <v>6187.5</v>
      </c>
      <c r="F52" s="53"/>
      <c r="G52" s="53"/>
      <c r="H52" s="53"/>
    </row>
    <row r="53" spans="1:8" x14ac:dyDescent="0.25">
      <c r="A53" s="160" t="s">
        <v>847</v>
      </c>
      <c r="B53" s="210">
        <v>220000</v>
      </c>
      <c r="C53" s="94">
        <v>0</v>
      </c>
      <c r="D53" s="205">
        <f>+B53+C53</f>
        <v>220000</v>
      </c>
      <c r="E53" s="275">
        <f>+(D53*G30)</f>
        <v>44000</v>
      </c>
      <c r="F53" s="53"/>
      <c r="G53" s="53"/>
      <c r="H53" s="53"/>
    </row>
    <row r="54" spans="1:8" x14ac:dyDescent="0.25">
      <c r="A54" s="160" t="s">
        <v>859</v>
      </c>
      <c r="B54" s="208">
        <f>SUM(B50:B53)</f>
        <v>5997775</v>
      </c>
      <c r="C54" s="208">
        <f>SUM(C50:C53)</f>
        <v>-1392936.2249999999</v>
      </c>
      <c r="D54" s="273">
        <f>SUM(D50:D53)</f>
        <v>4604838.7749999994</v>
      </c>
      <c r="E54" s="273">
        <f>SUM(E50:E53)</f>
        <v>116918.7837725</v>
      </c>
      <c r="F54" s="53"/>
      <c r="G54" s="53"/>
      <c r="H54" s="53"/>
    </row>
    <row r="55" spans="1:8" x14ac:dyDescent="0.25">
      <c r="A55" s="228"/>
      <c r="B55" s="52"/>
      <c r="C55" s="52"/>
      <c r="D55" s="53"/>
      <c r="E55" s="53"/>
      <c r="F55" s="53"/>
      <c r="G55" s="53"/>
      <c r="H55" s="53"/>
    </row>
    <row r="56" spans="1:8" x14ac:dyDescent="0.25">
      <c r="A56" s="160" t="s">
        <v>1252</v>
      </c>
      <c r="B56" s="52"/>
      <c r="C56" s="52"/>
      <c r="D56" s="53"/>
      <c r="E56" s="449">
        <f>+E54</f>
        <v>116918.7837725</v>
      </c>
      <c r="F56" s="53"/>
      <c r="G56" s="53"/>
      <c r="H56" s="53"/>
    </row>
    <row r="57" spans="1:8" x14ac:dyDescent="0.25">
      <c r="A57" s="160"/>
      <c r="B57" s="52"/>
      <c r="C57" s="52"/>
      <c r="D57" s="53"/>
      <c r="E57" s="232"/>
      <c r="F57" s="52"/>
      <c r="G57" s="52"/>
      <c r="H57" s="53"/>
    </row>
    <row r="58" spans="1:8" x14ac:dyDescent="0.25">
      <c r="A58" s="128" t="s">
        <v>916</v>
      </c>
      <c r="B58" s="52"/>
      <c r="C58" s="52"/>
      <c r="D58" s="53"/>
      <c r="E58" s="232"/>
      <c r="F58" s="53"/>
      <c r="G58" s="53"/>
      <c r="H58" s="53"/>
    </row>
    <row r="59" spans="1:8" x14ac:dyDescent="0.25">
      <c r="A59" s="160"/>
      <c r="B59" s="52"/>
      <c r="C59" s="52"/>
      <c r="D59" s="53"/>
      <c r="E59" s="232"/>
      <c r="F59" s="53"/>
      <c r="G59" s="53"/>
      <c r="H59" s="53"/>
    </row>
    <row r="60" spans="1:8" x14ac:dyDescent="0.25">
      <c r="A60" s="272" t="s">
        <v>857</v>
      </c>
      <c r="B60" s="94" t="s">
        <v>226</v>
      </c>
      <c r="C60" s="258" t="s">
        <v>227</v>
      </c>
      <c r="D60" s="258" t="s">
        <v>855</v>
      </c>
      <c r="E60" s="258" t="s">
        <v>773</v>
      </c>
      <c r="F60" s="53"/>
      <c r="G60" s="53"/>
      <c r="H60" s="53"/>
    </row>
    <row r="61" spans="1:8" x14ac:dyDescent="0.25">
      <c r="A61" s="160" t="s">
        <v>845</v>
      </c>
      <c r="B61" s="234">
        <v>1750000</v>
      </c>
      <c r="C61" s="57">
        <v>0</v>
      </c>
      <c r="D61" s="207">
        <f>+B61+C61</f>
        <v>1750000</v>
      </c>
      <c r="E61" s="233">
        <f>(D61/20)/(12)*12</f>
        <v>87500</v>
      </c>
      <c r="F61" s="53"/>
      <c r="G61" s="53"/>
      <c r="H61" s="53"/>
    </row>
    <row r="62" spans="1:8" x14ac:dyDescent="0.25">
      <c r="A62" s="228"/>
      <c r="B62" s="52"/>
      <c r="C62" s="52"/>
      <c r="D62" s="53"/>
      <c r="E62" s="52"/>
      <c r="F62" s="53"/>
      <c r="G62" s="52"/>
      <c r="H62" s="53"/>
    </row>
    <row r="63" spans="1:8" x14ac:dyDescent="0.25">
      <c r="A63" s="160" t="s">
        <v>1165</v>
      </c>
      <c r="B63" s="52"/>
      <c r="C63" s="52"/>
      <c r="D63" s="52"/>
      <c r="E63" s="449">
        <f>+E61</f>
        <v>87500</v>
      </c>
      <c r="F63" s="53"/>
      <c r="G63" s="52"/>
      <c r="H63" s="53"/>
    </row>
    <row r="64" spans="1:8" x14ac:dyDescent="0.25">
      <c r="A64" s="160"/>
      <c r="B64" s="52"/>
      <c r="C64" s="52"/>
      <c r="D64" s="53"/>
      <c r="E64" s="53"/>
      <c r="F64" s="53"/>
      <c r="G64" s="53"/>
      <c r="H64" s="53"/>
    </row>
    <row r="65" spans="1:15" x14ac:dyDescent="0.25">
      <c r="A65" s="228" t="s">
        <v>254</v>
      </c>
      <c r="B65" s="52"/>
      <c r="C65" s="52"/>
      <c r="D65" s="53"/>
      <c r="E65" s="449">
        <f>+E16+E32+E44+E56+E63</f>
        <v>6835504.5089417007</v>
      </c>
      <c r="F65" s="67" t="s">
        <v>917</v>
      </c>
      <c r="G65" s="53"/>
      <c r="H65" s="234"/>
    </row>
    <row r="66" spans="1:15" x14ac:dyDescent="0.25">
      <c r="A66" s="228"/>
      <c r="B66" s="52"/>
      <c r="C66" s="52"/>
      <c r="D66" s="53"/>
      <c r="E66" s="53"/>
      <c r="F66" s="53"/>
      <c r="G66" s="53"/>
      <c r="H66" s="234"/>
    </row>
    <row r="67" spans="1:15" x14ac:dyDescent="0.25">
      <c r="A67" s="54" t="s">
        <v>155</v>
      </c>
      <c r="B67" s="53"/>
      <c r="C67" s="53"/>
      <c r="D67" s="261"/>
      <c r="E67" s="53"/>
      <c r="F67" s="53"/>
      <c r="G67" s="53"/>
      <c r="H67" s="53"/>
    </row>
    <row r="68" spans="1:15" x14ac:dyDescent="0.25">
      <c r="A68" s="52"/>
      <c r="B68" s="52"/>
      <c r="C68" s="108" t="str">
        <f>+C10</f>
        <v>Test Year</v>
      </c>
      <c r="D68" s="108" t="s">
        <v>146</v>
      </c>
      <c r="E68" s="108" t="str">
        <f>+E10</f>
        <v>ADJ Test Year</v>
      </c>
      <c r="F68" s="53"/>
      <c r="G68" s="53"/>
      <c r="H68" s="53"/>
      <c r="I68" s="148"/>
    </row>
    <row r="69" spans="1:15" x14ac:dyDescent="0.25">
      <c r="A69" s="107" t="s">
        <v>72</v>
      </c>
      <c r="B69" s="106" t="s">
        <v>207</v>
      </c>
      <c r="C69" s="109" t="str">
        <f>+C11</f>
        <v>7/1/23-6/30/24</v>
      </c>
      <c r="D69" s="109" t="s">
        <v>147</v>
      </c>
      <c r="E69" s="109">
        <f>+E11</f>
        <v>2025</v>
      </c>
      <c r="F69" s="53"/>
      <c r="G69" s="53"/>
      <c r="H69" s="53"/>
      <c r="I69" s="148"/>
    </row>
    <row r="70" spans="1:15" ht="15.75" customHeight="1" x14ac:dyDescent="0.25">
      <c r="A70" s="276">
        <f>+'S12 Chart of Accts Trial Bal.'!A195</f>
        <v>428</v>
      </c>
      <c r="B70" s="276" t="str">
        <f>+'S12 Chart of Accts Trial Bal.'!B195</f>
        <v>AMORTIZATION OF DEFERRED CHARGES</v>
      </c>
      <c r="C70" s="97">
        <f>+'S12 Chart of Accts Trial Bal.'!C195</f>
        <v>-1.68</v>
      </c>
      <c r="D70" s="97">
        <f>+E70-C70</f>
        <v>1.68</v>
      </c>
      <c r="E70" s="97">
        <v>0</v>
      </c>
      <c r="F70" s="152" t="s">
        <v>54</v>
      </c>
      <c r="G70" s="53"/>
      <c r="H70" s="53"/>
      <c r="I70" s="148"/>
    </row>
    <row r="71" spans="1:15" ht="13.8" thickBot="1" x14ac:dyDescent="0.3">
      <c r="A71" s="276"/>
      <c r="B71" s="59" t="s">
        <v>702</v>
      </c>
      <c r="C71" s="79">
        <f>SUM(C70:C70)</f>
        <v>-1.68</v>
      </c>
      <c r="D71" s="224">
        <f>SUM(D70:D70)</f>
        <v>1.68</v>
      </c>
      <c r="E71" s="153">
        <f>SUM(E70:E70)</f>
        <v>0</v>
      </c>
      <c r="F71" s="268" t="s">
        <v>912</v>
      </c>
      <c r="G71" s="53"/>
      <c r="H71" s="53"/>
    </row>
    <row r="72" spans="1:15" ht="13.8" thickTop="1" x14ac:dyDescent="0.25">
      <c r="A72" s="53"/>
      <c r="B72" s="52"/>
      <c r="C72" s="54"/>
      <c r="D72" s="53"/>
      <c r="E72" s="53"/>
      <c r="F72" s="53"/>
      <c r="G72" s="53"/>
      <c r="H72" s="53"/>
      <c r="J72" s="321"/>
      <c r="K72" s="321"/>
      <c r="L72" s="321"/>
      <c r="M72" s="321"/>
      <c r="N72" s="321"/>
      <c r="O72" s="321"/>
    </row>
    <row r="73" spans="1:15" x14ac:dyDescent="0.25">
      <c r="A73" s="53"/>
      <c r="B73" s="53"/>
      <c r="C73" s="53"/>
      <c r="D73" s="53"/>
      <c r="E73" s="54"/>
      <c r="F73" s="145"/>
      <c r="G73" s="53"/>
      <c r="H73" s="53"/>
    </row>
    <row r="76" spans="1:15" x14ac:dyDescent="0.25">
      <c r="J76" s="321"/>
      <c r="K76" s="321"/>
      <c r="L76" s="321"/>
      <c r="M76" s="321"/>
      <c r="N76" s="321"/>
      <c r="O76" s="321"/>
    </row>
    <row r="77" spans="1:15" x14ac:dyDescent="0.25">
      <c r="J77" s="321"/>
      <c r="K77" s="321"/>
      <c r="L77" s="321"/>
      <c r="M77" s="321"/>
      <c r="N77" s="321"/>
      <c r="O77" s="321"/>
    </row>
    <row r="78" spans="1:15" x14ac:dyDescent="0.25">
      <c r="J78" s="321"/>
      <c r="K78" s="321"/>
      <c r="L78" s="321"/>
      <c r="M78" s="321"/>
      <c r="N78" s="321"/>
      <c r="O78" s="321"/>
    </row>
    <row r="79" spans="1:15" x14ac:dyDescent="0.25">
      <c r="J79" s="321"/>
      <c r="K79" s="321"/>
      <c r="L79" s="321"/>
      <c r="M79" s="321"/>
      <c r="N79" s="321"/>
      <c r="O79" s="321"/>
    </row>
    <row r="81" spans="2:15" x14ac:dyDescent="0.25">
      <c r="J81" s="321"/>
      <c r="K81" s="321"/>
      <c r="L81" s="321"/>
      <c r="M81" s="321"/>
      <c r="N81" s="321"/>
      <c r="O81" s="321"/>
    </row>
    <row r="82" spans="2:15" x14ac:dyDescent="0.25">
      <c r="J82" s="321"/>
      <c r="K82" s="321"/>
      <c r="L82" s="321"/>
      <c r="M82" s="321"/>
      <c r="N82" s="321"/>
      <c r="O82" s="321"/>
    </row>
    <row r="83" spans="2:15" x14ac:dyDescent="0.25">
      <c r="I83" s="149"/>
    </row>
    <row r="93" spans="2:15" x14ac:dyDescent="0.25">
      <c r="B93" s="1"/>
      <c r="C93" s="18"/>
    </row>
    <row r="94" spans="2:15" x14ac:dyDescent="0.25">
      <c r="C94" s="18"/>
    </row>
    <row r="95" spans="2:15" x14ac:dyDescent="0.25">
      <c r="D95" s="150"/>
    </row>
    <row r="96" spans="2:15" x14ac:dyDescent="0.25">
      <c r="D96" s="18"/>
    </row>
    <row r="97" spans="4:4" x14ac:dyDescent="0.25">
      <c r="D97" s="18"/>
    </row>
  </sheetData>
  <phoneticPr fontId="6" type="noConversion"/>
  <pageMargins left="0.25" right="0.26" top="0.83" bottom="0.87" header="0.36" footer="0.5"/>
  <pageSetup scale="55" orientation="portrait" horizontalDpi="300" verticalDpi="300" r:id="rId1"/>
  <headerFooter alignWithMargins="0">
    <oddHeader>&amp;C&amp;"Arial,Bold"&amp;8 &amp;R&amp;A</oddHeader>
    <oddFooter>&amp;L&amp;8&amp;Z&amp;F&amp;A&amp;R&amp;8&amp;T &amp;D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G46"/>
  <sheetViews>
    <sheetView showGridLines="0" workbookViewId="0"/>
  </sheetViews>
  <sheetFormatPr defaultColWidth="8.90625" defaultRowHeight="13.2" x14ac:dyDescent="0.25"/>
  <cols>
    <col min="1" max="1" width="8.90625" style="267"/>
    <col min="2" max="2" width="33.1796875" style="267" customWidth="1"/>
    <col min="3" max="3" width="12.6328125" style="267" customWidth="1"/>
    <col min="4" max="4" width="11.1796875" style="267" customWidth="1"/>
    <col min="5" max="5" width="12.90625" style="267" bestFit="1" customWidth="1"/>
    <col min="6" max="6" width="33.36328125" style="267" customWidth="1"/>
    <col min="7" max="16384" width="8.90625" style="267"/>
  </cols>
  <sheetData>
    <row r="1" spans="1:7" x14ac:dyDescent="0.25">
      <c r="A1" s="66" t="s">
        <v>882</v>
      </c>
      <c r="B1" s="59"/>
      <c r="C1" s="59"/>
      <c r="D1" s="59"/>
      <c r="E1" s="59"/>
      <c r="G1" s="69"/>
    </row>
    <row r="2" spans="1:7" x14ac:dyDescent="0.25">
      <c r="A2" s="66" t="s">
        <v>23</v>
      </c>
      <c r="B2" s="59"/>
      <c r="C2" s="59"/>
      <c r="D2" s="59"/>
      <c r="E2" s="59"/>
      <c r="G2" s="69"/>
    </row>
    <row r="3" spans="1:7" x14ac:dyDescent="0.25">
      <c r="A3" s="66" t="s">
        <v>886</v>
      </c>
      <c r="B3" s="59"/>
      <c r="C3" s="59"/>
      <c r="D3" s="59"/>
      <c r="E3" s="59"/>
      <c r="G3" s="69"/>
    </row>
    <row r="4" spans="1:7" x14ac:dyDescent="0.25">
      <c r="A4" s="66"/>
      <c r="B4" s="59"/>
      <c r="C4" s="59"/>
      <c r="D4" s="59"/>
      <c r="E4" s="59"/>
      <c r="G4" s="69"/>
    </row>
    <row r="5" spans="1:7" x14ac:dyDescent="0.25">
      <c r="A5" s="59"/>
      <c r="G5" s="69"/>
    </row>
    <row r="6" spans="1:7" x14ac:dyDescent="0.25">
      <c r="A6" s="59"/>
      <c r="B6" s="59"/>
      <c r="C6" s="108" t="s">
        <v>299</v>
      </c>
      <c r="D6" s="108" t="s">
        <v>146</v>
      </c>
      <c r="E6" s="108" t="str">
        <f>+'S1 VEC Master Summary'!E4</f>
        <v>ADJ Test Year</v>
      </c>
      <c r="G6" s="69"/>
    </row>
    <row r="7" spans="1:7" x14ac:dyDescent="0.25">
      <c r="A7" s="107" t="s">
        <v>72</v>
      </c>
      <c r="B7" s="107" t="s">
        <v>139</v>
      </c>
      <c r="C7" s="109" t="str">
        <f>+'S1 VEC Master Summary'!C5</f>
        <v>7/1/23-6/30/24</v>
      </c>
      <c r="D7" s="109" t="s">
        <v>147</v>
      </c>
      <c r="E7" s="109">
        <f>+'S1 VEC Master Summary'!E5</f>
        <v>2025</v>
      </c>
      <c r="F7" s="109" t="s">
        <v>54</v>
      </c>
      <c r="G7" s="69"/>
    </row>
    <row r="8" spans="1:7" x14ac:dyDescent="0.25">
      <c r="A8" s="59"/>
      <c r="B8" s="59"/>
      <c r="C8" s="59"/>
      <c r="D8" s="59"/>
      <c r="E8" s="59"/>
      <c r="G8" s="69"/>
    </row>
    <row r="9" spans="1:7" x14ac:dyDescent="0.25">
      <c r="A9" s="105">
        <v>427.12</v>
      </c>
      <c r="B9" s="79" t="str">
        <f>+'S12 Chart of Accts Trial Bal.'!B213</f>
        <v>INTEREST-COBANK (2002 BOND)</v>
      </c>
      <c r="C9" s="79">
        <f>+'S12 Chart of Accts Trial Bal.'!C213</f>
        <v>26908.21</v>
      </c>
      <c r="D9" s="79">
        <f t="shared" ref="D9:D18" si="0">+E9-C9</f>
        <v>-9563.2099999999991</v>
      </c>
      <c r="E9" s="79">
        <v>17345</v>
      </c>
      <c r="F9" s="296" t="s">
        <v>141</v>
      </c>
      <c r="G9" s="69"/>
    </row>
    <row r="10" spans="1:7" ht="15" customHeight="1" x14ac:dyDescent="0.25">
      <c r="A10" s="105">
        <v>427.13</v>
      </c>
      <c r="B10" s="79" t="str">
        <f>+'S12 Chart of Accts Trial Bal.'!B214</f>
        <v>INTEREST-COBANK (2003 A BOND)</v>
      </c>
      <c r="C10" s="79">
        <f>+'S12 Chart of Accts Trial Bal.'!C214</f>
        <v>29710.81</v>
      </c>
      <c r="D10" s="79">
        <f t="shared" si="0"/>
        <v>-8792.8100000000013</v>
      </c>
      <c r="E10" s="79">
        <v>20918</v>
      </c>
      <c r="F10" s="296" t="s">
        <v>141</v>
      </c>
      <c r="G10" s="69"/>
    </row>
    <row r="11" spans="1:7" ht="15" customHeight="1" x14ac:dyDescent="0.25">
      <c r="A11" s="105">
        <v>427.14</v>
      </c>
      <c r="B11" s="79" t="str">
        <f>+'S12 Chart of Accts Trial Bal.'!B215</f>
        <v>INTEREST-COBANK (2003 B BOND)</v>
      </c>
      <c r="C11" s="79">
        <f>+'S12 Chart of Accts Trial Bal.'!C215</f>
        <v>214.62</v>
      </c>
      <c r="D11" s="79">
        <f t="shared" si="0"/>
        <v>-214.62</v>
      </c>
      <c r="E11" s="79">
        <v>0</v>
      </c>
      <c r="F11" s="296" t="s">
        <v>141</v>
      </c>
      <c r="G11" s="69"/>
    </row>
    <row r="12" spans="1:7" ht="15" customHeight="1" x14ac:dyDescent="0.25">
      <c r="A12" s="105">
        <v>427.15</v>
      </c>
      <c r="B12" s="79" t="str">
        <f>+'S12 Chart of Accts Trial Bal.'!B216</f>
        <v>INTEREST-CFC (2004 A BOND)</v>
      </c>
      <c r="C12" s="79">
        <f>+'S12 Chart of Accts Trial Bal.'!C216</f>
        <v>636246.25</v>
      </c>
      <c r="D12" s="79">
        <f t="shared" si="0"/>
        <v>-53322.25</v>
      </c>
      <c r="E12" s="79">
        <v>582924</v>
      </c>
      <c r="F12" s="296" t="s">
        <v>141</v>
      </c>
      <c r="G12" s="69"/>
    </row>
    <row r="13" spans="1:7" ht="15" customHeight="1" x14ac:dyDescent="0.25">
      <c r="A13" s="105">
        <v>427.16</v>
      </c>
      <c r="B13" s="79" t="str">
        <f>+'S12 Chart of Accts Trial Bal.'!B217</f>
        <v>INTEREST-CFC (2005 A BOND)</v>
      </c>
      <c r="C13" s="79">
        <f>+'S12 Chart of Accts Trial Bal.'!C217</f>
        <v>81604.27</v>
      </c>
      <c r="D13" s="79">
        <f t="shared" si="0"/>
        <v>-14616.270000000004</v>
      </c>
      <c r="E13" s="79">
        <v>66988</v>
      </c>
      <c r="F13" s="296" t="s">
        <v>141</v>
      </c>
      <c r="G13" s="69"/>
    </row>
    <row r="14" spans="1:7" ht="15" customHeight="1" x14ac:dyDescent="0.25">
      <c r="A14" s="105">
        <v>427.17</v>
      </c>
      <c r="B14" s="79" t="str">
        <f>+'S12 Chart of Accts Trial Bal.'!B218</f>
        <v>INTEREST-CFC (2006 A BOND)</v>
      </c>
      <c r="C14" s="79">
        <f>+'S12 Chart of Accts Trial Bal.'!C218</f>
        <v>149994.49</v>
      </c>
      <c r="D14" s="79">
        <f t="shared" si="0"/>
        <v>-7569.4899999999907</v>
      </c>
      <c r="E14" s="79">
        <v>142425</v>
      </c>
      <c r="F14" s="296" t="s">
        <v>141</v>
      </c>
      <c r="G14" s="69"/>
    </row>
    <row r="15" spans="1:7" x14ac:dyDescent="0.25">
      <c r="A15" s="105">
        <v>427.18</v>
      </c>
      <c r="B15" s="79" t="str">
        <f>+'S12 Chart of Accts Trial Bal.'!B219</f>
        <v>INTEREST-COBANK (2008 B BOND)</v>
      </c>
      <c r="C15" s="79">
        <f>+'S12 Chart of Accts Trial Bal.'!C219</f>
        <v>47712.15</v>
      </c>
      <c r="D15" s="79">
        <f t="shared" si="0"/>
        <v>-4848.1500000000015</v>
      </c>
      <c r="E15" s="79">
        <v>42864</v>
      </c>
      <c r="F15" s="296" t="s">
        <v>141</v>
      </c>
      <c r="G15" s="69"/>
    </row>
    <row r="16" spans="1:7" x14ac:dyDescent="0.25">
      <c r="A16" s="105">
        <v>427.19</v>
      </c>
      <c r="B16" s="79" t="str">
        <f>+'S12 Chart of Accts Trial Bal.'!B220</f>
        <v>INTEREST - COBANK 2009 A BOND</v>
      </c>
      <c r="C16" s="79">
        <f>+'S12 Chart of Accts Trial Bal.'!C220</f>
        <v>128947.88</v>
      </c>
      <c r="D16" s="79">
        <f t="shared" si="0"/>
        <v>4799.1199999999953</v>
      </c>
      <c r="E16" s="79">
        <v>133747</v>
      </c>
      <c r="F16" s="296" t="s">
        <v>141</v>
      </c>
      <c r="G16" s="69"/>
    </row>
    <row r="17" spans="1:7" x14ac:dyDescent="0.25">
      <c r="A17" s="161">
        <v>427.01</v>
      </c>
      <c r="B17" s="79" t="str">
        <f>+'S12 Chart of Accts Trial Bal.'!B202</f>
        <v>INTEREST - FARMER MAC 2010 A BOND</v>
      </c>
      <c r="C17" s="79">
        <f>+'S12 Chart of Accts Trial Bal.'!C202</f>
        <v>207404.26</v>
      </c>
      <c r="D17" s="79">
        <f>+E17-C17</f>
        <v>-89344.260000000009</v>
      </c>
      <c r="E17" s="79">
        <v>118060</v>
      </c>
      <c r="F17" s="296" t="s">
        <v>141</v>
      </c>
      <c r="G17" s="69"/>
    </row>
    <row r="18" spans="1:7" x14ac:dyDescent="0.25">
      <c r="A18" s="123">
        <v>427.02</v>
      </c>
      <c r="B18" s="79" t="str">
        <f>+'S12 Chart of Accts Trial Bal.'!B203</f>
        <v>INTEREST - COBANK 2012 A BOND</v>
      </c>
      <c r="C18" s="79">
        <f>+'S12 Chart of Accts Trial Bal.'!C203</f>
        <v>129710.47</v>
      </c>
      <c r="D18" s="79">
        <f t="shared" si="0"/>
        <v>-19924.47</v>
      </c>
      <c r="E18" s="79">
        <v>109786</v>
      </c>
      <c r="F18" s="296" t="s">
        <v>141</v>
      </c>
      <c r="G18" s="69"/>
    </row>
    <row r="19" spans="1:7" x14ac:dyDescent="0.25">
      <c r="A19" s="123">
        <v>427.03</v>
      </c>
      <c r="B19" s="79" t="str">
        <f>+'S12 Chart of Accts Trial Bal.'!B204</f>
        <v>INTEREST - COBANK 2012 B BOND</v>
      </c>
      <c r="C19" s="79">
        <f>+'S12 Chart of Accts Trial Bal.'!C204</f>
        <v>40655.54</v>
      </c>
      <c r="D19" s="79">
        <f t="shared" ref="D19:D31" si="1">+E19-C19</f>
        <v>-14077.54</v>
      </c>
      <c r="E19" s="79">
        <v>26578</v>
      </c>
      <c r="F19" s="296" t="s">
        <v>141</v>
      </c>
      <c r="G19" s="69"/>
    </row>
    <row r="20" spans="1:7" x14ac:dyDescent="0.25">
      <c r="A20" s="123">
        <v>427.04</v>
      </c>
      <c r="B20" s="79" t="str">
        <f>+'S12 Chart of Accts Trial Bal.'!B205</f>
        <v>INTEREST - COBANK 2013 A BOND</v>
      </c>
      <c r="C20" s="79">
        <f>+'S12 Chart of Accts Trial Bal.'!C205</f>
        <v>115849.03</v>
      </c>
      <c r="D20" s="79">
        <f t="shared" si="1"/>
        <v>-15097.029999999999</v>
      </c>
      <c r="E20" s="79">
        <v>100752</v>
      </c>
      <c r="F20" s="296" t="s">
        <v>141</v>
      </c>
      <c r="G20" s="69"/>
    </row>
    <row r="21" spans="1:7" x14ac:dyDescent="0.25">
      <c r="A21" s="123">
        <v>427.05</v>
      </c>
      <c r="B21" s="79" t="str">
        <f>+'S12 Chart of Accts Trial Bal.'!B206</f>
        <v>INTEREST - COBANK 2014 A BOND</v>
      </c>
      <c r="C21" s="79">
        <f>+'S12 Chart of Accts Trial Bal.'!C206</f>
        <v>281266.21000000002</v>
      </c>
      <c r="D21" s="79">
        <f t="shared" si="1"/>
        <v>-33024.210000000021</v>
      </c>
      <c r="E21" s="79">
        <v>248242</v>
      </c>
      <c r="F21" s="296" t="s">
        <v>141</v>
      </c>
      <c r="G21" s="69"/>
    </row>
    <row r="22" spans="1:7" x14ac:dyDescent="0.25">
      <c r="A22" s="123">
        <v>427.06</v>
      </c>
      <c r="B22" s="79" t="str">
        <f>+'S12 Chart of Accts Trial Bal.'!B207</f>
        <v>INTEREST - COBANK 2016 A BOND</v>
      </c>
      <c r="C22" s="79">
        <f>+'S12 Chart of Accts Trial Bal.'!C207</f>
        <v>236908.99</v>
      </c>
      <c r="D22" s="79">
        <f t="shared" si="1"/>
        <v>226681.01</v>
      </c>
      <c r="E22" s="79">
        <v>463590</v>
      </c>
      <c r="F22" s="296" t="s">
        <v>141</v>
      </c>
      <c r="G22" s="69"/>
    </row>
    <row r="23" spans="1:7" x14ac:dyDescent="0.25">
      <c r="A23" s="123">
        <v>427.07</v>
      </c>
      <c r="B23" s="79" t="str">
        <f>+'S12 Chart of Accts Trial Bal.'!B208</f>
        <v>INTEREST - CFC 2016 B BOND</v>
      </c>
      <c r="C23" s="79">
        <f>+'S12 Chart of Accts Trial Bal.'!C208</f>
        <v>328976.02</v>
      </c>
      <c r="D23" s="79">
        <f t="shared" si="1"/>
        <v>-8521.0200000000186</v>
      </c>
      <c r="E23" s="79">
        <v>320455</v>
      </c>
      <c r="F23" s="296" t="s">
        <v>141</v>
      </c>
      <c r="G23" s="69"/>
    </row>
    <row r="24" spans="1:7" x14ac:dyDescent="0.25">
      <c r="A24" s="123">
        <v>427.08</v>
      </c>
      <c r="B24" s="79" t="str">
        <f>+'S12 Chart of Accts Trial Bal.'!B209</f>
        <v>INTEREST - CFC 2017 A BOND</v>
      </c>
      <c r="C24" s="79">
        <f>+'S12 Chart of Accts Trial Bal.'!C209</f>
        <v>269940.7</v>
      </c>
      <c r="D24" s="79">
        <f t="shared" si="1"/>
        <v>-18671.700000000012</v>
      </c>
      <c r="E24" s="79">
        <v>251269</v>
      </c>
      <c r="F24" s="296" t="s">
        <v>141</v>
      </c>
      <c r="G24" s="69"/>
    </row>
    <row r="25" spans="1:7" x14ac:dyDescent="0.25">
      <c r="A25" s="123">
        <v>427.09</v>
      </c>
      <c r="B25" s="79" t="str">
        <f>+'S12 Chart of Accts Trial Bal.'!B210</f>
        <v>INTEREST - 2019 A BOND</v>
      </c>
      <c r="C25" s="79">
        <f>+'S12 Chart of Accts Trial Bal.'!C210</f>
        <v>233001.99</v>
      </c>
      <c r="D25" s="79">
        <f t="shared" si="1"/>
        <v>-5689.9899999999907</v>
      </c>
      <c r="E25" s="79">
        <v>227312</v>
      </c>
      <c r="F25" s="296" t="s">
        <v>141</v>
      </c>
      <c r="G25" s="69"/>
    </row>
    <row r="26" spans="1:7" x14ac:dyDescent="0.25">
      <c r="A26" s="123">
        <v>427.1</v>
      </c>
      <c r="B26" s="79" t="str">
        <f>+'S12 Chart of Accts Trial Bal.'!B211</f>
        <v>INTEREST - 2020 A BOND</v>
      </c>
      <c r="C26" s="79">
        <f>+'S12 Chart of Accts Trial Bal.'!C211</f>
        <v>145170.12</v>
      </c>
      <c r="D26" s="79">
        <f t="shared" si="1"/>
        <v>-8262.1199999999953</v>
      </c>
      <c r="E26" s="79">
        <v>136908</v>
      </c>
      <c r="F26" s="296" t="s">
        <v>141</v>
      </c>
      <c r="G26" s="69"/>
    </row>
    <row r="27" spans="1:7" x14ac:dyDescent="0.25">
      <c r="A27" s="123">
        <v>427.11</v>
      </c>
      <c r="B27" s="79" t="s">
        <v>1014</v>
      </c>
      <c r="C27" s="79">
        <f>+'S12 Chart of Accts Trial Bal.'!C212</f>
        <v>229110.77</v>
      </c>
      <c r="D27" s="79">
        <f t="shared" si="1"/>
        <v>-7393.7699999999895</v>
      </c>
      <c r="E27" s="79">
        <v>221717</v>
      </c>
      <c r="F27" s="296" t="s">
        <v>141</v>
      </c>
      <c r="G27" s="69"/>
    </row>
    <row r="28" spans="1:7" x14ac:dyDescent="0.25">
      <c r="A28" s="123">
        <v>427.21</v>
      </c>
      <c r="B28" s="79" t="str">
        <f>+'S12 Chart of Accts Trial Bal.'!B222</f>
        <v>INTEREST - CFC 2022 BOND</v>
      </c>
      <c r="C28" s="79">
        <f>+'S12 Chart of Accts Trial Bal.'!C222</f>
        <v>186130.02</v>
      </c>
      <c r="D28" s="79">
        <f t="shared" si="1"/>
        <v>-3785.0199999999895</v>
      </c>
      <c r="E28" s="79">
        <v>182345</v>
      </c>
      <c r="F28" s="296" t="s">
        <v>141</v>
      </c>
      <c r="G28" s="69"/>
    </row>
    <row r="29" spans="1:7" x14ac:dyDescent="0.25">
      <c r="A29" s="123">
        <v>427.22</v>
      </c>
      <c r="B29" s="79" t="s">
        <v>1013</v>
      </c>
      <c r="C29" s="79">
        <f>+'S12 Chart of Accts Trial Bal.'!C223</f>
        <v>584444.07999999996</v>
      </c>
      <c r="D29" s="79">
        <f t="shared" si="1"/>
        <v>-13900.079999999958</v>
      </c>
      <c r="E29" s="79">
        <v>570544</v>
      </c>
      <c r="F29" s="296" t="s">
        <v>141</v>
      </c>
      <c r="G29" s="69"/>
    </row>
    <row r="30" spans="1:7" x14ac:dyDescent="0.25">
      <c r="A30" s="123">
        <v>427.24</v>
      </c>
      <c r="B30" s="79" t="s">
        <v>1065</v>
      </c>
      <c r="C30" s="79">
        <f>'S12 Chart of Accts Trial Bal.'!C224</f>
        <v>51988.34</v>
      </c>
      <c r="D30" s="79">
        <f t="shared" si="1"/>
        <v>294612.66000000003</v>
      </c>
      <c r="E30" s="79">
        <v>346601</v>
      </c>
      <c r="F30" s="296" t="s">
        <v>1237</v>
      </c>
      <c r="G30" s="69"/>
    </row>
    <row r="31" spans="1:7" x14ac:dyDescent="0.25">
      <c r="A31" s="123">
        <v>427.5</v>
      </c>
      <c r="B31" s="97" t="s">
        <v>1107</v>
      </c>
      <c r="C31" s="97">
        <f>+'S12 Chart of Accts Trial Bal.'!C225</f>
        <v>-0.03</v>
      </c>
      <c r="D31" s="97">
        <f t="shared" si="1"/>
        <v>319591.03000000003</v>
      </c>
      <c r="E31" s="97">
        <v>319591</v>
      </c>
      <c r="F31" s="296" t="s">
        <v>1106</v>
      </c>
      <c r="G31" s="69"/>
    </row>
    <row r="32" spans="1:7" x14ac:dyDescent="0.25">
      <c r="A32" s="59"/>
      <c r="B32" s="66" t="s">
        <v>145</v>
      </c>
      <c r="C32" s="79">
        <f>SUM(C9:C31)</f>
        <v>4141895.1900000009</v>
      </c>
      <c r="D32" s="120">
        <f>SUM(D9:D31)</f>
        <v>509065.81000000006</v>
      </c>
      <c r="E32" s="79">
        <f>SUM(E9:E31)</f>
        <v>4650961</v>
      </c>
      <c r="G32" s="69"/>
    </row>
    <row r="33" spans="1:7" x14ac:dyDescent="0.25">
      <c r="A33" s="59"/>
      <c r="B33" s="59"/>
      <c r="C33" s="59"/>
      <c r="D33" s="100"/>
      <c r="E33" s="73"/>
      <c r="G33" s="69"/>
    </row>
    <row r="34" spans="1:7" x14ac:dyDescent="0.25">
      <c r="A34" s="59"/>
      <c r="B34" s="59"/>
      <c r="C34" s="108" t="s">
        <v>299</v>
      </c>
      <c r="D34" s="108" t="s">
        <v>146</v>
      </c>
      <c r="E34" s="108" t="str">
        <f>+'S1 VEC Master Summary'!E4</f>
        <v>ADJ Test Year</v>
      </c>
      <c r="G34" s="69"/>
    </row>
    <row r="35" spans="1:7" x14ac:dyDescent="0.25">
      <c r="A35" s="107" t="s">
        <v>72</v>
      </c>
      <c r="B35" s="107" t="s">
        <v>24</v>
      </c>
      <c r="C35" s="109" t="str">
        <f>+'S1 VEC Master Summary'!C5</f>
        <v>7/1/23-6/30/24</v>
      </c>
      <c r="D35" s="109" t="s">
        <v>147</v>
      </c>
      <c r="E35" s="109">
        <f>+'S1 VEC Master Summary'!E5</f>
        <v>2025</v>
      </c>
      <c r="F35" s="109" t="s">
        <v>54</v>
      </c>
      <c r="G35" s="69"/>
    </row>
    <row r="36" spans="1:7" x14ac:dyDescent="0.25">
      <c r="A36" s="123" t="s">
        <v>1166</v>
      </c>
      <c r="B36" s="79" t="s">
        <v>1167</v>
      </c>
      <c r="C36" s="79">
        <f>+'S12 Chart of Accts Trial Bal.'!C228</f>
        <v>670668.47</v>
      </c>
      <c r="D36" s="451">
        <f>E36-C36</f>
        <v>245387.53000000003</v>
      </c>
      <c r="E36" s="79">
        <v>916056</v>
      </c>
      <c r="F36" s="296" t="s">
        <v>225</v>
      </c>
      <c r="G36" s="69"/>
    </row>
    <row r="37" spans="1:7" x14ac:dyDescent="0.25">
      <c r="A37" s="122"/>
      <c r="B37" s="59"/>
      <c r="C37" s="79"/>
      <c r="D37" s="79"/>
      <c r="E37" s="79"/>
      <c r="F37" s="296" t="s">
        <v>1168</v>
      </c>
      <c r="G37" s="69"/>
    </row>
    <row r="38" spans="1:7" x14ac:dyDescent="0.25">
      <c r="A38" s="59"/>
      <c r="B38" s="59"/>
      <c r="C38" s="59"/>
      <c r="D38" s="79"/>
      <c r="E38" s="59"/>
      <c r="F38" s="296" t="s">
        <v>1169</v>
      </c>
      <c r="G38" s="69"/>
    </row>
    <row r="39" spans="1:7" x14ac:dyDescent="0.25">
      <c r="A39" s="59"/>
      <c r="B39" s="59"/>
      <c r="C39" s="59"/>
      <c r="D39" s="79"/>
      <c r="E39" s="100"/>
      <c r="F39" s="296"/>
      <c r="G39" s="69"/>
    </row>
    <row r="40" spans="1:7" ht="13.8" thickBot="1" x14ac:dyDescent="0.3">
      <c r="A40" s="59"/>
      <c r="B40" s="66" t="s">
        <v>1291</v>
      </c>
      <c r="C40" s="66"/>
      <c r="D40" s="224">
        <f>+D32+D36</f>
        <v>754453.34000000008</v>
      </c>
      <c r="E40" s="59"/>
      <c r="G40" s="69"/>
    </row>
    <row r="41" spans="1:7" ht="13.8" thickTop="1" x14ac:dyDescent="0.25">
      <c r="A41" s="59"/>
      <c r="B41" s="59"/>
      <c r="C41" s="59"/>
      <c r="D41" s="59"/>
      <c r="E41" s="101"/>
      <c r="G41" s="69"/>
    </row>
    <row r="42" spans="1:7" x14ac:dyDescent="0.25">
      <c r="A42" s="59"/>
      <c r="B42" s="59"/>
      <c r="C42" s="98"/>
      <c r="D42" s="98"/>
      <c r="E42" s="98"/>
      <c r="G42" s="69"/>
    </row>
    <row r="43" spans="1:7" x14ac:dyDescent="0.25">
      <c r="A43" s="59"/>
      <c r="B43" s="59"/>
      <c r="C43" s="96"/>
      <c r="D43" s="96"/>
      <c r="E43" s="96"/>
      <c r="G43" s="69"/>
    </row>
    <row r="44" spans="1:7" ht="42.6" customHeight="1" x14ac:dyDescent="0.25">
      <c r="A44" s="102"/>
      <c r="B44" s="102"/>
      <c r="C44" s="103"/>
      <c r="D44" s="104"/>
      <c r="E44" s="104"/>
      <c r="F44" s="104"/>
      <c r="G44" s="69"/>
    </row>
    <row r="45" spans="1:7" x14ac:dyDescent="0.25">
      <c r="A45" s="59"/>
      <c r="B45" s="59"/>
      <c r="C45" s="203"/>
      <c r="D45" s="96"/>
      <c r="E45" s="96"/>
      <c r="F45" s="96"/>
    </row>
    <row r="46" spans="1:7" x14ac:dyDescent="0.25">
      <c r="A46" s="59"/>
      <c r="B46" s="450"/>
      <c r="D46" s="203"/>
      <c r="E46" s="203"/>
      <c r="F46" s="203"/>
    </row>
  </sheetData>
  <phoneticPr fontId="6" type="noConversion"/>
  <pageMargins left="0.46" right="0.26" top="0.83" bottom="0.62" header="0.36" footer="0.25"/>
  <pageSetup scale="72" orientation="portrait" horizontalDpi="300" verticalDpi="300" r:id="rId1"/>
  <headerFooter alignWithMargins="0">
    <oddHeader>&amp;R&amp;A</oddHeader>
    <oddFooter>&amp;L&amp;8&amp;Z&amp;F&amp;A&amp;R&amp;8&amp;T &amp;D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Q34"/>
  <sheetViews>
    <sheetView showGridLines="0" workbookViewId="0"/>
  </sheetViews>
  <sheetFormatPr defaultColWidth="8" defaultRowHeight="13.2" x14ac:dyDescent="0.25"/>
  <cols>
    <col min="1" max="1" width="6.6328125" style="267" customWidth="1"/>
    <col min="2" max="2" width="32.81640625" style="267" customWidth="1"/>
    <col min="3" max="3" width="6.90625" style="267" customWidth="1"/>
    <col min="4" max="4" width="11.1796875" style="267" customWidth="1"/>
    <col min="5" max="5" width="10.6328125" style="267" customWidth="1"/>
    <col min="6" max="6" width="10" style="267" customWidth="1"/>
    <col min="7" max="7" width="2.08984375" style="267" customWidth="1"/>
    <col min="8" max="8" width="63.54296875" style="267" customWidth="1"/>
    <col min="9" max="9" width="1.90625" style="267" customWidth="1"/>
    <col min="10" max="10" width="9.08984375" style="267" customWidth="1"/>
    <col min="11" max="11" width="10.90625" style="267" customWidth="1"/>
    <col min="12" max="12" width="9.81640625" style="267" customWidth="1"/>
    <col min="13" max="13" width="10.6328125" style="267" customWidth="1"/>
    <col min="14" max="14" width="9.36328125" style="267" customWidth="1"/>
    <col min="15" max="15" width="7.6328125" style="267" customWidth="1"/>
    <col min="16" max="16384" width="8" style="267"/>
  </cols>
  <sheetData>
    <row r="1" spans="1:17" x14ac:dyDescent="0.25">
      <c r="A1" s="66" t="s">
        <v>882</v>
      </c>
      <c r="B1" s="59"/>
      <c r="C1" s="59"/>
      <c r="D1" s="59"/>
      <c r="F1" s="59"/>
      <c r="G1" s="59"/>
      <c r="H1" s="59"/>
      <c r="I1" s="160"/>
      <c r="J1" s="69"/>
    </row>
    <row r="2" spans="1:17" x14ac:dyDescent="0.25">
      <c r="A2" s="324" t="s">
        <v>283</v>
      </c>
      <c r="B2" s="59"/>
      <c r="C2" s="59"/>
      <c r="D2" s="59"/>
      <c r="F2" s="59"/>
      <c r="J2" s="69"/>
    </row>
    <row r="3" spans="1:17" x14ac:dyDescent="0.25">
      <c r="A3" s="66" t="s">
        <v>887</v>
      </c>
      <c r="B3" s="59"/>
      <c r="C3" s="59"/>
      <c r="D3" s="59"/>
      <c r="F3" s="59"/>
      <c r="G3" s="59"/>
      <c r="J3" s="69"/>
    </row>
    <row r="4" spans="1:17" x14ac:dyDescent="0.25">
      <c r="A4" s="324" t="s">
        <v>286</v>
      </c>
      <c r="B4" s="59"/>
      <c r="C4" s="59"/>
      <c r="D4" s="59"/>
      <c r="E4" s="59"/>
      <c r="F4" s="59"/>
      <c r="G4" s="59"/>
      <c r="J4" s="69"/>
      <c r="K4" s="452"/>
      <c r="L4" s="453"/>
    </row>
    <row r="5" spans="1:17" x14ac:dyDescent="0.25">
      <c r="A5" s="324"/>
      <c r="B5" s="59"/>
      <c r="C5" s="59"/>
      <c r="D5" s="59"/>
      <c r="E5" s="59"/>
      <c r="F5" s="59"/>
      <c r="G5" s="59"/>
      <c r="J5" s="69"/>
      <c r="K5" s="452"/>
      <c r="L5" s="453"/>
    </row>
    <row r="6" spans="1:17" x14ac:dyDescent="0.25">
      <c r="A6" s="266"/>
      <c r="B6" s="270"/>
      <c r="D6" s="108" t="s">
        <v>299</v>
      </c>
      <c r="E6" s="108" t="s">
        <v>146</v>
      </c>
      <c r="F6" s="108" t="str">
        <f>+'S1 VEC Master Summary'!E4</f>
        <v>ADJ Test Year</v>
      </c>
      <c r="G6" s="160"/>
      <c r="H6" s="268"/>
      <c r="J6" s="69"/>
      <c r="K6" s="452"/>
      <c r="L6" s="453"/>
    </row>
    <row r="7" spans="1:17" x14ac:dyDescent="0.25">
      <c r="A7" s="107" t="s">
        <v>72</v>
      </c>
      <c r="B7" s="107" t="s">
        <v>29</v>
      </c>
      <c r="C7" s="59"/>
      <c r="D7" s="109" t="str">
        <f>+'S1 VEC Master Summary'!C5</f>
        <v>7/1/23-6/30/24</v>
      </c>
      <c r="E7" s="109" t="s">
        <v>147</v>
      </c>
      <c r="F7" s="109">
        <f>+'S1 VEC Master Summary'!E5</f>
        <v>2025</v>
      </c>
      <c r="G7" s="160"/>
      <c r="H7" s="109" t="s">
        <v>54</v>
      </c>
      <c r="J7" s="69"/>
      <c r="K7" s="452"/>
      <c r="L7" s="453"/>
    </row>
    <row r="8" spans="1:17" x14ac:dyDescent="0.25">
      <c r="A8" s="156">
        <v>419</v>
      </c>
      <c r="B8" s="59" t="s">
        <v>910</v>
      </c>
      <c r="C8" s="59"/>
      <c r="D8" s="109"/>
      <c r="E8" s="109"/>
      <c r="F8" s="109"/>
      <c r="G8" s="160"/>
      <c r="H8" s="109"/>
      <c r="J8" s="69"/>
      <c r="K8" s="452"/>
      <c r="L8" s="453"/>
    </row>
    <row r="9" spans="1:17" ht="15" customHeight="1" x14ac:dyDescent="0.25">
      <c r="A9" s="156"/>
      <c r="B9" s="270" t="s">
        <v>1059</v>
      </c>
      <c r="D9" s="111">
        <v>5266272.7200000007</v>
      </c>
      <c r="E9" s="111">
        <f t="shared" ref="E9:E13" si="0">+F9-D9</f>
        <v>522945.45999999903</v>
      </c>
      <c r="F9" s="111">
        <v>5789218.1799999997</v>
      </c>
      <c r="G9" s="160"/>
      <c r="H9" s="269" t="s">
        <v>1170</v>
      </c>
      <c r="J9" s="69"/>
      <c r="K9" s="452"/>
      <c r="L9" s="453"/>
    </row>
    <row r="10" spans="1:17" ht="15" customHeight="1" x14ac:dyDescent="0.25">
      <c r="A10" s="156"/>
      <c r="B10" s="270" t="s">
        <v>816</v>
      </c>
      <c r="D10" s="111">
        <v>194014.72999999998</v>
      </c>
      <c r="E10" s="111">
        <f t="shared" si="0"/>
        <v>-174.7499999999709</v>
      </c>
      <c r="F10" s="111">
        <v>193839.98</v>
      </c>
      <c r="G10" s="160"/>
      <c r="H10" s="269" t="s">
        <v>817</v>
      </c>
      <c r="J10" s="69"/>
      <c r="K10" s="452"/>
      <c r="L10" s="453"/>
    </row>
    <row r="11" spans="1:17" ht="15" customHeight="1" x14ac:dyDescent="0.25">
      <c r="A11" s="59"/>
      <c r="B11" s="270" t="s">
        <v>1172</v>
      </c>
      <c r="D11" s="111">
        <v>30806.41</v>
      </c>
      <c r="E11" s="111">
        <f t="shared" si="0"/>
        <v>0</v>
      </c>
      <c r="F11" s="111">
        <v>30806.41</v>
      </c>
      <c r="G11" s="160"/>
      <c r="H11" s="269" t="s">
        <v>1173</v>
      </c>
      <c r="J11" s="69"/>
      <c r="K11" s="452"/>
      <c r="L11" s="453"/>
    </row>
    <row r="12" spans="1:17" ht="15" customHeight="1" x14ac:dyDescent="0.25">
      <c r="A12" s="59"/>
      <c r="B12" s="270" t="s">
        <v>862</v>
      </c>
      <c r="D12" s="111">
        <v>133498.29999999999</v>
      </c>
      <c r="E12" s="111">
        <f t="shared" si="0"/>
        <v>0</v>
      </c>
      <c r="F12" s="111">
        <v>133498.29999999999</v>
      </c>
      <c r="G12" s="160"/>
      <c r="H12" s="269" t="s">
        <v>863</v>
      </c>
      <c r="J12" s="69"/>
      <c r="K12" s="452"/>
      <c r="L12" s="453"/>
    </row>
    <row r="13" spans="1:17" ht="15" customHeight="1" x14ac:dyDescent="0.25">
      <c r="A13" s="59"/>
      <c r="B13" s="270" t="s">
        <v>762</v>
      </c>
      <c r="D13" s="298">
        <v>30798.73</v>
      </c>
      <c r="E13" s="298">
        <f t="shared" si="0"/>
        <v>0</v>
      </c>
      <c r="F13" s="298">
        <v>30798.73</v>
      </c>
      <c r="G13" s="59"/>
      <c r="H13" s="269" t="s">
        <v>1050</v>
      </c>
      <c r="J13" s="69"/>
      <c r="L13" s="453"/>
      <c r="N13" s="296"/>
    </row>
    <row r="14" spans="1:17" ht="15" customHeight="1" thickBot="1" x14ac:dyDescent="0.3">
      <c r="A14" s="59"/>
      <c r="B14" s="270" t="s">
        <v>30</v>
      </c>
      <c r="D14" s="111">
        <f>SUM(D9:D13)</f>
        <v>5655390.8900000015</v>
      </c>
      <c r="E14" s="224">
        <f>SUM(E9:E13)</f>
        <v>522770.70999999903</v>
      </c>
      <c r="F14" s="111">
        <f>SUM(F9:F13)</f>
        <v>6178161.6000000006</v>
      </c>
      <c r="G14" s="59"/>
      <c r="J14" s="69"/>
    </row>
    <row r="15" spans="1:17" ht="13.8" thickTop="1" x14ac:dyDescent="0.25">
      <c r="A15" s="59"/>
      <c r="B15" s="59"/>
      <c r="C15" s="115"/>
      <c r="D15" s="79"/>
      <c r="E15" s="79"/>
      <c r="F15" s="79"/>
      <c r="G15" s="59"/>
      <c r="I15" s="59"/>
      <c r="J15" s="69"/>
      <c r="K15" s="300"/>
      <c r="L15" s="301"/>
      <c r="M15" s="301"/>
      <c r="P15" s="301"/>
      <c r="Q15" s="301"/>
    </row>
    <row r="16" spans="1:17" x14ac:dyDescent="0.25">
      <c r="A16" s="59"/>
      <c r="B16" s="59"/>
      <c r="C16" s="115"/>
      <c r="D16" s="79"/>
      <c r="E16" s="79"/>
      <c r="F16" s="79"/>
      <c r="G16" s="59"/>
      <c r="I16" s="59"/>
      <c r="J16" s="69"/>
      <c r="K16" s="300"/>
      <c r="L16" s="301"/>
      <c r="M16" s="301"/>
      <c r="P16" s="301"/>
      <c r="Q16" s="301"/>
    </row>
    <row r="17" spans="1:17" x14ac:dyDescent="0.25">
      <c r="D17" s="108" t="s">
        <v>299</v>
      </c>
      <c r="E17" s="108" t="s">
        <v>146</v>
      </c>
      <c r="F17" s="108" t="str">
        <f>+'S1 VEC Master Summary'!E4</f>
        <v>ADJ Test Year</v>
      </c>
      <c r="G17" s="59"/>
      <c r="I17" s="59"/>
      <c r="J17" s="69"/>
      <c r="K17" s="300"/>
      <c r="L17" s="301"/>
      <c r="M17" s="301"/>
      <c r="P17" s="301"/>
      <c r="Q17" s="301"/>
    </row>
    <row r="18" spans="1:17" x14ac:dyDescent="0.25">
      <c r="A18" s="107" t="s">
        <v>72</v>
      </c>
      <c r="B18" s="107" t="s">
        <v>691</v>
      </c>
      <c r="C18" s="59"/>
      <c r="D18" s="109" t="str">
        <f>+'S1 VEC Master Summary'!C5</f>
        <v>7/1/23-6/30/24</v>
      </c>
      <c r="E18" s="109" t="s">
        <v>147</v>
      </c>
      <c r="F18" s="109">
        <f>+'S1 VEC Master Summary'!E5</f>
        <v>2025</v>
      </c>
      <c r="G18" s="59"/>
      <c r="I18" s="59"/>
      <c r="J18" s="69"/>
      <c r="K18" s="300"/>
      <c r="L18" s="301"/>
      <c r="M18" s="301"/>
      <c r="P18" s="301"/>
      <c r="Q18" s="301"/>
    </row>
    <row r="19" spans="1:17" x14ac:dyDescent="0.25">
      <c r="A19" s="160"/>
      <c r="B19" s="59" t="s">
        <v>134</v>
      </c>
      <c r="C19" s="59"/>
      <c r="D19" s="116"/>
      <c r="E19" s="160"/>
      <c r="F19" s="116"/>
      <c r="G19" s="160"/>
      <c r="H19" s="160"/>
      <c r="I19" s="160"/>
      <c r="J19" s="69"/>
      <c r="K19" s="300"/>
      <c r="L19" s="301"/>
      <c r="M19" s="301"/>
      <c r="P19" s="301"/>
      <c r="Q19" s="301"/>
    </row>
    <row r="20" spans="1:17" x14ac:dyDescent="0.25">
      <c r="A20" s="156">
        <v>424</v>
      </c>
      <c r="B20" s="59" t="s">
        <v>135</v>
      </c>
      <c r="C20" s="59"/>
      <c r="D20" s="111">
        <v>79430</v>
      </c>
      <c r="E20" s="111">
        <f t="shared" ref="E20:E32" si="1">+F20-D20</f>
        <v>0</v>
      </c>
      <c r="F20" s="111">
        <v>79430</v>
      </c>
      <c r="H20" s="269" t="s">
        <v>1171</v>
      </c>
      <c r="J20" s="69"/>
      <c r="K20" s="300"/>
      <c r="L20" s="301"/>
      <c r="M20" s="301"/>
      <c r="P20" s="301"/>
      <c r="Q20" s="301"/>
    </row>
    <row r="21" spans="1:17" x14ac:dyDescent="0.25">
      <c r="A21" s="156">
        <v>424</v>
      </c>
      <c r="B21" s="59" t="s">
        <v>7</v>
      </c>
      <c r="C21" s="59"/>
      <c r="D21" s="111">
        <v>79430</v>
      </c>
      <c r="E21" s="111">
        <f t="shared" si="1"/>
        <v>0</v>
      </c>
      <c r="F21" s="111">
        <v>79430</v>
      </c>
      <c r="G21" s="268"/>
      <c r="H21" s="269" t="s">
        <v>1175</v>
      </c>
      <c r="I21" s="268"/>
      <c r="J21" s="69"/>
      <c r="K21" s="300"/>
      <c r="L21" s="301"/>
      <c r="M21" s="301"/>
      <c r="P21" s="301"/>
      <c r="Q21" s="301"/>
    </row>
    <row r="22" spans="1:17" x14ac:dyDescent="0.25">
      <c r="A22" s="160">
        <v>424.02</v>
      </c>
      <c r="B22" s="59" t="s">
        <v>866</v>
      </c>
      <c r="C22" s="59"/>
      <c r="D22" s="111">
        <v>2103</v>
      </c>
      <c r="E22" s="111">
        <f t="shared" si="1"/>
        <v>0</v>
      </c>
      <c r="F22" s="111">
        <v>2103</v>
      </c>
      <c r="H22" s="269" t="s">
        <v>1176</v>
      </c>
      <c r="J22" s="69"/>
      <c r="K22" s="300"/>
      <c r="L22" s="301"/>
      <c r="M22" s="301"/>
      <c r="P22" s="301"/>
      <c r="Q22" s="301"/>
    </row>
    <row r="23" spans="1:17" x14ac:dyDescent="0.25">
      <c r="A23" s="160">
        <v>424.02</v>
      </c>
      <c r="B23" s="59" t="s">
        <v>883</v>
      </c>
      <c r="C23" s="59"/>
      <c r="D23" s="111">
        <v>0</v>
      </c>
      <c r="E23" s="111">
        <f t="shared" si="1"/>
        <v>0</v>
      </c>
      <c r="F23" s="111">
        <v>0</v>
      </c>
      <c r="H23" s="269" t="s">
        <v>1175</v>
      </c>
      <c r="J23" s="69"/>
      <c r="K23" s="300"/>
      <c r="L23" s="301"/>
      <c r="M23" s="301"/>
      <c r="P23" s="301"/>
      <c r="Q23" s="301"/>
    </row>
    <row r="24" spans="1:17" x14ac:dyDescent="0.25">
      <c r="A24" s="156">
        <v>424.03</v>
      </c>
      <c r="B24" s="59" t="s">
        <v>136</v>
      </c>
      <c r="C24" s="59"/>
      <c r="D24" s="111">
        <v>252135</v>
      </c>
      <c r="E24" s="111">
        <f t="shared" si="1"/>
        <v>0</v>
      </c>
      <c r="F24" s="111">
        <v>252135</v>
      </c>
      <c r="H24" s="269" t="s">
        <v>1174</v>
      </c>
      <c r="J24" s="69"/>
      <c r="K24" s="300"/>
      <c r="L24" s="301"/>
      <c r="M24" s="301"/>
      <c r="P24" s="301"/>
      <c r="Q24" s="301"/>
    </row>
    <row r="25" spans="1:17" x14ac:dyDescent="0.25">
      <c r="A25" s="156">
        <v>424.03</v>
      </c>
      <c r="B25" s="59" t="s">
        <v>8</v>
      </c>
      <c r="C25" s="59"/>
      <c r="D25" s="111">
        <v>134472</v>
      </c>
      <c r="E25" s="111">
        <f t="shared" si="1"/>
        <v>0</v>
      </c>
      <c r="F25" s="111">
        <v>134472</v>
      </c>
      <c r="H25" s="269" t="s">
        <v>144</v>
      </c>
      <c r="J25" s="69"/>
      <c r="K25" s="300"/>
      <c r="L25" s="301"/>
      <c r="M25" s="301"/>
      <c r="P25" s="301"/>
      <c r="Q25" s="301"/>
    </row>
    <row r="26" spans="1:17" x14ac:dyDescent="0.25">
      <c r="A26" s="160">
        <v>424.04</v>
      </c>
      <c r="B26" s="59" t="s">
        <v>137</v>
      </c>
      <c r="C26" s="59"/>
      <c r="D26" s="297">
        <v>4193</v>
      </c>
      <c r="E26" s="111">
        <f t="shared" si="1"/>
        <v>0</v>
      </c>
      <c r="F26" s="297">
        <v>4193</v>
      </c>
      <c r="H26" s="269" t="s">
        <v>1177</v>
      </c>
      <c r="J26" s="69"/>
      <c r="K26" s="300"/>
      <c r="L26" s="301"/>
      <c r="M26" s="301"/>
      <c r="P26" s="301"/>
      <c r="Q26" s="301"/>
    </row>
    <row r="27" spans="1:17" x14ac:dyDescent="0.25">
      <c r="A27" s="160">
        <v>424.04</v>
      </c>
      <c r="B27" s="59" t="s">
        <v>9</v>
      </c>
      <c r="C27" s="59"/>
      <c r="D27" s="111">
        <v>9731</v>
      </c>
      <c r="E27" s="111">
        <f t="shared" si="1"/>
        <v>0</v>
      </c>
      <c r="F27" s="111">
        <v>9731</v>
      </c>
      <c r="H27" s="269" t="s">
        <v>144</v>
      </c>
      <c r="J27" s="69"/>
      <c r="K27" s="300"/>
      <c r="L27" s="301"/>
      <c r="M27" s="301"/>
      <c r="P27" s="301"/>
      <c r="Q27" s="301"/>
    </row>
    <row r="28" spans="1:17" x14ac:dyDescent="0.25">
      <c r="A28" s="160">
        <v>424.05</v>
      </c>
      <c r="B28" s="59" t="s">
        <v>178</v>
      </c>
      <c r="C28" s="59"/>
      <c r="D28" s="111">
        <v>0</v>
      </c>
      <c r="E28" s="111">
        <f t="shared" si="1"/>
        <v>180</v>
      </c>
      <c r="F28" s="111">
        <v>180</v>
      </c>
      <c r="H28" s="269" t="s">
        <v>1178</v>
      </c>
      <c r="J28" s="69"/>
      <c r="K28" s="300"/>
      <c r="L28" s="301"/>
      <c r="M28" s="301"/>
      <c r="P28" s="301"/>
      <c r="Q28" s="301"/>
    </row>
    <row r="29" spans="1:17" x14ac:dyDescent="0.25">
      <c r="A29" s="160">
        <v>424.05</v>
      </c>
      <c r="B29" s="59" t="s">
        <v>703</v>
      </c>
      <c r="C29" s="59"/>
      <c r="D29" s="111">
        <v>0</v>
      </c>
      <c r="E29" s="111">
        <f t="shared" si="1"/>
        <v>0</v>
      </c>
      <c r="F29" s="111">
        <v>0</v>
      </c>
      <c r="H29" s="269" t="s">
        <v>144</v>
      </c>
      <c r="J29" s="69"/>
      <c r="K29" s="300"/>
      <c r="L29" s="301"/>
      <c r="M29" s="301"/>
      <c r="P29" s="301"/>
      <c r="Q29" s="301"/>
    </row>
    <row r="30" spans="1:17" x14ac:dyDescent="0.25">
      <c r="A30" s="160">
        <v>424.06</v>
      </c>
      <c r="B30" s="59" t="s">
        <v>865</v>
      </c>
      <c r="C30" s="59"/>
      <c r="D30" s="111">
        <v>1483</v>
      </c>
      <c r="E30" s="298">
        <f t="shared" si="1"/>
        <v>0</v>
      </c>
      <c r="F30" s="111">
        <v>1483</v>
      </c>
      <c r="H30" s="269" t="s">
        <v>1179</v>
      </c>
      <c r="J30" s="69"/>
      <c r="K30" s="300"/>
      <c r="L30" s="301"/>
      <c r="M30" s="301"/>
      <c r="P30" s="301"/>
      <c r="Q30" s="301"/>
    </row>
    <row r="31" spans="1:17" x14ac:dyDescent="0.25">
      <c r="A31" s="160">
        <v>424.06</v>
      </c>
      <c r="B31" s="59" t="s">
        <v>864</v>
      </c>
      <c r="C31" s="59"/>
      <c r="D31" s="298">
        <v>8023</v>
      </c>
      <c r="E31" s="111">
        <f t="shared" si="1"/>
        <v>0</v>
      </c>
      <c r="F31" s="298">
        <v>8023</v>
      </c>
      <c r="H31" s="269" t="s">
        <v>144</v>
      </c>
      <c r="J31" s="69"/>
      <c r="K31" s="300"/>
      <c r="L31" s="301"/>
      <c r="M31" s="301"/>
      <c r="P31" s="301"/>
      <c r="Q31" s="301"/>
    </row>
    <row r="32" spans="1:17" ht="13.8" thickBot="1" x14ac:dyDescent="0.3">
      <c r="A32" s="160"/>
      <c r="B32" s="160" t="s">
        <v>690</v>
      </c>
      <c r="D32" s="111">
        <f>SUM(D20:D31)</f>
        <v>571000</v>
      </c>
      <c r="E32" s="224">
        <f t="shared" si="1"/>
        <v>180</v>
      </c>
      <c r="F32" s="111">
        <f>SUM(F20:F31)</f>
        <v>571180</v>
      </c>
      <c r="G32" s="160"/>
      <c r="H32" s="160"/>
      <c r="I32" s="160"/>
      <c r="J32" s="69"/>
      <c r="K32" s="300"/>
      <c r="L32" s="301"/>
      <c r="M32" s="301"/>
      <c r="P32" s="301"/>
      <c r="Q32" s="301"/>
    </row>
    <row r="33" spans="1:17" ht="13.8" thickTop="1" x14ac:dyDescent="0.25">
      <c r="A33" s="59"/>
      <c r="G33" s="59"/>
      <c r="I33" s="59"/>
      <c r="J33" s="69"/>
      <c r="K33" s="300"/>
      <c r="L33" s="301"/>
      <c r="M33" s="301"/>
      <c r="P33" s="301"/>
      <c r="Q33" s="301"/>
    </row>
    <row r="34" spans="1:17" ht="39" customHeight="1" x14ac:dyDescent="0.25">
      <c r="A34" s="69"/>
      <c r="B34" s="69"/>
      <c r="C34" s="69"/>
      <c r="D34" s="69"/>
      <c r="E34" s="69"/>
      <c r="F34" s="69"/>
      <c r="G34" s="69"/>
      <c r="H34" s="69"/>
      <c r="I34" s="69"/>
      <c r="J34" s="69"/>
    </row>
  </sheetData>
  <phoneticPr fontId="6" type="noConversion"/>
  <pageMargins left="0.48" right="0.22" top="0.49" bottom="0.37" header="0.16" footer="0.25"/>
  <pageSetup scale="57" orientation="portrait" horizontalDpi="300" verticalDpi="300" r:id="rId1"/>
  <headerFooter alignWithMargins="0">
    <oddHeader>&amp;R&amp;A</oddHeader>
    <oddFooter>&amp;L&amp;8&amp;Z&amp;F&amp;A&amp;R&amp;8&amp;T &amp;D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G36"/>
  <sheetViews>
    <sheetView showGridLines="0" zoomScale="80" zoomScaleNormal="80" workbookViewId="0"/>
  </sheetViews>
  <sheetFormatPr defaultColWidth="9.08984375" defaultRowHeight="13.2" x14ac:dyDescent="0.25"/>
  <cols>
    <col min="1" max="1" width="33.90625" style="267" customWidth="1"/>
    <col min="2" max="2" width="37.453125" style="267" customWidth="1"/>
    <col min="3" max="3" width="18" style="267" customWidth="1"/>
    <col min="4" max="4" width="14.54296875" style="267" customWidth="1"/>
    <col min="5" max="5" width="17.08984375" style="267" customWidth="1"/>
    <col min="6" max="6" width="56.08984375" style="267" customWidth="1"/>
    <col min="7" max="7" width="9.08984375" style="267" customWidth="1"/>
    <col min="8" max="16384" width="9.08984375" style="267"/>
  </cols>
  <sheetData>
    <row r="1" spans="1:7" ht="20.100000000000001" customHeight="1" x14ac:dyDescent="0.25">
      <c r="A1" s="454" t="s">
        <v>882</v>
      </c>
      <c r="B1" s="386"/>
      <c r="C1" s="386"/>
      <c r="D1" s="386"/>
      <c r="E1" s="386"/>
      <c r="F1" s="386"/>
      <c r="G1" s="69"/>
    </row>
    <row r="2" spans="1:7" ht="20.100000000000001" customHeight="1" x14ac:dyDescent="0.25">
      <c r="A2" s="454" t="s">
        <v>284</v>
      </c>
      <c r="B2" s="386"/>
      <c r="C2" s="386"/>
      <c r="D2" s="386"/>
      <c r="E2" s="386"/>
      <c r="F2" s="386"/>
      <c r="G2" s="69"/>
    </row>
    <row r="3" spans="1:7" ht="20.100000000000001" customHeight="1" x14ac:dyDescent="0.25">
      <c r="A3" s="454" t="s">
        <v>1085</v>
      </c>
      <c r="B3" s="386"/>
      <c r="C3" s="386"/>
      <c r="D3" s="386"/>
      <c r="E3" s="386"/>
      <c r="F3" s="386"/>
      <c r="G3" s="69"/>
    </row>
    <row r="4" spans="1:7" ht="20.100000000000001" customHeight="1" x14ac:dyDescent="0.25">
      <c r="A4" s="386"/>
      <c r="B4" s="386"/>
      <c r="C4" s="386"/>
      <c r="D4" s="386"/>
      <c r="E4" s="386"/>
      <c r="F4" s="386"/>
      <c r="G4" s="69"/>
    </row>
    <row r="5" spans="1:7" ht="20.100000000000001" customHeight="1" x14ac:dyDescent="0.25">
      <c r="A5" s="386"/>
      <c r="B5" s="386"/>
      <c r="C5" s="454"/>
      <c r="D5" s="454"/>
      <c r="E5" s="454"/>
      <c r="F5" s="386"/>
      <c r="G5" s="69"/>
    </row>
    <row r="6" spans="1:7" ht="20.100000000000001" customHeight="1" x14ac:dyDescent="0.25">
      <c r="A6" s="454"/>
      <c r="B6" s="454"/>
      <c r="C6" s="455" t="s">
        <v>299</v>
      </c>
      <c r="D6" s="455" t="s">
        <v>146</v>
      </c>
      <c r="E6" s="455" t="str">
        <f>+'S1 VEC Master Summary'!E4</f>
        <v>ADJ Test Year</v>
      </c>
      <c r="F6" s="386"/>
      <c r="G6" s="69"/>
    </row>
    <row r="7" spans="1:7" ht="20.100000000000001" customHeight="1" x14ac:dyDescent="0.25">
      <c r="A7" s="474" t="s">
        <v>72</v>
      </c>
      <c r="B7" s="474" t="s">
        <v>311</v>
      </c>
      <c r="C7" s="475" t="str">
        <f>+'S1 VEC Master Summary'!C5</f>
        <v>7/1/23-6/30/24</v>
      </c>
      <c r="D7" s="475" t="s">
        <v>147</v>
      </c>
      <c r="E7" s="475">
        <f>+'S1 VEC Master Summary'!E5</f>
        <v>2025</v>
      </c>
      <c r="F7" s="457" t="s">
        <v>54</v>
      </c>
      <c r="G7" s="69"/>
    </row>
    <row r="8" spans="1:7" ht="20.100000000000001" customHeight="1" x14ac:dyDescent="0.25">
      <c r="A8" s="478" t="s">
        <v>1006</v>
      </c>
      <c r="B8" s="474"/>
      <c r="C8" s="475"/>
      <c r="D8" s="475"/>
      <c r="E8" s="475"/>
      <c r="F8" s="457"/>
      <c r="G8" s="69"/>
    </row>
    <row r="9" spans="1:7" ht="20.100000000000001" customHeight="1" x14ac:dyDescent="0.25">
      <c r="A9" s="386" t="s">
        <v>17</v>
      </c>
      <c r="B9" s="459" t="s">
        <v>764</v>
      </c>
      <c r="C9" s="460">
        <f>+'S6A Total Payroll by Function'!C13</f>
        <v>123550.90041866573</v>
      </c>
      <c r="D9" s="460">
        <f>+E9-C9</f>
        <v>-13578.964427159211</v>
      </c>
      <c r="E9" s="461">
        <f>+'S6A Total Payroll by Function'!E13</f>
        <v>109971.93599150651</v>
      </c>
      <c r="F9" s="462" t="s">
        <v>231</v>
      </c>
      <c r="G9" s="69"/>
    </row>
    <row r="10" spans="1:7" ht="20.100000000000001" customHeight="1" x14ac:dyDescent="0.25">
      <c r="A10" s="386" t="s">
        <v>17</v>
      </c>
      <c r="B10" s="459" t="s">
        <v>1091</v>
      </c>
      <c r="C10" s="460">
        <f>'S7B Transportation'!B24</f>
        <v>13649</v>
      </c>
      <c r="D10" s="460">
        <f>+E10-C10</f>
        <v>1554</v>
      </c>
      <c r="E10" s="461">
        <f>'S7B Transportation'!F24</f>
        <v>15203</v>
      </c>
      <c r="F10" s="462" t="s">
        <v>1143</v>
      </c>
      <c r="G10" s="69"/>
    </row>
    <row r="11" spans="1:7" ht="20.100000000000001" customHeight="1" x14ac:dyDescent="0.25">
      <c r="A11" s="458"/>
      <c r="B11" s="59"/>
      <c r="C11" s="460"/>
      <c r="D11" s="460"/>
      <c r="E11" s="460"/>
      <c r="F11" s="296"/>
      <c r="G11" s="69"/>
    </row>
    <row r="12" spans="1:7" ht="20.100000000000001" customHeight="1" x14ac:dyDescent="0.25">
      <c r="A12" s="458" t="s">
        <v>1005</v>
      </c>
      <c r="B12" s="386"/>
      <c r="C12" s="386"/>
      <c r="D12" s="386"/>
      <c r="E12" s="386"/>
      <c r="F12" s="386"/>
      <c r="G12" s="69"/>
    </row>
    <row r="13" spans="1:7" ht="20.100000000000001" customHeight="1" x14ac:dyDescent="0.25">
      <c r="A13" s="463" t="s">
        <v>996</v>
      </c>
      <c r="B13" s="386" t="s">
        <v>997</v>
      </c>
      <c r="C13" s="460">
        <f>-SUM('S12 Chart of Accts Trial Bal.'!C6:C12)</f>
        <v>-90275576.939999998</v>
      </c>
      <c r="D13" s="460">
        <f>+E13-C13</f>
        <v>-2979041.0600000024</v>
      </c>
      <c r="E13" s="461">
        <v>-93254618</v>
      </c>
      <c r="F13" s="462" t="s">
        <v>1180</v>
      </c>
      <c r="G13" s="69"/>
    </row>
    <row r="14" spans="1:7" ht="20.100000000000001" customHeight="1" x14ac:dyDescent="0.25">
      <c r="A14" s="464">
        <v>451</v>
      </c>
      <c r="B14" s="386" t="s">
        <v>338</v>
      </c>
      <c r="C14" s="460">
        <f>-'[2]S12 - Chart of Accts Trial Bal.'!C14</f>
        <v>-578137.78</v>
      </c>
      <c r="D14" s="460">
        <f t="shared" ref="D14:D15" si="0">+E14-C14</f>
        <v>89454.780000000028</v>
      </c>
      <c r="E14" s="461">
        <v>-488683</v>
      </c>
      <c r="F14" s="462" t="s">
        <v>1108</v>
      </c>
      <c r="G14" s="69"/>
    </row>
    <row r="15" spans="1:7" ht="20.100000000000001" customHeight="1" x14ac:dyDescent="0.25">
      <c r="A15" s="386" t="s">
        <v>766</v>
      </c>
      <c r="B15" s="459" t="s">
        <v>74</v>
      </c>
      <c r="C15" s="460">
        <f>-SUM('[2]S12 - Chart of Accts Trial Bal.'!C17:C18)</f>
        <v>-1906363.64</v>
      </c>
      <c r="D15" s="460">
        <f t="shared" si="0"/>
        <v>96334.639999999898</v>
      </c>
      <c r="E15" s="461">
        <v>-1810029</v>
      </c>
      <c r="F15" s="462" t="s">
        <v>873</v>
      </c>
      <c r="G15" s="69"/>
    </row>
    <row r="16" spans="1:7" ht="20.100000000000001" customHeight="1" x14ac:dyDescent="0.25">
      <c r="A16" s="464">
        <v>421</v>
      </c>
      <c r="B16" s="459" t="s">
        <v>911</v>
      </c>
      <c r="C16" s="476">
        <f>+'[2]S12 - Chart of Accts Trial Bal.'!C275</f>
        <v>-694299.98</v>
      </c>
      <c r="D16" s="476">
        <f>+E16-C16</f>
        <v>694299.98</v>
      </c>
      <c r="E16" s="477">
        <v>0</v>
      </c>
      <c r="F16" s="462" t="s">
        <v>1029</v>
      </c>
      <c r="G16" s="69"/>
    </row>
    <row r="17" spans="1:7" ht="20.100000000000001" customHeight="1" x14ac:dyDescent="0.25">
      <c r="A17" s="465" t="s">
        <v>872</v>
      </c>
      <c r="B17" s="465"/>
      <c r="C17" s="470">
        <f>SUM(C13:C16)</f>
        <v>-93454378.340000004</v>
      </c>
      <c r="D17" s="470">
        <f>SUM(D13:D16)</f>
        <v>-2098951.6600000025</v>
      </c>
      <c r="E17" s="470">
        <f>SUM(E13:E16)</f>
        <v>-95553330</v>
      </c>
      <c r="F17" s="386"/>
      <c r="G17" s="69"/>
    </row>
    <row r="18" spans="1:7" ht="20.100000000000001" customHeight="1" x14ac:dyDescent="0.25">
      <c r="A18" s="386"/>
      <c r="B18" s="386"/>
      <c r="C18" s="460"/>
      <c r="D18" s="386"/>
      <c r="E18" s="460"/>
      <c r="F18" s="386"/>
      <c r="G18" s="69"/>
    </row>
    <row r="19" spans="1:7" ht="20.100000000000001" customHeight="1" x14ac:dyDescent="0.25">
      <c r="A19" s="467" t="s">
        <v>923</v>
      </c>
      <c r="B19" s="467"/>
      <c r="C19" s="467">
        <f>+C17+C9+C10</f>
        <v>-93317178.439581335</v>
      </c>
      <c r="D19" s="467">
        <f>+D17+D9+D10</f>
        <v>-2110976.6244271616</v>
      </c>
      <c r="E19" s="467">
        <f>+E17+E9+E10</f>
        <v>-95428155.064008489</v>
      </c>
      <c r="F19" s="386"/>
      <c r="G19" s="69"/>
    </row>
    <row r="20" spans="1:7" ht="20.100000000000001" customHeight="1" x14ac:dyDescent="0.25">
      <c r="A20" s="386"/>
      <c r="B20" s="386"/>
      <c r="C20" s="460"/>
      <c r="D20" s="460"/>
      <c r="E20" s="460"/>
      <c r="F20" s="386"/>
      <c r="G20" s="69"/>
    </row>
    <row r="21" spans="1:7" ht="20.100000000000001" customHeight="1" x14ac:dyDescent="0.25">
      <c r="A21" s="468" t="s">
        <v>684</v>
      </c>
      <c r="B21" s="386"/>
      <c r="C21" s="460"/>
      <c r="D21" s="460"/>
      <c r="E21" s="460"/>
      <c r="F21" s="460"/>
      <c r="G21" s="69"/>
    </row>
    <row r="22" spans="1:7" ht="20.100000000000001" customHeight="1" x14ac:dyDescent="0.25">
      <c r="A22" s="386"/>
      <c r="B22" s="386"/>
      <c r="C22" s="455" t="s">
        <v>299</v>
      </c>
      <c r="D22" s="455" t="s">
        <v>146</v>
      </c>
      <c r="E22" s="455" t="s">
        <v>180</v>
      </c>
      <c r="F22" s="460"/>
      <c r="G22" s="69"/>
    </row>
    <row r="23" spans="1:7" ht="20.100000000000001" customHeight="1" x14ac:dyDescent="0.55000000000000004">
      <c r="A23" s="386"/>
      <c r="B23" s="386"/>
      <c r="C23" s="456" t="str">
        <f>+C7</f>
        <v>7/1/23-6/30/24</v>
      </c>
      <c r="D23" s="456" t="s">
        <v>147</v>
      </c>
      <c r="E23" s="456">
        <f>+E7</f>
        <v>2025</v>
      </c>
      <c r="F23" s="460"/>
      <c r="G23" s="69"/>
    </row>
    <row r="24" spans="1:7" ht="20.100000000000001" customHeight="1" x14ac:dyDescent="0.25">
      <c r="A24" s="386" t="s">
        <v>1026</v>
      </c>
      <c r="B24" s="386" t="s">
        <v>775</v>
      </c>
      <c r="C24" s="469">
        <v>-16547</v>
      </c>
      <c r="D24" s="469">
        <f>E24-C24</f>
        <v>0</v>
      </c>
      <c r="E24" s="469">
        <v>-16547</v>
      </c>
      <c r="F24" s="462" t="s">
        <v>1086</v>
      </c>
      <c r="G24" s="69"/>
    </row>
    <row r="25" spans="1:7" ht="20.100000000000001" customHeight="1" x14ac:dyDescent="0.25">
      <c r="A25" s="386" t="s">
        <v>687</v>
      </c>
      <c r="B25" s="386" t="s">
        <v>776</v>
      </c>
      <c r="C25" s="469">
        <v>-172722</v>
      </c>
      <c r="D25" s="469">
        <f t="shared" ref="D25:D30" si="1">E25-C25</f>
        <v>11285</v>
      </c>
      <c r="E25" s="469">
        <v>-161437</v>
      </c>
      <c r="F25" s="462" t="s">
        <v>1087</v>
      </c>
      <c r="G25" s="69"/>
    </row>
    <row r="26" spans="1:7" ht="20.100000000000001" customHeight="1" x14ac:dyDescent="0.25">
      <c r="A26" s="386" t="s">
        <v>687</v>
      </c>
      <c r="B26" s="386" t="s">
        <v>685</v>
      </c>
      <c r="C26" s="469">
        <v>-320197</v>
      </c>
      <c r="D26" s="469">
        <f t="shared" si="1"/>
        <v>20800</v>
      </c>
      <c r="E26" s="469">
        <v>-299397</v>
      </c>
      <c r="F26" s="462" t="s">
        <v>1087</v>
      </c>
      <c r="G26" s="69"/>
    </row>
    <row r="27" spans="1:7" ht="20.100000000000001" customHeight="1" x14ac:dyDescent="0.25">
      <c r="A27" s="386" t="s">
        <v>688</v>
      </c>
      <c r="B27" s="386" t="s">
        <v>775</v>
      </c>
      <c r="C27" s="469">
        <f>-214306-6198</f>
        <v>-220504</v>
      </c>
      <c r="D27" s="469">
        <f t="shared" si="1"/>
        <v>-8766</v>
      </c>
      <c r="E27" s="469">
        <v>-229270</v>
      </c>
      <c r="F27" s="462" t="s">
        <v>1087</v>
      </c>
      <c r="G27" s="69"/>
    </row>
    <row r="28" spans="1:7" ht="20.100000000000001" customHeight="1" x14ac:dyDescent="0.25">
      <c r="A28" s="386" t="s">
        <v>687</v>
      </c>
      <c r="B28" s="386" t="s">
        <v>1024</v>
      </c>
      <c r="C28" s="469">
        <v>-956530</v>
      </c>
      <c r="D28" s="469">
        <f>E28-C28</f>
        <v>77363</v>
      </c>
      <c r="E28" s="469">
        <v>-879167</v>
      </c>
      <c r="F28" s="462" t="s">
        <v>1087</v>
      </c>
      <c r="G28" s="69"/>
    </row>
    <row r="29" spans="1:7" ht="20.100000000000001" customHeight="1" x14ac:dyDescent="0.25">
      <c r="A29" s="386" t="s">
        <v>689</v>
      </c>
      <c r="B29" s="386" t="s">
        <v>1025</v>
      </c>
      <c r="C29" s="469">
        <v>-138350</v>
      </c>
      <c r="D29" s="469">
        <f>E29-C29</f>
        <v>-11067</v>
      </c>
      <c r="E29" s="469">
        <v>-149417</v>
      </c>
      <c r="F29" s="462" t="s">
        <v>1088</v>
      </c>
      <c r="G29" s="69"/>
    </row>
    <row r="30" spans="1:7" ht="20.100000000000001" customHeight="1" x14ac:dyDescent="0.25">
      <c r="A30" s="386" t="s">
        <v>777</v>
      </c>
      <c r="B30" s="386" t="s">
        <v>778</v>
      </c>
      <c r="C30" s="469">
        <v>-28055</v>
      </c>
      <c r="D30" s="469">
        <f t="shared" si="1"/>
        <v>-2445</v>
      </c>
      <c r="E30" s="469">
        <v>-30500</v>
      </c>
      <c r="F30" s="460"/>
      <c r="G30" s="69"/>
    </row>
    <row r="31" spans="1:7" ht="20.100000000000001" customHeight="1" thickBot="1" x14ac:dyDescent="0.3">
      <c r="A31" s="386" t="s">
        <v>686</v>
      </c>
      <c r="B31" s="386"/>
      <c r="C31" s="466">
        <f>SUM(C24:C30)</f>
        <v>-1852905</v>
      </c>
      <c r="D31" s="466">
        <f>SUM(D24:D30)</f>
        <v>87170</v>
      </c>
      <c r="E31" s="466">
        <f>SUM(E24:E30)</f>
        <v>-1765735</v>
      </c>
      <c r="F31" s="460"/>
      <c r="G31" s="69"/>
    </row>
    <row r="32" spans="1:7" ht="20.100000000000001" customHeight="1" thickTop="1" x14ac:dyDescent="0.25">
      <c r="A32" s="386"/>
      <c r="B32" s="386"/>
      <c r="C32" s="469"/>
      <c r="D32" s="469"/>
      <c r="E32" s="470"/>
      <c r="F32" s="460"/>
      <c r="G32" s="69"/>
    </row>
    <row r="33" spans="1:7" ht="20.100000000000001" customHeight="1" x14ac:dyDescent="0.25">
      <c r="A33" s="386" t="s">
        <v>879</v>
      </c>
      <c r="B33" s="386"/>
      <c r="C33" s="471">
        <v>-53459</v>
      </c>
      <c r="D33" s="469">
        <f>E33-C33</f>
        <v>9165</v>
      </c>
      <c r="E33" s="471">
        <v>-44294</v>
      </c>
      <c r="F33" s="472"/>
      <c r="G33" s="69"/>
    </row>
    <row r="34" spans="1:7" ht="20.100000000000001" customHeight="1" thickBot="1" x14ac:dyDescent="0.3">
      <c r="A34" s="386" t="s">
        <v>880</v>
      </c>
      <c r="B34" s="386"/>
      <c r="C34" s="473">
        <f>C31+C33</f>
        <v>-1906364</v>
      </c>
      <c r="D34" s="473">
        <f>+D31+D33</f>
        <v>96335</v>
      </c>
      <c r="E34" s="473">
        <f>E31+E33</f>
        <v>-1810029</v>
      </c>
      <c r="F34" s="460"/>
      <c r="G34" s="69"/>
    </row>
    <row r="35" spans="1:7" ht="13.8" thickTop="1" x14ac:dyDescent="0.25">
      <c r="A35" s="201"/>
      <c r="B35" s="201"/>
      <c r="C35" s="201"/>
      <c r="D35" s="201"/>
      <c r="E35" s="201"/>
      <c r="F35" s="201"/>
      <c r="G35" s="69"/>
    </row>
    <row r="36" spans="1:7" ht="46.2" customHeight="1" x14ac:dyDescent="0.25">
      <c r="A36" s="69"/>
      <c r="B36" s="69"/>
      <c r="C36" s="69"/>
      <c r="D36" s="69"/>
      <c r="E36" s="69"/>
      <c r="F36" s="69"/>
      <c r="G36" s="69"/>
    </row>
  </sheetData>
  <phoneticPr fontId="6" type="noConversion"/>
  <pageMargins left="0.17" right="0.17" top="0.55000000000000004" bottom="1" header="0.39" footer="0.5"/>
  <pageSetup scale="62" orientation="landscape" horizontalDpi="4294967295" verticalDpi="4294967295" r:id="rId1"/>
  <headerFooter alignWithMargins="0">
    <oddHeader xml:space="preserve">&amp;C
&amp;RS-11
</oddHeader>
    <oddFooter>&amp;L&amp;Z&amp;F&amp;R&amp;D&amp;T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E767"/>
  <sheetViews>
    <sheetView workbookViewId="0">
      <selection activeCell="B19" sqref="B19"/>
    </sheetView>
  </sheetViews>
  <sheetFormatPr defaultColWidth="8.90625" defaultRowHeight="15" customHeight="1" x14ac:dyDescent="0.25"/>
  <cols>
    <col min="1" max="1" width="9.90625" style="566" bestFit="1" customWidth="1" collapsed="1"/>
    <col min="2" max="2" width="37.1796875" style="562" customWidth="1"/>
    <col min="3" max="3" width="14.54296875" style="578" bestFit="1" customWidth="1"/>
    <col min="4" max="4" width="8.90625" style="33"/>
    <col min="5" max="5" width="9.90625" style="33" bestFit="1" customWidth="1"/>
    <col min="6" max="16384" width="8.90625" style="33"/>
  </cols>
  <sheetData>
    <row r="1" spans="1:3" ht="15" customHeight="1" x14ac:dyDescent="0.25">
      <c r="A1" s="561" t="s">
        <v>882</v>
      </c>
      <c r="C1" s="225"/>
    </row>
    <row r="2" spans="1:3" ht="15" customHeight="1" x14ac:dyDescent="0.25">
      <c r="A2" s="561" t="s">
        <v>285</v>
      </c>
      <c r="B2" s="563"/>
      <c r="C2" s="564"/>
    </row>
    <row r="3" spans="1:3" ht="15" customHeight="1" x14ac:dyDescent="0.25">
      <c r="A3" s="561" t="s">
        <v>152</v>
      </c>
      <c r="B3" s="563"/>
      <c r="C3" s="565" t="s">
        <v>327</v>
      </c>
    </row>
    <row r="4" spans="1:3" ht="15" customHeight="1" x14ac:dyDescent="0.25">
      <c r="C4" s="567" t="s">
        <v>1063</v>
      </c>
    </row>
    <row r="5" spans="1:3" ht="15" customHeight="1" x14ac:dyDescent="0.25">
      <c r="A5" s="568" t="s">
        <v>328</v>
      </c>
      <c r="B5" s="569" t="s">
        <v>329</v>
      </c>
      <c r="C5" s="202" t="s">
        <v>138</v>
      </c>
    </row>
    <row r="6" spans="1:3" ht="15" customHeight="1" x14ac:dyDescent="0.25">
      <c r="A6" s="252">
        <v>440.01</v>
      </c>
      <c r="B6" s="253" t="s">
        <v>330</v>
      </c>
      <c r="C6" s="226">
        <v>327869</v>
      </c>
    </row>
    <row r="7" spans="1:3" ht="15" customHeight="1" x14ac:dyDescent="0.25">
      <c r="A7" s="252">
        <v>440.1</v>
      </c>
      <c r="B7" s="253" t="s">
        <v>331</v>
      </c>
      <c r="C7" s="226">
        <v>53835198.479999997</v>
      </c>
    </row>
    <row r="8" spans="1:3" ht="15" customHeight="1" x14ac:dyDescent="0.25">
      <c r="A8" s="252">
        <v>440.2</v>
      </c>
      <c r="B8" s="253" t="s">
        <v>332</v>
      </c>
      <c r="C8" s="226">
        <v>0</v>
      </c>
    </row>
    <row r="9" spans="1:3" ht="15" customHeight="1" x14ac:dyDescent="0.25">
      <c r="A9" s="252">
        <v>442.1</v>
      </c>
      <c r="B9" s="253" t="s">
        <v>333</v>
      </c>
      <c r="C9" s="226">
        <v>19838717.73</v>
      </c>
    </row>
    <row r="10" spans="1:3" ht="15" customHeight="1" x14ac:dyDescent="0.25">
      <c r="A10" s="252">
        <v>442.2</v>
      </c>
      <c r="B10" s="253" t="s">
        <v>334</v>
      </c>
      <c r="C10" s="226">
        <v>12738249.029999999</v>
      </c>
    </row>
    <row r="11" spans="1:3" ht="15" customHeight="1" x14ac:dyDescent="0.25">
      <c r="A11" s="252">
        <v>444</v>
      </c>
      <c r="B11" s="253" t="s">
        <v>335</v>
      </c>
      <c r="C11" s="226">
        <v>359729.51</v>
      </c>
    </row>
    <row r="12" spans="1:3" ht="15" customHeight="1" x14ac:dyDescent="0.25">
      <c r="A12" s="252">
        <v>445</v>
      </c>
      <c r="B12" s="253" t="s">
        <v>336</v>
      </c>
      <c r="C12" s="226">
        <v>3175813.19</v>
      </c>
    </row>
    <row r="13" spans="1:3" ht="15" customHeight="1" x14ac:dyDescent="0.25">
      <c r="A13" s="252">
        <v>447.2</v>
      </c>
      <c r="B13" s="253" t="s">
        <v>337</v>
      </c>
      <c r="C13" s="226">
        <v>1504955.51</v>
      </c>
    </row>
    <row r="14" spans="1:3" ht="15" customHeight="1" x14ac:dyDescent="0.25">
      <c r="A14" s="252">
        <v>451</v>
      </c>
      <c r="B14" s="253" t="s">
        <v>338</v>
      </c>
      <c r="C14" s="226">
        <v>578137.78</v>
      </c>
    </row>
    <row r="15" spans="1:3" ht="15" customHeight="1" x14ac:dyDescent="0.25">
      <c r="A15" s="252">
        <v>454</v>
      </c>
      <c r="B15" s="253" t="s">
        <v>73</v>
      </c>
      <c r="C15" s="226">
        <v>415062.77</v>
      </c>
    </row>
    <row r="16" spans="1:3" ht="15" customHeight="1" x14ac:dyDescent="0.25">
      <c r="A16" s="252">
        <v>454.01</v>
      </c>
      <c r="B16" s="253" t="s">
        <v>832</v>
      </c>
      <c r="C16" s="226">
        <v>0</v>
      </c>
    </row>
    <row r="17" spans="1:3" ht="15" customHeight="1" x14ac:dyDescent="0.25">
      <c r="A17" s="252">
        <v>456</v>
      </c>
      <c r="B17" s="253" t="s">
        <v>74</v>
      </c>
      <c r="C17" s="226">
        <v>1846448.64</v>
      </c>
    </row>
    <row r="18" spans="1:3" ht="15" customHeight="1" x14ac:dyDescent="0.25">
      <c r="A18" s="252">
        <v>456.4</v>
      </c>
      <c r="B18" s="253" t="s">
        <v>339</v>
      </c>
      <c r="C18" s="226">
        <v>59915</v>
      </c>
    </row>
    <row r="19" spans="1:3" ht="15" customHeight="1" x14ac:dyDescent="0.25">
      <c r="A19" s="252">
        <v>459</v>
      </c>
      <c r="B19" s="253" t="s">
        <v>340</v>
      </c>
      <c r="C19" s="226">
        <v>4728766</v>
      </c>
    </row>
    <row r="20" spans="1:3" ht="15" customHeight="1" x14ac:dyDescent="0.25">
      <c r="A20" s="570"/>
      <c r="B20" s="571" t="s">
        <v>341</v>
      </c>
      <c r="C20" s="227">
        <f>SUM(C6:C19)</f>
        <v>99408862.640000001</v>
      </c>
    </row>
    <row r="21" spans="1:3" ht="15" customHeight="1" x14ac:dyDescent="0.25">
      <c r="A21" s="252"/>
      <c r="B21" s="572"/>
      <c r="C21" s="227"/>
    </row>
    <row r="22" spans="1:3" ht="15" customHeight="1" x14ac:dyDescent="0.25">
      <c r="A22" s="252">
        <v>546</v>
      </c>
      <c r="B22" s="253" t="s">
        <v>342</v>
      </c>
      <c r="C22" s="226">
        <v>0</v>
      </c>
    </row>
    <row r="23" spans="1:3" ht="15" customHeight="1" x14ac:dyDescent="0.25">
      <c r="A23" s="252">
        <v>548</v>
      </c>
      <c r="B23" s="253" t="s">
        <v>343</v>
      </c>
      <c r="C23" s="226">
        <v>0</v>
      </c>
    </row>
    <row r="24" spans="1:3" ht="15" customHeight="1" x14ac:dyDescent="0.25">
      <c r="A24" s="252">
        <v>548.99</v>
      </c>
      <c r="B24" s="253" t="s">
        <v>344</v>
      </c>
      <c r="C24" s="226">
        <v>0</v>
      </c>
    </row>
    <row r="25" spans="1:3" ht="15" customHeight="1" x14ac:dyDescent="0.25">
      <c r="A25" s="252">
        <v>549</v>
      </c>
      <c r="B25" s="253" t="s">
        <v>345</v>
      </c>
      <c r="C25" s="226">
        <v>0</v>
      </c>
    </row>
    <row r="26" spans="1:3" ht="15" customHeight="1" x14ac:dyDescent="0.25">
      <c r="A26" s="570"/>
      <c r="B26" s="571" t="s">
        <v>346</v>
      </c>
      <c r="C26" s="227">
        <v>0</v>
      </c>
    </row>
    <row r="27" spans="1:3" ht="15" customHeight="1" x14ac:dyDescent="0.25">
      <c r="A27" s="252"/>
      <c r="B27" s="572"/>
      <c r="C27" s="227"/>
    </row>
    <row r="28" spans="1:3" ht="15" customHeight="1" x14ac:dyDescent="0.25">
      <c r="A28" s="252">
        <v>555</v>
      </c>
      <c r="B28" s="253" t="s">
        <v>315</v>
      </c>
      <c r="C28" s="226">
        <v>45257490.509999998</v>
      </c>
    </row>
    <row r="29" spans="1:3" ht="15" customHeight="1" x14ac:dyDescent="0.25">
      <c r="A29" s="252">
        <v>555.1</v>
      </c>
      <c r="B29" s="253" t="s">
        <v>347</v>
      </c>
      <c r="C29" s="226">
        <v>0</v>
      </c>
    </row>
    <row r="30" spans="1:3" ht="15" customHeight="1" x14ac:dyDescent="0.25">
      <c r="A30" s="252">
        <v>556</v>
      </c>
      <c r="B30" s="253" t="s">
        <v>75</v>
      </c>
      <c r="C30" s="226">
        <v>0</v>
      </c>
    </row>
    <row r="31" spans="1:3" ht="15" customHeight="1" x14ac:dyDescent="0.25">
      <c r="A31" s="252">
        <v>557</v>
      </c>
      <c r="B31" s="253" t="s">
        <v>348</v>
      </c>
      <c r="C31" s="226">
        <v>64627.7</v>
      </c>
    </row>
    <row r="32" spans="1:3" ht="15" customHeight="1" x14ac:dyDescent="0.25">
      <c r="A32" s="252">
        <v>557.01</v>
      </c>
      <c r="B32" s="253" t="s">
        <v>801</v>
      </c>
      <c r="C32" s="226">
        <v>77886.44</v>
      </c>
    </row>
    <row r="33" spans="1:3" ht="15" customHeight="1" x14ac:dyDescent="0.25">
      <c r="A33" s="252">
        <v>558</v>
      </c>
      <c r="B33" s="253" t="s">
        <v>707</v>
      </c>
      <c r="C33" s="226">
        <v>0</v>
      </c>
    </row>
    <row r="34" spans="1:3" ht="15" customHeight="1" x14ac:dyDescent="0.25">
      <c r="A34" s="252">
        <v>559</v>
      </c>
      <c r="B34" s="253" t="s">
        <v>349</v>
      </c>
      <c r="C34" s="226">
        <v>51920.32</v>
      </c>
    </row>
    <row r="35" spans="1:3" ht="15" customHeight="1" x14ac:dyDescent="0.25">
      <c r="A35" s="570"/>
      <c r="B35" s="571" t="s">
        <v>346</v>
      </c>
      <c r="C35" s="227">
        <f>SUM(C28:C34)</f>
        <v>45451924.969999999</v>
      </c>
    </row>
    <row r="36" spans="1:3" ht="15" customHeight="1" x14ac:dyDescent="0.25">
      <c r="A36" s="252"/>
      <c r="B36" s="572"/>
      <c r="C36" s="227"/>
    </row>
    <row r="37" spans="1:3" ht="15" customHeight="1" x14ac:dyDescent="0.25">
      <c r="A37" s="252">
        <v>560</v>
      </c>
      <c r="B37" s="253" t="s">
        <v>0</v>
      </c>
      <c r="C37" s="226">
        <v>100964.47</v>
      </c>
    </row>
    <row r="38" spans="1:3" ht="15" customHeight="1" x14ac:dyDescent="0.25">
      <c r="A38" s="252">
        <v>560.12</v>
      </c>
      <c r="B38" s="253" t="s">
        <v>350</v>
      </c>
      <c r="C38" s="226">
        <v>0</v>
      </c>
    </row>
    <row r="39" spans="1:3" ht="15" customHeight="1" x14ac:dyDescent="0.25">
      <c r="A39" s="252">
        <v>561</v>
      </c>
      <c r="B39" s="253" t="s">
        <v>1</v>
      </c>
      <c r="C39" s="226">
        <v>730560.08</v>
      </c>
    </row>
    <row r="40" spans="1:3" ht="15" customHeight="1" x14ac:dyDescent="0.25">
      <c r="A40" s="252">
        <v>561.01</v>
      </c>
      <c r="B40" s="253" t="s">
        <v>351</v>
      </c>
      <c r="C40" s="226">
        <v>172352.1</v>
      </c>
    </row>
    <row r="41" spans="1:3" ht="15" customHeight="1" x14ac:dyDescent="0.25">
      <c r="A41" s="252">
        <v>562</v>
      </c>
      <c r="B41" s="253" t="s">
        <v>352</v>
      </c>
      <c r="C41" s="226">
        <v>66114.2</v>
      </c>
    </row>
    <row r="42" spans="1:3" ht="15" customHeight="1" x14ac:dyDescent="0.25">
      <c r="A42" s="252">
        <v>562.12</v>
      </c>
      <c r="B42" s="253" t="s">
        <v>353</v>
      </c>
      <c r="C42" s="226">
        <v>8204.16</v>
      </c>
    </row>
    <row r="43" spans="1:3" ht="15" customHeight="1" x14ac:dyDescent="0.25">
      <c r="A43" s="252">
        <v>563</v>
      </c>
      <c r="B43" s="253" t="s">
        <v>354</v>
      </c>
      <c r="C43" s="226">
        <v>20004.71</v>
      </c>
    </row>
    <row r="44" spans="1:3" ht="15" customHeight="1" x14ac:dyDescent="0.25">
      <c r="A44" s="252">
        <v>563.12</v>
      </c>
      <c r="B44" s="253" t="s">
        <v>355</v>
      </c>
      <c r="C44" s="226">
        <v>1311.46</v>
      </c>
    </row>
    <row r="45" spans="1:3" ht="15" customHeight="1" x14ac:dyDescent="0.25">
      <c r="A45" s="252">
        <v>563.99</v>
      </c>
      <c r="B45" s="253" t="s">
        <v>356</v>
      </c>
      <c r="C45" s="226">
        <v>292297.78999999998</v>
      </c>
    </row>
    <row r="46" spans="1:3" ht="15" customHeight="1" x14ac:dyDescent="0.25">
      <c r="A46" s="252">
        <v>565</v>
      </c>
      <c r="B46" s="253" t="s">
        <v>76</v>
      </c>
      <c r="C46" s="226">
        <v>14252777.140000001</v>
      </c>
    </row>
    <row r="47" spans="1:3" ht="15" customHeight="1" x14ac:dyDescent="0.25">
      <c r="A47" s="252">
        <v>565.1</v>
      </c>
      <c r="B47" s="253" t="s">
        <v>357</v>
      </c>
      <c r="C47" s="226">
        <v>536738.91</v>
      </c>
    </row>
    <row r="48" spans="1:3" ht="15" customHeight="1" x14ac:dyDescent="0.25">
      <c r="A48" s="252">
        <v>565.29999999999995</v>
      </c>
      <c r="B48" s="253" t="s">
        <v>358</v>
      </c>
      <c r="C48" s="226">
        <v>0</v>
      </c>
    </row>
    <row r="49" spans="1:3" ht="15" customHeight="1" x14ac:dyDescent="0.25">
      <c r="A49" s="252">
        <v>565.4</v>
      </c>
      <c r="B49" s="253" t="s">
        <v>359</v>
      </c>
      <c r="C49" s="226">
        <v>59915.48</v>
      </c>
    </row>
    <row r="50" spans="1:3" ht="15" customHeight="1" x14ac:dyDescent="0.25">
      <c r="A50" s="252">
        <v>566</v>
      </c>
      <c r="B50" s="253" t="s">
        <v>2</v>
      </c>
      <c r="C50" s="226">
        <v>0</v>
      </c>
    </row>
    <row r="51" spans="1:3" ht="15" customHeight="1" x14ac:dyDescent="0.25">
      <c r="A51" s="252">
        <v>568</v>
      </c>
      <c r="B51" s="253" t="s">
        <v>360</v>
      </c>
      <c r="C51" s="226">
        <v>71858.8</v>
      </c>
    </row>
    <row r="52" spans="1:3" ht="15" customHeight="1" x14ac:dyDescent="0.25">
      <c r="A52" s="252">
        <v>568.12</v>
      </c>
      <c r="B52" s="253" t="s">
        <v>361</v>
      </c>
      <c r="C52" s="226">
        <v>0</v>
      </c>
    </row>
    <row r="53" spans="1:3" ht="15" customHeight="1" x14ac:dyDescent="0.25">
      <c r="A53" s="252">
        <v>570</v>
      </c>
      <c r="B53" s="253" t="s">
        <v>362</v>
      </c>
      <c r="C53" s="226">
        <v>0</v>
      </c>
    </row>
    <row r="54" spans="1:3" ht="15" customHeight="1" x14ac:dyDescent="0.25">
      <c r="A54" s="252">
        <v>570.01</v>
      </c>
      <c r="B54" s="253" t="s">
        <v>363</v>
      </c>
      <c r="C54" s="226">
        <v>40634.51</v>
      </c>
    </row>
    <row r="55" spans="1:3" ht="15" customHeight="1" x14ac:dyDescent="0.25">
      <c r="A55" s="252">
        <v>570.12</v>
      </c>
      <c r="B55" s="253" t="s">
        <v>364</v>
      </c>
      <c r="C55" s="226">
        <v>0</v>
      </c>
    </row>
    <row r="56" spans="1:3" ht="15" customHeight="1" x14ac:dyDescent="0.25">
      <c r="A56" s="252">
        <v>571</v>
      </c>
      <c r="B56" s="253" t="s">
        <v>4</v>
      </c>
      <c r="C56" s="226">
        <v>3597.24</v>
      </c>
    </row>
    <row r="57" spans="1:3" ht="15" customHeight="1" x14ac:dyDescent="0.25">
      <c r="A57" s="252">
        <v>571.02</v>
      </c>
      <c r="B57" s="253" t="s">
        <v>365</v>
      </c>
      <c r="C57" s="226">
        <v>2980.49</v>
      </c>
    </row>
    <row r="58" spans="1:3" ht="15" customHeight="1" x14ac:dyDescent="0.25">
      <c r="A58" s="252">
        <v>571.1</v>
      </c>
      <c r="B58" s="253" t="s">
        <v>5</v>
      </c>
      <c r="C58" s="226">
        <v>599.54</v>
      </c>
    </row>
    <row r="59" spans="1:3" ht="15" customHeight="1" x14ac:dyDescent="0.25">
      <c r="A59" s="252">
        <v>571.12</v>
      </c>
      <c r="B59" s="253" t="s">
        <v>366</v>
      </c>
      <c r="C59" s="226">
        <v>23351.48</v>
      </c>
    </row>
    <row r="60" spans="1:3" ht="15" customHeight="1" x14ac:dyDescent="0.25">
      <c r="A60" s="252">
        <v>571.20000000000005</v>
      </c>
      <c r="B60" s="253" t="s">
        <v>6</v>
      </c>
      <c r="C60" s="226">
        <v>192565.32</v>
      </c>
    </row>
    <row r="61" spans="1:3" ht="15" customHeight="1" x14ac:dyDescent="0.25">
      <c r="A61" s="252">
        <v>571.29999999999995</v>
      </c>
      <c r="B61" s="253" t="s">
        <v>367</v>
      </c>
      <c r="C61" s="226">
        <v>109314.93</v>
      </c>
    </row>
    <row r="62" spans="1:3" ht="15" customHeight="1" x14ac:dyDescent="0.25">
      <c r="A62" s="570"/>
      <c r="B62" s="571" t="s">
        <v>368</v>
      </c>
      <c r="C62" s="227">
        <f>SUM(C37:C61)</f>
        <v>16686142.810000001</v>
      </c>
    </row>
    <row r="63" spans="1:3" ht="15" customHeight="1" x14ac:dyDescent="0.25">
      <c r="A63" s="570"/>
      <c r="B63" s="571"/>
      <c r="C63" s="227"/>
    </row>
    <row r="64" spans="1:3" ht="15" customHeight="1" x14ac:dyDescent="0.25">
      <c r="A64" s="570"/>
      <c r="B64" s="571" t="s">
        <v>369</v>
      </c>
      <c r="C64" s="227">
        <f>+C20-C35-C62</f>
        <v>37270794.859999999</v>
      </c>
    </row>
    <row r="65" spans="1:3" ht="15" customHeight="1" x14ac:dyDescent="0.25">
      <c r="A65" s="252"/>
      <c r="B65" s="572"/>
      <c r="C65" s="227"/>
    </row>
    <row r="66" spans="1:3" ht="15" customHeight="1" x14ac:dyDescent="0.25">
      <c r="A66" s="252">
        <v>580</v>
      </c>
      <c r="B66" s="253" t="s">
        <v>10</v>
      </c>
      <c r="C66" s="226">
        <v>338420.11</v>
      </c>
    </row>
    <row r="67" spans="1:3" ht="15" customHeight="1" x14ac:dyDescent="0.25">
      <c r="A67" s="252">
        <v>580.1</v>
      </c>
      <c r="B67" s="253" t="s">
        <v>833</v>
      </c>
      <c r="C67" s="226">
        <v>0</v>
      </c>
    </row>
    <row r="68" spans="1:3" ht="15" customHeight="1" x14ac:dyDescent="0.25">
      <c r="A68" s="252">
        <v>581</v>
      </c>
      <c r="B68" s="253" t="s">
        <v>14</v>
      </c>
      <c r="C68" s="226">
        <v>756825.97</v>
      </c>
    </row>
    <row r="69" spans="1:3" ht="15" customHeight="1" x14ac:dyDescent="0.25">
      <c r="A69" s="252">
        <v>581.01</v>
      </c>
      <c r="B69" s="253" t="s">
        <v>370</v>
      </c>
      <c r="C69" s="226">
        <v>182915.58</v>
      </c>
    </row>
    <row r="70" spans="1:3" ht="15" customHeight="1" x14ac:dyDescent="0.25">
      <c r="A70" s="252">
        <v>582</v>
      </c>
      <c r="B70" s="253" t="s">
        <v>371</v>
      </c>
      <c r="C70" s="226">
        <v>306856.09999999998</v>
      </c>
    </row>
    <row r="71" spans="1:3" ht="15" customHeight="1" x14ac:dyDescent="0.25">
      <c r="A71" s="252">
        <v>582.1</v>
      </c>
      <c r="B71" s="253" t="s">
        <v>372</v>
      </c>
      <c r="C71" s="226">
        <v>0</v>
      </c>
    </row>
    <row r="72" spans="1:3" ht="15" customHeight="1" x14ac:dyDescent="0.25">
      <c r="A72" s="252">
        <v>582.99</v>
      </c>
      <c r="B72" s="253" t="s">
        <v>373</v>
      </c>
      <c r="C72" s="226">
        <v>379591.19</v>
      </c>
    </row>
    <row r="73" spans="1:3" ht="15" customHeight="1" x14ac:dyDescent="0.25">
      <c r="A73" s="252">
        <v>583</v>
      </c>
      <c r="B73" s="253" t="s">
        <v>77</v>
      </c>
      <c r="C73" s="226">
        <v>1454339.95</v>
      </c>
    </row>
    <row r="74" spans="1:3" ht="15" customHeight="1" x14ac:dyDescent="0.25">
      <c r="A74" s="252">
        <v>583.01</v>
      </c>
      <c r="B74" s="253" t="s">
        <v>78</v>
      </c>
      <c r="C74" s="226">
        <v>3318.44</v>
      </c>
    </row>
    <row r="75" spans="1:3" ht="15" customHeight="1" x14ac:dyDescent="0.25">
      <c r="A75" s="252">
        <v>583.02</v>
      </c>
      <c r="B75" s="253" t="s">
        <v>374</v>
      </c>
      <c r="C75" s="226">
        <v>8705</v>
      </c>
    </row>
    <row r="76" spans="1:3" ht="15" customHeight="1" x14ac:dyDescent="0.25">
      <c r="A76" s="252">
        <v>583.1</v>
      </c>
      <c r="B76" s="253" t="s">
        <v>375</v>
      </c>
      <c r="C76" s="226">
        <v>0</v>
      </c>
    </row>
    <row r="77" spans="1:3" ht="15" customHeight="1" x14ac:dyDescent="0.25">
      <c r="A77" s="252">
        <v>583.99</v>
      </c>
      <c r="B77" s="253" t="s">
        <v>376</v>
      </c>
      <c r="C77" s="226">
        <v>3144022.65</v>
      </c>
    </row>
    <row r="78" spans="1:3" ht="15" customHeight="1" x14ac:dyDescent="0.25">
      <c r="A78" s="252">
        <v>584</v>
      </c>
      <c r="B78" s="253" t="s">
        <v>79</v>
      </c>
      <c r="C78" s="226">
        <v>1186.8499999999999</v>
      </c>
    </row>
    <row r="79" spans="1:3" ht="15" customHeight="1" x14ac:dyDescent="0.25">
      <c r="A79" s="252">
        <v>584.01</v>
      </c>
      <c r="B79" s="253" t="s">
        <v>377</v>
      </c>
      <c r="C79" s="226">
        <v>114523.64</v>
      </c>
    </row>
    <row r="80" spans="1:3" ht="15" customHeight="1" x14ac:dyDescent="0.25">
      <c r="A80" s="252">
        <v>586</v>
      </c>
      <c r="B80" s="253" t="s">
        <v>15</v>
      </c>
      <c r="C80" s="226">
        <v>696509.21</v>
      </c>
    </row>
    <row r="81" spans="1:3" ht="15" customHeight="1" x14ac:dyDescent="0.25">
      <c r="A81" s="252">
        <v>586.20000000000005</v>
      </c>
      <c r="B81" s="253" t="s">
        <v>378</v>
      </c>
      <c r="C81" s="226">
        <v>0</v>
      </c>
    </row>
    <row r="82" spans="1:3" ht="15" customHeight="1" x14ac:dyDescent="0.25">
      <c r="A82" s="252">
        <v>586.99</v>
      </c>
      <c r="B82" s="253" t="s">
        <v>379</v>
      </c>
      <c r="C82" s="226">
        <v>11620.16</v>
      </c>
    </row>
    <row r="83" spans="1:3" ht="15" customHeight="1" x14ac:dyDescent="0.25">
      <c r="A83" s="252">
        <v>587</v>
      </c>
      <c r="B83" s="253" t="s">
        <v>80</v>
      </c>
      <c r="C83" s="226">
        <v>7208.66</v>
      </c>
    </row>
    <row r="84" spans="1:3" ht="15" customHeight="1" x14ac:dyDescent="0.25">
      <c r="A84" s="252">
        <v>587.29999999999995</v>
      </c>
      <c r="B84" s="253" t="s">
        <v>380</v>
      </c>
      <c r="C84" s="226">
        <v>0</v>
      </c>
    </row>
    <row r="85" spans="1:3" ht="15" customHeight="1" x14ac:dyDescent="0.25">
      <c r="A85" s="252">
        <v>587.70000000000005</v>
      </c>
      <c r="B85" s="253" t="s">
        <v>16</v>
      </c>
      <c r="C85" s="226">
        <v>0</v>
      </c>
    </row>
    <row r="86" spans="1:3" ht="15" customHeight="1" x14ac:dyDescent="0.25">
      <c r="A86" s="252">
        <v>588</v>
      </c>
      <c r="B86" s="253" t="s">
        <v>381</v>
      </c>
      <c r="C86" s="226">
        <v>0</v>
      </c>
    </row>
    <row r="87" spans="1:3" ht="15" customHeight="1" x14ac:dyDescent="0.25">
      <c r="A87" s="252">
        <v>588.1</v>
      </c>
      <c r="B87" s="253" t="s">
        <v>81</v>
      </c>
      <c r="C87" s="226">
        <v>165165.26999999999</v>
      </c>
    </row>
    <row r="88" spans="1:3" ht="15" customHeight="1" x14ac:dyDescent="0.25">
      <c r="A88" s="252">
        <v>588.5</v>
      </c>
      <c r="B88" s="253" t="s">
        <v>382</v>
      </c>
      <c r="C88" s="226">
        <v>10515</v>
      </c>
    </row>
    <row r="89" spans="1:3" ht="15" customHeight="1" x14ac:dyDescent="0.25">
      <c r="A89" s="252">
        <v>588.6</v>
      </c>
      <c r="B89" s="253" t="s">
        <v>383</v>
      </c>
      <c r="C89" s="226">
        <v>-474.39</v>
      </c>
    </row>
    <row r="90" spans="1:3" ht="15" customHeight="1" x14ac:dyDescent="0.25">
      <c r="A90" s="252">
        <v>588.61</v>
      </c>
      <c r="B90" s="253" t="s">
        <v>384</v>
      </c>
      <c r="C90" s="226">
        <v>13854.36</v>
      </c>
    </row>
    <row r="91" spans="1:3" ht="15" customHeight="1" x14ac:dyDescent="0.25">
      <c r="A91" s="252">
        <v>588.62</v>
      </c>
      <c r="B91" s="253" t="s">
        <v>385</v>
      </c>
      <c r="C91" s="226">
        <v>1657.52</v>
      </c>
    </row>
    <row r="92" spans="1:3" ht="15" customHeight="1" x14ac:dyDescent="0.25">
      <c r="A92" s="252">
        <v>588.63</v>
      </c>
      <c r="B92" s="253" t="s">
        <v>386</v>
      </c>
      <c r="C92" s="226">
        <v>14120.45</v>
      </c>
    </row>
    <row r="93" spans="1:3" ht="15" customHeight="1" x14ac:dyDescent="0.25">
      <c r="A93" s="252">
        <v>588.70000000000005</v>
      </c>
      <c r="B93" s="253" t="s">
        <v>40</v>
      </c>
      <c r="C93" s="226">
        <v>22872.7</v>
      </c>
    </row>
    <row r="94" spans="1:3" ht="15" customHeight="1" x14ac:dyDescent="0.25">
      <c r="A94" s="252">
        <v>589</v>
      </c>
      <c r="B94" s="253" t="s">
        <v>82</v>
      </c>
      <c r="C94" s="226">
        <v>26503.49</v>
      </c>
    </row>
    <row r="95" spans="1:3" ht="15" customHeight="1" x14ac:dyDescent="0.25">
      <c r="A95" s="570"/>
      <c r="B95" s="571" t="s">
        <v>387</v>
      </c>
      <c r="C95" s="227">
        <f>SUM(C66:C94)</f>
        <v>7660257.9100000001</v>
      </c>
    </row>
    <row r="96" spans="1:3" ht="15" customHeight="1" x14ac:dyDescent="0.25">
      <c r="A96" s="252"/>
      <c r="B96" s="572"/>
      <c r="C96" s="227"/>
    </row>
    <row r="97" spans="1:3" ht="15" customHeight="1" x14ac:dyDescent="0.25">
      <c r="A97" s="252">
        <v>590</v>
      </c>
      <c r="B97" s="253" t="s">
        <v>3</v>
      </c>
      <c r="C97" s="226">
        <v>207315.93</v>
      </c>
    </row>
    <row r="98" spans="1:3" ht="15" customHeight="1" x14ac:dyDescent="0.25">
      <c r="A98" s="252">
        <v>592</v>
      </c>
      <c r="B98" s="253" t="s">
        <v>388</v>
      </c>
      <c r="C98" s="226">
        <v>551261.98</v>
      </c>
    </row>
    <row r="99" spans="1:3" ht="15" customHeight="1" x14ac:dyDescent="0.25">
      <c r="A99" s="252">
        <v>592.01</v>
      </c>
      <c r="B99" s="253" t="s">
        <v>389</v>
      </c>
      <c r="C99" s="226">
        <v>37045.870000000003</v>
      </c>
    </row>
    <row r="100" spans="1:3" ht="15" customHeight="1" x14ac:dyDescent="0.25">
      <c r="A100" s="252">
        <v>592.20000000000005</v>
      </c>
      <c r="B100" s="253" t="s">
        <v>390</v>
      </c>
      <c r="C100" s="226">
        <v>2728.12</v>
      </c>
    </row>
    <row r="101" spans="1:3" ht="15" customHeight="1" x14ac:dyDescent="0.25">
      <c r="A101" s="252">
        <v>593</v>
      </c>
      <c r="B101" s="253" t="s">
        <v>41</v>
      </c>
      <c r="C101" s="226">
        <v>1786305.84</v>
      </c>
    </row>
    <row r="102" spans="1:3" ht="15" customHeight="1" x14ac:dyDescent="0.25">
      <c r="A102" s="252">
        <v>593.1</v>
      </c>
      <c r="B102" s="253" t="s">
        <v>42</v>
      </c>
      <c r="C102" s="226">
        <v>4478584.21</v>
      </c>
    </row>
    <row r="103" spans="1:3" ht="15" customHeight="1" x14ac:dyDescent="0.25">
      <c r="A103" s="252">
        <v>593.11</v>
      </c>
      <c r="B103" s="253" t="s">
        <v>391</v>
      </c>
      <c r="C103" s="226">
        <v>736497.58</v>
      </c>
    </row>
    <row r="104" spans="1:3" ht="15" customHeight="1" x14ac:dyDescent="0.25">
      <c r="A104" s="252">
        <v>593.12</v>
      </c>
      <c r="B104" s="253" t="s">
        <v>392</v>
      </c>
      <c r="C104" s="226">
        <v>-593481.25</v>
      </c>
    </row>
    <row r="105" spans="1:3" ht="15" customHeight="1" x14ac:dyDescent="0.25">
      <c r="A105" s="252">
        <v>593.20000000000005</v>
      </c>
      <c r="B105" s="253" t="s">
        <v>393</v>
      </c>
      <c r="C105" s="226">
        <v>1344187.92</v>
      </c>
    </row>
    <row r="106" spans="1:3" ht="15" customHeight="1" x14ac:dyDescent="0.25">
      <c r="A106" s="252">
        <v>593.21</v>
      </c>
      <c r="B106" s="253" t="s">
        <v>394</v>
      </c>
      <c r="C106" s="226">
        <v>0</v>
      </c>
    </row>
    <row r="107" spans="1:3" ht="15" customHeight="1" x14ac:dyDescent="0.25">
      <c r="A107" s="252">
        <v>593.29999999999995</v>
      </c>
      <c r="B107" s="253" t="s">
        <v>1064</v>
      </c>
      <c r="C107" s="226">
        <v>2583333.0699999998</v>
      </c>
    </row>
    <row r="108" spans="1:3" ht="15" customHeight="1" x14ac:dyDescent="0.25">
      <c r="A108" s="252">
        <v>593.88</v>
      </c>
      <c r="B108" s="253" t="s">
        <v>395</v>
      </c>
      <c r="C108" s="226">
        <v>0</v>
      </c>
    </row>
    <row r="109" spans="1:3" ht="15" customHeight="1" x14ac:dyDescent="0.25">
      <c r="A109" s="252">
        <v>593.9</v>
      </c>
      <c r="B109" s="253" t="s">
        <v>396</v>
      </c>
      <c r="C109" s="226">
        <v>0</v>
      </c>
    </row>
    <row r="110" spans="1:3" ht="15" customHeight="1" x14ac:dyDescent="0.25">
      <c r="A110" s="252">
        <v>594</v>
      </c>
      <c r="B110" s="253" t="s">
        <v>43</v>
      </c>
      <c r="C110" s="226">
        <v>90532.53</v>
      </c>
    </row>
    <row r="111" spans="1:3" ht="15" customHeight="1" x14ac:dyDescent="0.25">
      <c r="A111" s="252">
        <v>595</v>
      </c>
      <c r="B111" s="253" t="s">
        <v>44</v>
      </c>
      <c r="C111" s="226">
        <v>0</v>
      </c>
    </row>
    <row r="112" spans="1:3" ht="15" customHeight="1" x14ac:dyDescent="0.25">
      <c r="A112" s="252">
        <v>596</v>
      </c>
      <c r="B112" s="253" t="s">
        <v>45</v>
      </c>
      <c r="C112" s="226">
        <v>1069.78</v>
      </c>
    </row>
    <row r="113" spans="1:3" ht="15" customHeight="1" x14ac:dyDescent="0.25">
      <c r="A113" s="252">
        <v>597</v>
      </c>
      <c r="B113" s="253" t="s">
        <v>397</v>
      </c>
      <c r="C113" s="226">
        <v>0</v>
      </c>
    </row>
    <row r="114" spans="1:3" ht="15" customHeight="1" x14ac:dyDescent="0.25">
      <c r="A114" s="252">
        <v>598</v>
      </c>
      <c r="B114" s="253" t="s">
        <v>46</v>
      </c>
      <c r="C114" s="226">
        <v>1293.71</v>
      </c>
    </row>
    <row r="115" spans="1:3" ht="15" customHeight="1" x14ac:dyDescent="0.25">
      <c r="A115" s="252">
        <v>598.20000000000005</v>
      </c>
      <c r="B115" s="253" t="s">
        <v>296</v>
      </c>
      <c r="C115" s="226">
        <v>0</v>
      </c>
    </row>
    <row r="116" spans="1:3" ht="15" customHeight="1" x14ac:dyDescent="0.25">
      <c r="A116" s="570"/>
      <c r="B116" s="571" t="s">
        <v>398</v>
      </c>
      <c r="C116" s="227">
        <f>SUM(C97:C115)</f>
        <v>11226675.289999999</v>
      </c>
    </row>
    <row r="117" spans="1:3" ht="15" customHeight="1" x14ac:dyDescent="0.25">
      <c r="A117" s="252"/>
      <c r="B117" s="572"/>
      <c r="C117" s="227"/>
    </row>
    <row r="118" spans="1:3" ht="15" customHeight="1" x14ac:dyDescent="0.25">
      <c r="A118" s="252">
        <v>902</v>
      </c>
      <c r="B118" s="253" t="s">
        <v>47</v>
      </c>
      <c r="C118" s="226">
        <v>39857.51</v>
      </c>
    </row>
    <row r="119" spans="1:3" ht="15" customHeight="1" x14ac:dyDescent="0.25">
      <c r="A119" s="252">
        <v>903</v>
      </c>
      <c r="B119" s="253" t="s">
        <v>85</v>
      </c>
      <c r="C119" s="226">
        <v>1955139.27</v>
      </c>
    </row>
    <row r="120" spans="1:3" ht="15" customHeight="1" x14ac:dyDescent="0.25">
      <c r="A120" s="252">
        <v>903.04</v>
      </c>
      <c r="B120" s="253" t="s">
        <v>399</v>
      </c>
      <c r="C120" s="226">
        <v>577735.80000000005</v>
      </c>
    </row>
    <row r="121" spans="1:3" ht="15" customHeight="1" x14ac:dyDescent="0.25">
      <c r="A121" s="252">
        <v>903.1</v>
      </c>
      <c r="B121" s="253" t="s">
        <v>86</v>
      </c>
      <c r="C121" s="226">
        <v>0</v>
      </c>
    </row>
    <row r="122" spans="1:3" ht="15" customHeight="1" x14ac:dyDescent="0.25">
      <c r="A122" s="252">
        <v>903.2</v>
      </c>
      <c r="B122" s="253" t="s">
        <v>48</v>
      </c>
      <c r="C122" s="226">
        <v>107589.09</v>
      </c>
    </row>
    <row r="123" spans="1:3" ht="15" customHeight="1" x14ac:dyDescent="0.25">
      <c r="A123" s="252">
        <v>903.3</v>
      </c>
      <c r="B123" s="253" t="s">
        <v>708</v>
      </c>
      <c r="C123" s="226">
        <v>38860.47</v>
      </c>
    </row>
    <row r="124" spans="1:3" ht="15" customHeight="1" x14ac:dyDescent="0.25">
      <c r="A124" s="252">
        <v>903.99</v>
      </c>
      <c r="B124" s="253" t="s">
        <v>400</v>
      </c>
      <c r="C124" s="226">
        <v>11620.16</v>
      </c>
    </row>
    <row r="125" spans="1:3" ht="15" customHeight="1" x14ac:dyDescent="0.25">
      <c r="A125" s="252">
        <v>904</v>
      </c>
      <c r="B125" s="253" t="s">
        <v>87</v>
      </c>
      <c r="C125" s="226">
        <v>132598</v>
      </c>
    </row>
    <row r="126" spans="1:3" ht="15" customHeight="1" x14ac:dyDescent="0.25">
      <c r="A126" s="252">
        <v>904.1</v>
      </c>
      <c r="B126" s="253" t="s">
        <v>709</v>
      </c>
      <c r="C126" s="226">
        <v>0</v>
      </c>
    </row>
    <row r="127" spans="1:3" ht="15" customHeight="1" x14ac:dyDescent="0.25">
      <c r="A127" s="252">
        <v>905</v>
      </c>
      <c r="B127" s="253" t="s">
        <v>401</v>
      </c>
      <c r="C127" s="226">
        <v>0</v>
      </c>
    </row>
    <row r="128" spans="1:3" ht="15" customHeight="1" x14ac:dyDescent="0.25">
      <c r="A128" s="252">
        <v>908</v>
      </c>
      <c r="B128" s="253" t="s">
        <v>402</v>
      </c>
      <c r="C128" s="226">
        <v>143619.75</v>
      </c>
    </row>
    <row r="129" spans="1:3" ht="15" customHeight="1" x14ac:dyDescent="0.25">
      <c r="A129" s="570"/>
      <c r="B129" s="571" t="s">
        <v>403</v>
      </c>
      <c r="C129" s="227">
        <f>SUM(C118:C128)</f>
        <v>3007020.0500000003</v>
      </c>
    </row>
    <row r="130" spans="1:3" ht="15" customHeight="1" x14ac:dyDescent="0.25">
      <c r="A130" s="570"/>
      <c r="B130" s="571"/>
      <c r="C130" s="227"/>
    </row>
    <row r="131" spans="1:3" ht="15" customHeight="1" x14ac:dyDescent="0.25">
      <c r="A131" s="252">
        <v>912</v>
      </c>
      <c r="B131" s="253" t="s">
        <v>404</v>
      </c>
      <c r="C131" s="226">
        <v>135360.18</v>
      </c>
    </row>
    <row r="132" spans="1:3" ht="15" customHeight="1" x14ac:dyDescent="0.25">
      <c r="A132" s="570"/>
      <c r="B132" s="571" t="s">
        <v>405</v>
      </c>
      <c r="C132" s="227">
        <f>SUM(C131)</f>
        <v>135360.18</v>
      </c>
    </row>
    <row r="133" spans="1:3" ht="15" customHeight="1" x14ac:dyDescent="0.25">
      <c r="A133" s="252"/>
      <c r="B133" s="572"/>
      <c r="C133" s="227"/>
    </row>
    <row r="134" spans="1:3" ht="15" customHeight="1" x14ac:dyDescent="0.25">
      <c r="A134" s="252">
        <v>920</v>
      </c>
      <c r="B134" s="253" t="s">
        <v>88</v>
      </c>
      <c r="C134" s="226">
        <v>1323717.29</v>
      </c>
    </row>
    <row r="135" spans="1:3" ht="15" customHeight="1" x14ac:dyDescent="0.25">
      <c r="A135" s="252">
        <v>920.04</v>
      </c>
      <c r="B135" s="253" t="s">
        <v>89</v>
      </c>
      <c r="C135" s="226">
        <v>5159.7</v>
      </c>
    </row>
    <row r="136" spans="1:3" ht="15" customHeight="1" x14ac:dyDescent="0.25">
      <c r="A136" s="252">
        <v>920.1</v>
      </c>
      <c r="B136" s="253" t="s">
        <v>406</v>
      </c>
      <c r="C136" s="226">
        <v>0</v>
      </c>
    </row>
    <row r="137" spans="1:3" ht="15" customHeight="1" x14ac:dyDescent="0.25">
      <c r="A137" s="252">
        <v>920.2</v>
      </c>
      <c r="B137" s="253" t="s">
        <v>49</v>
      </c>
      <c r="C137" s="226">
        <v>411963.27</v>
      </c>
    </row>
    <row r="138" spans="1:3" ht="15" customHeight="1" x14ac:dyDescent="0.25">
      <c r="A138" s="252">
        <v>920.3</v>
      </c>
      <c r="B138" s="253" t="s">
        <v>50</v>
      </c>
      <c r="C138" s="226">
        <v>0</v>
      </c>
    </row>
    <row r="139" spans="1:3" ht="15" customHeight="1" x14ac:dyDescent="0.25">
      <c r="A139" s="252">
        <v>920.9</v>
      </c>
      <c r="B139" s="253" t="s">
        <v>407</v>
      </c>
      <c r="C139" s="226">
        <v>33111.42</v>
      </c>
    </row>
    <row r="140" spans="1:3" ht="15" customHeight="1" x14ac:dyDescent="0.25">
      <c r="A140" s="252">
        <v>921</v>
      </c>
      <c r="B140" s="253" t="s">
        <v>91</v>
      </c>
      <c r="C140" s="226">
        <v>869789.57</v>
      </c>
    </row>
    <row r="141" spans="1:3" ht="15" customHeight="1" x14ac:dyDescent="0.25">
      <c r="A141" s="252">
        <v>923</v>
      </c>
      <c r="B141" s="253" t="s">
        <v>92</v>
      </c>
      <c r="C141" s="226">
        <v>99924.39</v>
      </c>
    </row>
    <row r="142" spans="1:3" ht="15" customHeight="1" x14ac:dyDescent="0.25">
      <c r="A142" s="252">
        <v>925</v>
      </c>
      <c r="B142" s="253" t="s">
        <v>93</v>
      </c>
      <c r="C142" s="226">
        <v>60767.88</v>
      </c>
    </row>
    <row r="143" spans="1:3" ht="15" customHeight="1" x14ac:dyDescent="0.25">
      <c r="A143" s="252">
        <v>925.01</v>
      </c>
      <c r="B143" s="253" t="s">
        <v>51</v>
      </c>
      <c r="C143" s="226">
        <v>364890.46</v>
      </c>
    </row>
    <row r="144" spans="1:3" ht="15" customHeight="1" x14ac:dyDescent="0.25">
      <c r="A144" s="252">
        <v>925.02</v>
      </c>
      <c r="B144" s="253" t="s">
        <v>408</v>
      </c>
      <c r="C144" s="226">
        <v>0</v>
      </c>
    </row>
    <row r="145" spans="1:3" ht="15" customHeight="1" x14ac:dyDescent="0.25">
      <c r="A145" s="252">
        <v>926.1</v>
      </c>
      <c r="B145" s="253" t="s">
        <v>409</v>
      </c>
      <c r="C145" s="226">
        <v>0</v>
      </c>
    </row>
    <row r="146" spans="1:3" ht="15" customHeight="1" x14ac:dyDescent="0.25">
      <c r="A146" s="252">
        <v>926.6</v>
      </c>
      <c r="B146" s="253" t="s">
        <v>410</v>
      </c>
      <c r="C146" s="226">
        <v>0</v>
      </c>
    </row>
    <row r="147" spans="1:3" ht="15" customHeight="1" x14ac:dyDescent="0.25">
      <c r="A147" s="252">
        <v>927</v>
      </c>
      <c r="B147" s="253" t="s">
        <v>411</v>
      </c>
      <c r="C147" s="226">
        <v>0</v>
      </c>
    </row>
    <row r="148" spans="1:3" ht="15" customHeight="1" x14ac:dyDescent="0.25">
      <c r="A148" s="252">
        <v>928</v>
      </c>
      <c r="B148" s="253" t="s">
        <v>279</v>
      </c>
      <c r="C148" s="226">
        <v>171592.37</v>
      </c>
    </row>
    <row r="149" spans="1:3" ht="15" customHeight="1" x14ac:dyDescent="0.25">
      <c r="A149" s="252">
        <v>928.02</v>
      </c>
      <c r="B149" s="253" t="s">
        <v>222</v>
      </c>
      <c r="C149" s="226">
        <v>118.55</v>
      </c>
    </row>
    <row r="150" spans="1:3" ht="15" customHeight="1" x14ac:dyDescent="0.25">
      <c r="A150" s="252">
        <v>928.03</v>
      </c>
      <c r="B150" s="253" t="s">
        <v>710</v>
      </c>
      <c r="C150" s="226">
        <v>719542.2</v>
      </c>
    </row>
    <row r="151" spans="1:3" ht="15" customHeight="1" x14ac:dyDescent="0.25">
      <c r="A151" s="252">
        <v>928.04</v>
      </c>
      <c r="B151" s="253" t="s">
        <v>412</v>
      </c>
      <c r="C151" s="226">
        <v>0</v>
      </c>
    </row>
    <row r="152" spans="1:3" ht="15" customHeight="1" x14ac:dyDescent="0.25">
      <c r="A152" s="252">
        <v>928.05</v>
      </c>
      <c r="B152" s="253" t="s">
        <v>413</v>
      </c>
      <c r="C152" s="226">
        <v>0</v>
      </c>
    </row>
    <row r="153" spans="1:3" ht="15" customHeight="1" x14ac:dyDescent="0.25">
      <c r="A153" s="252">
        <v>928.06</v>
      </c>
      <c r="B153" s="253" t="s">
        <v>818</v>
      </c>
      <c r="C153" s="226">
        <v>600</v>
      </c>
    </row>
    <row r="154" spans="1:3" ht="15" customHeight="1" x14ac:dyDescent="0.25">
      <c r="A154" s="252">
        <v>928.07</v>
      </c>
      <c r="B154" s="253" t="s">
        <v>834</v>
      </c>
      <c r="C154" s="226">
        <v>0</v>
      </c>
    </row>
    <row r="155" spans="1:3" ht="15" customHeight="1" x14ac:dyDescent="0.25">
      <c r="A155" s="252">
        <v>928.08</v>
      </c>
      <c r="B155" s="253" t="s">
        <v>562</v>
      </c>
      <c r="C155" s="226">
        <v>-4099.96</v>
      </c>
    </row>
    <row r="156" spans="1:3" ht="15" customHeight="1" x14ac:dyDescent="0.25">
      <c r="A156" s="252">
        <v>928.09</v>
      </c>
      <c r="B156" s="253" t="s">
        <v>414</v>
      </c>
      <c r="C156" s="226">
        <v>0</v>
      </c>
    </row>
    <row r="157" spans="1:3" ht="15" customHeight="1" x14ac:dyDescent="0.25">
      <c r="A157" s="252">
        <v>928.1</v>
      </c>
      <c r="B157" s="253" t="s">
        <v>835</v>
      </c>
      <c r="C157" s="226">
        <v>184621.73</v>
      </c>
    </row>
    <row r="158" spans="1:3" ht="15" customHeight="1" x14ac:dyDescent="0.25">
      <c r="A158" s="252">
        <v>928.14</v>
      </c>
      <c r="B158" s="253" t="s">
        <v>415</v>
      </c>
      <c r="C158" s="226">
        <v>234.03</v>
      </c>
    </row>
    <row r="159" spans="1:3" ht="15" customHeight="1" x14ac:dyDescent="0.25">
      <c r="A159" s="252">
        <v>928.15</v>
      </c>
      <c r="B159" s="253" t="s">
        <v>711</v>
      </c>
      <c r="C159" s="226">
        <v>0</v>
      </c>
    </row>
    <row r="160" spans="1:3" ht="15" customHeight="1" x14ac:dyDescent="0.25">
      <c r="A160" s="252">
        <v>928.21</v>
      </c>
      <c r="B160" s="253" t="s">
        <v>416</v>
      </c>
      <c r="C160" s="226">
        <v>0</v>
      </c>
    </row>
    <row r="161" spans="1:3" ht="15" customHeight="1" x14ac:dyDescent="0.25">
      <c r="A161" s="252">
        <v>928.23</v>
      </c>
      <c r="B161" s="253" t="s">
        <v>223</v>
      </c>
      <c r="C161" s="226">
        <v>11184.75</v>
      </c>
    </row>
    <row r="162" spans="1:3" ht="15" customHeight="1" x14ac:dyDescent="0.25">
      <c r="A162" s="252">
        <v>928.24</v>
      </c>
      <c r="B162" s="253" t="s">
        <v>712</v>
      </c>
      <c r="C162" s="226">
        <v>211.61</v>
      </c>
    </row>
    <row r="163" spans="1:3" ht="15" customHeight="1" x14ac:dyDescent="0.25">
      <c r="A163" s="252">
        <v>928.25</v>
      </c>
      <c r="B163" s="253" t="s">
        <v>819</v>
      </c>
      <c r="C163" s="226">
        <v>1426.3</v>
      </c>
    </row>
    <row r="164" spans="1:3" ht="15" customHeight="1" x14ac:dyDescent="0.25">
      <c r="A164" s="252">
        <v>928.26</v>
      </c>
      <c r="B164" s="253" t="s">
        <v>417</v>
      </c>
      <c r="C164" s="226">
        <v>-913</v>
      </c>
    </row>
    <row r="165" spans="1:3" ht="15" customHeight="1" x14ac:dyDescent="0.25">
      <c r="A165" s="252">
        <v>928.27</v>
      </c>
      <c r="B165" s="253" t="s">
        <v>418</v>
      </c>
      <c r="C165" s="226">
        <v>19558.349999999999</v>
      </c>
    </row>
    <row r="166" spans="1:3" ht="15" customHeight="1" x14ac:dyDescent="0.25">
      <c r="A166" s="252">
        <v>928.28</v>
      </c>
      <c r="B166" s="253" t="s">
        <v>419</v>
      </c>
      <c r="C166" s="226">
        <v>3573.52</v>
      </c>
    </row>
    <row r="167" spans="1:3" ht="15" customHeight="1" x14ac:dyDescent="0.25">
      <c r="A167" s="252">
        <v>928.29</v>
      </c>
      <c r="B167" s="253" t="s">
        <v>420</v>
      </c>
      <c r="C167" s="226">
        <v>1683</v>
      </c>
    </row>
    <row r="168" spans="1:3" ht="15" customHeight="1" x14ac:dyDescent="0.25">
      <c r="A168" s="252">
        <v>930.1</v>
      </c>
      <c r="B168" s="253" t="s">
        <v>421</v>
      </c>
      <c r="C168" s="226">
        <v>0</v>
      </c>
    </row>
    <row r="169" spans="1:3" ht="15" customHeight="1" x14ac:dyDescent="0.25">
      <c r="A169" s="252">
        <v>930.2</v>
      </c>
      <c r="B169" s="253" t="s">
        <v>422</v>
      </c>
      <c r="C169" s="226">
        <v>1009.6</v>
      </c>
    </row>
    <row r="170" spans="1:3" ht="15" customHeight="1" x14ac:dyDescent="0.25">
      <c r="A170" s="252">
        <v>930.25</v>
      </c>
      <c r="B170" s="253" t="s">
        <v>52</v>
      </c>
      <c r="C170" s="226">
        <v>1632</v>
      </c>
    </row>
    <row r="171" spans="1:3" ht="15" customHeight="1" x14ac:dyDescent="0.25">
      <c r="A171" s="252">
        <v>930.4</v>
      </c>
      <c r="B171" s="253" t="s">
        <v>94</v>
      </c>
      <c r="C171" s="226">
        <v>0</v>
      </c>
    </row>
    <row r="172" spans="1:3" ht="15" customHeight="1" x14ac:dyDescent="0.25">
      <c r="A172" s="252">
        <v>930.41</v>
      </c>
      <c r="B172" s="253" t="s">
        <v>423</v>
      </c>
      <c r="C172" s="226">
        <v>75563.33</v>
      </c>
    </row>
    <row r="173" spans="1:3" ht="15" customHeight="1" x14ac:dyDescent="0.25">
      <c r="A173" s="252">
        <v>930.42</v>
      </c>
      <c r="B173" s="253" t="s">
        <v>95</v>
      </c>
      <c r="C173" s="226">
        <v>40696.61</v>
      </c>
    </row>
    <row r="174" spans="1:3" ht="15" customHeight="1" x14ac:dyDescent="0.25">
      <c r="A174" s="252">
        <v>930.43</v>
      </c>
      <c r="B174" s="253" t="s">
        <v>424</v>
      </c>
      <c r="C174" s="226">
        <v>345.71</v>
      </c>
    </row>
    <row r="175" spans="1:3" ht="15" customHeight="1" x14ac:dyDescent="0.25">
      <c r="A175" s="252">
        <v>930.5</v>
      </c>
      <c r="B175" s="253" t="s">
        <v>96</v>
      </c>
      <c r="C175" s="226">
        <v>260655.05</v>
      </c>
    </row>
    <row r="176" spans="1:3" ht="15" customHeight="1" x14ac:dyDescent="0.25">
      <c r="A176" s="252">
        <v>930.8</v>
      </c>
      <c r="B176" s="253" t="s">
        <v>280</v>
      </c>
      <c r="C176" s="226">
        <v>59865.87</v>
      </c>
    </row>
    <row r="177" spans="1:3" ht="15" customHeight="1" x14ac:dyDescent="0.25">
      <c r="A177" s="252">
        <v>930.99</v>
      </c>
      <c r="B177" s="253" t="s">
        <v>425</v>
      </c>
      <c r="C177" s="226">
        <v>24976.89</v>
      </c>
    </row>
    <row r="178" spans="1:3" ht="15" customHeight="1" x14ac:dyDescent="0.25">
      <c r="A178" s="252">
        <v>932.1</v>
      </c>
      <c r="B178" s="253" t="s">
        <v>426</v>
      </c>
      <c r="C178" s="226">
        <v>51138.17</v>
      </c>
    </row>
    <row r="179" spans="1:3" ht="15" customHeight="1" x14ac:dyDescent="0.25">
      <c r="A179" s="252">
        <v>932.5</v>
      </c>
      <c r="B179" s="253" t="s">
        <v>427</v>
      </c>
      <c r="C179" s="226">
        <v>0</v>
      </c>
    </row>
    <row r="180" spans="1:3" ht="15" customHeight="1" x14ac:dyDescent="0.25">
      <c r="A180" s="252">
        <v>932.7</v>
      </c>
      <c r="B180" s="253" t="s">
        <v>56</v>
      </c>
      <c r="C180" s="226">
        <v>271299.58999999997</v>
      </c>
    </row>
    <row r="181" spans="1:3" ht="15" customHeight="1" x14ac:dyDescent="0.25">
      <c r="A181" s="252">
        <v>932.71</v>
      </c>
      <c r="B181" s="253" t="s">
        <v>57</v>
      </c>
      <c r="C181" s="226">
        <v>0</v>
      </c>
    </row>
    <row r="182" spans="1:3" ht="15" customHeight="1" x14ac:dyDescent="0.25">
      <c r="A182" s="252">
        <v>932.8</v>
      </c>
      <c r="B182" s="253" t="s">
        <v>888</v>
      </c>
      <c r="C182" s="226">
        <v>0</v>
      </c>
    </row>
    <row r="183" spans="1:3" ht="15" customHeight="1" x14ac:dyDescent="0.25">
      <c r="A183" s="570"/>
      <c r="B183" s="571" t="s">
        <v>428</v>
      </c>
      <c r="C183" s="227">
        <f>SUM(C134:C182)</f>
        <v>5065840.2499999991</v>
      </c>
    </row>
    <row r="184" spans="1:3" ht="15" customHeight="1" x14ac:dyDescent="0.25">
      <c r="A184" s="252"/>
      <c r="B184" s="572"/>
      <c r="C184" s="225"/>
    </row>
    <row r="185" spans="1:3" ht="15" customHeight="1" x14ac:dyDescent="0.25">
      <c r="A185" s="570"/>
      <c r="B185" s="571" t="s">
        <v>429</v>
      </c>
      <c r="C185" s="570">
        <f>+C183+C132+C129+C116+C95</f>
        <v>27095153.679999996</v>
      </c>
    </row>
    <row r="186" spans="1:3" ht="15" customHeight="1" x14ac:dyDescent="0.25">
      <c r="A186" s="252"/>
      <c r="B186" s="572"/>
      <c r="C186" s="227"/>
    </row>
    <row r="187" spans="1:3" ht="15" customHeight="1" x14ac:dyDescent="0.25">
      <c r="A187" s="252">
        <v>403.4</v>
      </c>
      <c r="B187" s="253" t="s">
        <v>430</v>
      </c>
      <c r="C187" s="226">
        <v>0</v>
      </c>
    </row>
    <row r="188" spans="1:3" ht="15" customHeight="1" x14ac:dyDescent="0.25">
      <c r="A188" s="252">
        <v>403.5</v>
      </c>
      <c r="B188" s="253" t="s">
        <v>97</v>
      </c>
      <c r="C188" s="226">
        <v>216874.89</v>
      </c>
    </row>
    <row r="189" spans="1:3" ht="15" customHeight="1" x14ac:dyDescent="0.25">
      <c r="A189" s="252">
        <v>403.51</v>
      </c>
      <c r="B189" s="253" t="s">
        <v>431</v>
      </c>
      <c r="C189" s="226">
        <v>364027.47</v>
      </c>
    </row>
    <row r="190" spans="1:3" ht="15" customHeight="1" x14ac:dyDescent="0.25">
      <c r="A190" s="252">
        <v>403.53</v>
      </c>
      <c r="B190" s="253" t="s">
        <v>432</v>
      </c>
      <c r="C190" s="226">
        <v>0</v>
      </c>
    </row>
    <row r="191" spans="1:3" ht="15" customHeight="1" x14ac:dyDescent="0.25">
      <c r="A191" s="252">
        <v>403.54</v>
      </c>
      <c r="B191" s="253" t="s">
        <v>433</v>
      </c>
      <c r="C191" s="226">
        <v>0</v>
      </c>
    </row>
    <row r="192" spans="1:3" ht="15" customHeight="1" x14ac:dyDescent="0.25">
      <c r="A192" s="252">
        <v>403.6</v>
      </c>
      <c r="B192" s="253" t="s">
        <v>98</v>
      </c>
      <c r="C192" s="226">
        <v>5005930.51</v>
      </c>
    </row>
    <row r="193" spans="1:5" ht="15" customHeight="1" x14ac:dyDescent="0.25">
      <c r="A193" s="252">
        <v>403.65</v>
      </c>
      <c r="B193" s="253" t="s">
        <v>802</v>
      </c>
      <c r="C193" s="226">
        <v>35159.03</v>
      </c>
    </row>
    <row r="194" spans="1:5" ht="15" customHeight="1" x14ac:dyDescent="0.25">
      <c r="A194" s="252">
        <v>403.7</v>
      </c>
      <c r="B194" s="253" t="s">
        <v>99</v>
      </c>
      <c r="C194" s="226">
        <v>984664.77</v>
      </c>
    </row>
    <row r="195" spans="1:5" ht="15" customHeight="1" x14ac:dyDescent="0.25">
      <c r="A195" s="252">
        <v>428</v>
      </c>
      <c r="B195" s="253" t="s">
        <v>434</v>
      </c>
      <c r="C195" s="226">
        <v>-1.68</v>
      </c>
    </row>
    <row r="196" spans="1:5" ht="15" customHeight="1" x14ac:dyDescent="0.25">
      <c r="A196" s="570"/>
      <c r="B196" s="571" t="s">
        <v>435</v>
      </c>
      <c r="C196" s="227">
        <f>SUM(C187:C195)</f>
        <v>6606654.9900000002</v>
      </c>
    </row>
    <row r="197" spans="1:5" ht="15" customHeight="1" x14ac:dyDescent="0.25">
      <c r="A197" s="252"/>
      <c r="B197" s="572"/>
      <c r="C197" s="227"/>
      <c r="E197" s="573"/>
    </row>
    <row r="198" spans="1:5" ht="15" customHeight="1" x14ac:dyDescent="0.25">
      <c r="A198" s="252">
        <v>408.6</v>
      </c>
      <c r="B198" s="253" t="s">
        <v>119</v>
      </c>
      <c r="C198" s="226">
        <v>513815.75</v>
      </c>
      <c r="E198" s="573"/>
    </row>
    <row r="199" spans="1:5" ht="15" customHeight="1" x14ac:dyDescent="0.25">
      <c r="A199" s="252">
        <v>408.61</v>
      </c>
      <c r="B199" s="253" t="s">
        <v>436</v>
      </c>
      <c r="C199" s="226">
        <v>449738.55</v>
      </c>
      <c r="E199" s="573"/>
    </row>
    <row r="200" spans="1:5" ht="15" customHeight="1" x14ac:dyDescent="0.25">
      <c r="A200" s="570"/>
      <c r="B200" s="571" t="s">
        <v>437</v>
      </c>
      <c r="C200" s="227">
        <f>SUM(C198:C199)</f>
        <v>963554.3</v>
      </c>
      <c r="E200" s="573"/>
    </row>
    <row r="201" spans="1:5" ht="15" customHeight="1" x14ac:dyDescent="0.25">
      <c r="A201" s="252"/>
      <c r="B201" s="572"/>
      <c r="C201" s="227"/>
      <c r="E201" s="573"/>
    </row>
    <row r="202" spans="1:5" ht="15" customHeight="1" x14ac:dyDescent="0.25">
      <c r="A202" s="252">
        <v>427.01</v>
      </c>
      <c r="B202" s="253" t="s">
        <v>827</v>
      </c>
      <c r="C202" s="226">
        <v>207404.26</v>
      </c>
      <c r="E202" s="573"/>
    </row>
    <row r="203" spans="1:5" ht="15" customHeight="1" x14ac:dyDescent="0.25">
      <c r="A203" s="252">
        <v>427.02</v>
      </c>
      <c r="B203" s="253" t="s">
        <v>826</v>
      </c>
      <c r="C203" s="226">
        <v>129710.47</v>
      </c>
      <c r="E203" s="573"/>
    </row>
    <row r="204" spans="1:5" ht="15" customHeight="1" x14ac:dyDescent="0.25">
      <c r="A204" s="252">
        <v>427.03</v>
      </c>
      <c r="B204" s="253" t="s">
        <v>563</v>
      </c>
      <c r="C204" s="226">
        <v>40655.54</v>
      </c>
      <c r="E204" s="573"/>
    </row>
    <row r="205" spans="1:5" ht="15" customHeight="1" x14ac:dyDescent="0.25">
      <c r="A205" s="252">
        <v>427.04</v>
      </c>
      <c r="B205" s="253" t="s">
        <v>713</v>
      </c>
      <c r="C205" s="226">
        <v>115849.03</v>
      </c>
    </row>
    <row r="206" spans="1:5" ht="15" customHeight="1" x14ac:dyDescent="0.25">
      <c r="A206" s="252">
        <v>427.05</v>
      </c>
      <c r="B206" s="253" t="s">
        <v>714</v>
      </c>
      <c r="C206" s="226">
        <v>281266.21000000002</v>
      </c>
      <c r="E206" s="573"/>
    </row>
    <row r="207" spans="1:5" ht="15" customHeight="1" x14ac:dyDescent="0.25">
      <c r="A207" s="252">
        <v>427.06</v>
      </c>
      <c r="B207" s="253" t="s">
        <v>761</v>
      </c>
      <c r="C207" s="226">
        <v>236908.99</v>
      </c>
      <c r="E207" s="573"/>
    </row>
    <row r="208" spans="1:5" ht="15" customHeight="1" x14ac:dyDescent="0.25">
      <c r="A208" s="252">
        <v>427.07</v>
      </c>
      <c r="B208" s="253" t="s">
        <v>828</v>
      </c>
      <c r="C208" s="226">
        <v>328976.02</v>
      </c>
      <c r="E208" s="573"/>
    </row>
    <row r="209" spans="1:5" ht="15" customHeight="1" x14ac:dyDescent="0.25">
      <c r="A209" s="252">
        <v>427.08</v>
      </c>
      <c r="B209" s="253" t="s">
        <v>829</v>
      </c>
      <c r="C209" s="226">
        <v>269940.7</v>
      </c>
      <c r="E209" s="573"/>
    </row>
    <row r="210" spans="1:5" ht="15" customHeight="1" x14ac:dyDescent="0.25">
      <c r="A210" s="252">
        <v>427.09</v>
      </c>
      <c r="B210" s="253" t="s">
        <v>839</v>
      </c>
      <c r="C210" s="226">
        <v>233001.99</v>
      </c>
      <c r="E210" s="573"/>
    </row>
    <row r="211" spans="1:5" ht="15" customHeight="1" x14ac:dyDescent="0.25">
      <c r="A211" s="252">
        <v>427.1</v>
      </c>
      <c r="B211" s="253" t="s">
        <v>889</v>
      </c>
      <c r="C211" s="226">
        <v>145170.12</v>
      </c>
      <c r="E211" s="573"/>
    </row>
    <row r="212" spans="1:5" ht="15" customHeight="1" x14ac:dyDescent="0.25">
      <c r="A212" s="252">
        <v>427.11</v>
      </c>
      <c r="B212" s="253" t="s">
        <v>438</v>
      </c>
      <c r="C212" s="226">
        <v>229110.77</v>
      </c>
      <c r="E212" s="573"/>
    </row>
    <row r="213" spans="1:5" ht="15" customHeight="1" x14ac:dyDescent="0.25">
      <c r="A213" s="252">
        <v>427.12</v>
      </c>
      <c r="B213" s="253" t="s">
        <v>439</v>
      </c>
      <c r="C213" s="226">
        <v>26908.21</v>
      </c>
      <c r="E213" s="573"/>
    </row>
    <row r="214" spans="1:5" ht="15" customHeight="1" x14ac:dyDescent="0.25">
      <c r="A214" s="252">
        <v>427.13</v>
      </c>
      <c r="B214" s="253" t="s">
        <v>440</v>
      </c>
      <c r="C214" s="226">
        <v>29710.81</v>
      </c>
      <c r="E214" s="573"/>
    </row>
    <row r="215" spans="1:5" ht="15" customHeight="1" x14ac:dyDescent="0.25">
      <c r="A215" s="252">
        <v>427.14</v>
      </c>
      <c r="B215" s="253" t="s">
        <v>441</v>
      </c>
      <c r="C215" s="226">
        <v>214.62</v>
      </c>
    </row>
    <row r="216" spans="1:5" ht="15" customHeight="1" x14ac:dyDescent="0.25">
      <c r="A216" s="252">
        <v>427.15</v>
      </c>
      <c r="B216" s="253" t="s">
        <v>442</v>
      </c>
      <c r="C216" s="226">
        <v>636246.25</v>
      </c>
    </row>
    <row r="217" spans="1:5" ht="15" customHeight="1" x14ac:dyDescent="0.25">
      <c r="A217" s="252">
        <v>427.16</v>
      </c>
      <c r="B217" s="253" t="s">
        <v>443</v>
      </c>
      <c r="C217" s="226">
        <v>81604.27</v>
      </c>
    </row>
    <row r="218" spans="1:5" ht="15" customHeight="1" x14ac:dyDescent="0.25">
      <c r="A218" s="252">
        <v>427.17</v>
      </c>
      <c r="B218" s="253" t="s">
        <v>444</v>
      </c>
      <c r="C218" s="226">
        <v>149994.49</v>
      </c>
    </row>
    <row r="219" spans="1:5" ht="15" customHeight="1" x14ac:dyDescent="0.25">
      <c r="A219" s="252">
        <v>427.18</v>
      </c>
      <c r="B219" s="253" t="s">
        <v>445</v>
      </c>
      <c r="C219" s="226">
        <v>47712.15</v>
      </c>
    </row>
    <row r="220" spans="1:5" ht="15" customHeight="1" x14ac:dyDescent="0.25">
      <c r="A220" s="252">
        <v>427.19</v>
      </c>
      <c r="B220" s="253" t="s">
        <v>830</v>
      </c>
      <c r="C220" s="226">
        <v>128947.88</v>
      </c>
    </row>
    <row r="221" spans="1:5" ht="15" customHeight="1" x14ac:dyDescent="0.25">
      <c r="A221" s="252">
        <v>427.2</v>
      </c>
      <c r="B221" s="253" t="s">
        <v>120</v>
      </c>
      <c r="C221" s="226">
        <v>0</v>
      </c>
    </row>
    <row r="222" spans="1:5" ht="15" customHeight="1" x14ac:dyDescent="0.25">
      <c r="A222" s="252">
        <v>427.21</v>
      </c>
      <c r="B222" s="253" t="s">
        <v>890</v>
      </c>
      <c r="C222" s="226">
        <v>186130.02</v>
      </c>
    </row>
    <row r="223" spans="1:5" ht="15" customHeight="1" x14ac:dyDescent="0.25">
      <c r="A223" s="252">
        <v>427.22</v>
      </c>
      <c r="B223" s="253" t="s">
        <v>1015</v>
      </c>
      <c r="C223" s="226">
        <v>584444.07999999996</v>
      </c>
    </row>
    <row r="224" spans="1:5" ht="15" customHeight="1" x14ac:dyDescent="0.25">
      <c r="A224" s="252">
        <v>427.24</v>
      </c>
      <c r="B224" s="253" t="s">
        <v>1065</v>
      </c>
      <c r="C224" s="226">
        <v>51988.34</v>
      </c>
    </row>
    <row r="225" spans="1:3" ht="15" customHeight="1" x14ac:dyDescent="0.25">
      <c r="A225" s="252">
        <v>427.5</v>
      </c>
      <c r="B225" s="253" t="s">
        <v>825</v>
      </c>
      <c r="C225" s="226">
        <v>-0.03</v>
      </c>
    </row>
    <row r="226" spans="1:3" ht="15" customHeight="1" x14ac:dyDescent="0.25">
      <c r="A226" s="570"/>
      <c r="B226" s="571" t="s">
        <v>446</v>
      </c>
      <c r="C226" s="227">
        <f>SUM(C202:C225)</f>
        <v>4141895.19</v>
      </c>
    </row>
    <row r="227" spans="1:3" ht="15" customHeight="1" x14ac:dyDescent="0.25">
      <c r="A227" s="252"/>
      <c r="B227" s="253"/>
      <c r="C227" s="226"/>
    </row>
    <row r="228" spans="1:3" ht="15" customHeight="1" x14ac:dyDescent="0.25">
      <c r="A228" s="252">
        <v>431</v>
      </c>
      <c r="B228" s="253" t="s">
        <v>121</v>
      </c>
      <c r="C228" s="226">
        <v>670668.47</v>
      </c>
    </row>
    <row r="229" spans="1:3" ht="15" customHeight="1" x14ac:dyDescent="0.25">
      <c r="A229" s="570"/>
      <c r="B229" s="571" t="s">
        <v>447</v>
      </c>
      <c r="C229" s="227">
        <f>SUM(C228)</f>
        <v>670668.47</v>
      </c>
    </row>
    <row r="230" spans="1:3" ht="15" customHeight="1" x14ac:dyDescent="0.25">
      <c r="A230" s="252"/>
      <c r="B230" s="253"/>
      <c r="C230" s="226"/>
    </row>
    <row r="231" spans="1:3" ht="15" customHeight="1" x14ac:dyDescent="0.25">
      <c r="A231" s="252">
        <v>426.1</v>
      </c>
      <c r="B231" s="253" t="s">
        <v>122</v>
      </c>
      <c r="C231" s="226">
        <v>0</v>
      </c>
    </row>
    <row r="232" spans="1:3" ht="15" customHeight="1" x14ac:dyDescent="0.25">
      <c r="A232" s="252">
        <v>426.4</v>
      </c>
      <c r="B232" s="253" t="s">
        <v>297</v>
      </c>
      <c r="C232" s="226">
        <v>0</v>
      </c>
    </row>
    <row r="233" spans="1:3" ht="15" customHeight="1" x14ac:dyDescent="0.25">
      <c r="A233" s="252">
        <v>426.5</v>
      </c>
      <c r="B233" s="253" t="s">
        <v>123</v>
      </c>
      <c r="C233" s="226">
        <v>7313.2</v>
      </c>
    </row>
    <row r="234" spans="1:3" ht="15" customHeight="1" x14ac:dyDescent="0.25">
      <c r="A234" s="570"/>
      <c r="B234" s="571" t="s">
        <v>448</v>
      </c>
      <c r="C234" s="227">
        <f>SUM(C231:C233)</f>
        <v>7313.2</v>
      </c>
    </row>
    <row r="235" spans="1:3" ht="15" customHeight="1" x14ac:dyDescent="0.25">
      <c r="A235" s="252"/>
      <c r="B235" s="253"/>
      <c r="C235" s="226"/>
    </row>
    <row r="236" spans="1:3" ht="15" customHeight="1" x14ac:dyDescent="0.25">
      <c r="A236" s="570"/>
      <c r="B236" s="571" t="s">
        <v>449</v>
      </c>
      <c r="C236" s="227">
        <f>+C35+C62+C185+C196+C226+C229+C234+C200</f>
        <v>101623307.60999998</v>
      </c>
    </row>
    <row r="237" spans="1:3" ht="15" customHeight="1" x14ac:dyDescent="0.25">
      <c r="A237" s="252"/>
      <c r="B237" s="253"/>
      <c r="C237" s="226"/>
    </row>
    <row r="238" spans="1:3" ht="15" customHeight="1" x14ac:dyDescent="0.25">
      <c r="A238" s="570"/>
      <c r="B238" s="571" t="s">
        <v>450</v>
      </c>
      <c r="C238" s="227">
        <f>+C20-C236</f>
        <v>-2214444.9699999839</v>
      </c>
    </row>
    <row r="239" spans="1:3" ht="15" customHeight="1" x14ac:dyDescent="0.25">
      <c r="A239" s="252"/>
      <c r="B239" s="253"/>
      <c r="C239" s="226"/>
    </row>
    <row r="240" spans="1:3" ht="15" customHeight="1" x14ac:dyDescent="0.25">
      <c r="A240" s="252">
        <v>419</v>
      </c>
      <c r="B240" s="253" t="s">
        <v>148</v>
      </c>
      <c r="C240" s="226">
        <v>-5655390.8899999997</v>
      </c>
    </row>
    <row r="241" spans="1:3" ht="15" customHeight="1" x14ac:dyDescent="0.25">
      <c r="A241" s="252">
        <v>419.2</v>
      </c>
      <c r="B241" s="253" t="s">
        <v>149</v>
      </c>
      <c r="C241" s="226">
        <v>0</v>
      </c>
    </row>
    <row r="242" spans="1:3" ht="15" customHeight="1" x14ac:dyDescent="0.25">
      <c r="A242" s="570"/>
      <c r="B242" s="571" t="s">
        <v>451</v>
      </c>
      <c r="C242" s="227">
        <f>SUM(C240:C241)</f>
        <v>-5655390.8899999997</v>
      </c>
    </row>
    <row r="243" spans="1:3" ht="15" customHeight="1" x14ac:dyDescent="0.25">
      <c r="A243" s="252"/>
      <c r="B243" s="253"/>
      <c r="C243" s="226"/>
    </row>
    <row r="244" spans="1:3" ht="15" customHeight="1" x14ac:dyDescent="0.25">
      <c r="A244" s="252">
        <v>415.1</v>
      </c>
      <c r="B244" s="253" t="s">
        <v>1016</v>
      </c>
      <c r="C244" s="226">
        <v>-2832</v>
      </c>
    </row>
    <row r="245" spans="1:3" ht="15" customHeight="1" x14ac:dyDescent="0.25">
      <c r="A245" s="252">
        <v>415.11</v>
      </c>
      <c r="B245" s="253" t="s">
        <v>452</v>
      </c>
      <c r="C245" s="226">
        <v>0</v>
      </c>
    </row>
    <row r="246" spans="1:3" ht="15" customHeight="1" x14ac:dyDescent="0.25">
      <c r="A246" s="252">
        <v>415.12</v>
      </c>
      <c r="B246" s="253" t="s">
        <v>453</v>
      </c>
      <c r="C246" s="226">
        <v>0</v>
      </c>
    </row>
    <row r="247" spans="1:3" ht="15" customHeight="1" x14ac:dyDescent="0.25">
      <c r="A247" s="252">
        <v>415.13</v>
      </c>
      <c r="B247" s="253" t="s">
        <v>803</v>
      </c>
      <c r="C247" s="226">
        <v>-32659.25</v>
      </c>
    </row>
    <row r="248" spans="1:3" ht="15" customHeight="1" x14ac:dyDescent="0.25">
      <c r="A248" s="252">
        <v>415.14</v>
      </c>
      <c r="B248" s="253" t="s">
        <v>1017</v>
      </c>
      <c r="C248" s="226">
        <v>-11490.05</v>
      </c>
    </row>
    <row r="249" spans="1:3" ht="15" customHeight="1" x14ac:dyDescent="0.25">
      <c r="A249" s="252">
        <v>415.16</v>
      </c>
      <c r="B249" s="253" t="s">
        <v>454</v>
      </c>
      <c r="C249" s="226">
        <v>-14368.42</v>
      </c>
    </row>
    <row r="250" spans="1:3" ht="15" customHeight="1" x14ac:dyDescent="0.25">
      <c r="A250" s="252">
        <v>415.17</v>
      </c>
      <c r="B250" s="253" t="s">
        <v>455</v>
      </c>
      <c r="C250" s="226">
        <v>0</v>
      </c>
    </row>
    <row r="251" spans="1:3" ht="15" customHeight="1" x14ac:dyDescent="0.25">
      <c r="A251" s="252">
        <v>415.18</v>
      </c>
      <c r="B251" s="253" t="s">
        <v>456</v>
      </c>
      <c r="C251" s="226">
        <v>0</v>
      </c>
    </row>
    <row r="252" spans="1:3" ht="15" customHeight="1" x14ac:dyDescent="0.25">
      <c r="A252" s="252">
        <v>415.19</v>
      </c>
      <c r="B252" s="253" t="s">
        <v>457</v>
      </c>
      <c r="C252" s="226">
        <v>0</v>
      </c>
    </row>
    <row r="253" spans="1:3" ht="15" customHeight="1" x14ac:dyDescent="0.25">
      <c r="A253" s="252">
        <v>415.2</v>
      </c>
      <c r="B253" s="253" t="s">
        <v>457</v>
      </c>
      <c r="C253" s="226">
        <v>0</v>
      </c>
    </row>
    <row r="254" spans="1:3" ht="15" customHeight="1" x14ac:dyDescent="0.25">
      <c r="A254" s="252">
        <v>415.21</v>
      </c>
      <c r="B254" s="253" t="s">
        <v>820</v>
      </c>
      <c r="C254" s="226">
        <v>-6042.5</v>
      </c>
    </row>
    <row r="255" spans="1:3" ht="15" customHeight="1" x14ac:dyDescent="0.25">
      <c r="A255" s="252">
        <v>415.22</v>
      </c>
      <c r="B255" s="253" t="s">
        <v>820</v>
      </c>
      <c r="C255" s="226">
        <v>-70341.27</v>
      </c>
    </row>
    <row r="256" spans="1:3" ht="15" customHeight="1" x14ac:dyDescent="0.25">
      <c r="A256" s="252">
        <v>415.26</v>
      </c>
      <c r="B256" s="253" t="s">
        <v>458</v>
      </c>
      <c r="C256" s="226">
        <v>-43933.5</v>
      </c>
    </row>
    <row r="257" spans="1:3" ht="15" customHeight="1" x14ac:dyDescent="0.25">
      <c r="A257" s="252">
        <v>415.4</v>
      </c>
      <c r="B257" s="253" t="s">
        <v>1066</v>
      </c>
      <c r="C257" s="226">
        <v>-6677.8</v>
      </c>
    </row>
    <row r="258" spans="1:3" ht="15" customHeight="1" x14ac:dyDescent="0.25">
      <c r="A258" s="252">
        <v>416.1</v>
      </c>
      <c r="B258" s="253" t="s">
        <v>1067</v>
      </c>
      <c r="C258" s="226">
        <v>2293.15</v>
      </c>
    </row>
    <row r="259" spans="1:3" ht="15" customHeight="1" x14ac:dyDescent="0.25">
      <c r="A259" s="252">
        <v>416.11</v>
      </c>
      <c r="B259" s="253" t="s">
        <v>459</v>
      </c>
      <c r="C259" s="226">
        <v>0</v>
      </c>
    </row>
    <row r="260" spans="1:3" ht="15" customHeight="1" x14ac:dyDescent="0.25">
      <c r="A260" s="252">
        <v>416.12</v>
      </c>
      <c r="B260" s="253" t="s">
        <v>460</v>
      </c>
      <c r="C260" s="226">
        <v>4597.74</v>
      </c>
    </row>
    <row r="261" spans="1:3" ht="15" customHeight="1" x14ac:dyDescent="0.25">
      <c r="A261" s="252">
        <v>416.13</v>
      </c>
      <c r="B261" s="253" t="s">
        <v>804</v>
      </c>
      <c r="C261" s="226">
        <v>23232.71</v>
      </c>
    </row>
    <row r="262" spans="1:3" ht="15" customHeight="1" x14ac:dyDescent="0.25">
      <c r="A262" s="252">
        <v>416.14</v>
      </c>
      <c r="B262" s="253" t="s">
        <v>1018</v>
      </c>
      <c r="C262" s="226">
        <v>10784.94</v>
      </c>
    </row>
    <row r="263" spans="1:3" ht="15" customHeight="1" x14ac:dyDescent="0.25">
      <c r="A263" s="252">
        <v>416.16</v>
      </c>
      <c r="B263" s="253" t="s">
        <v>461</v>
      </c>
      <c r="C263" s="226">
        <v>6347.99</v>
      </c>
    </row>
    <row r="264" spans="1:3" ht="15" customHeight="1" x14ac:dyDescent="0.25">
      <c r="A264" s="252">
        <v>416.17</v>
      </c>
      <c r="B264" s="253" t="s">
        <v>462</v>
      </c>
      <c r="C264" s="226">
        <v>0</v>
      </c>
    </row>
    <row r="265" spans="1:3" ht="15" customHeight="1" x14ac:dyDescent="0.25">
      <c r="A265" s="252">
        <v>416.18</v>
      </c>
      <c r="B265" s="253" t="s">
        <v>463</v>
      </c>
      <c r="C265" s="226">
        <v>0</v>
      </c>
    </row>
    <row r="266" spans="1:3" ht="15" customHeight="1" x14ac:dyDescent="0.25">
      <c r="A266" s="252">
        <v>416.19</v>
      </c>
      <c r="B266" s="253" t="s">
        <v>464</v>
      </c>
      <c r="C266" s="226">
        <v>0</v>
      </c>
    </row>
    <row r="267" spans="1:3" ht="15" customHeight="1" x14ac:dyDescent="0.25">
      <c r="A267" s="252">
        <v>416.2</v>
      </c>
      <c r="B267" s="253" t="s">
        <v>564</v>
      </c>
      <c r="C267" s="226">
        <v>0</v>
      </c>
    </row>
    <row r="268" spans="1:3" ht="15" customHeight="1" x14ac:dyDescent="0.25">
      <c r="A268" s="252">
        <v>416.21</v>
      </c>
      <c r="B268" s="253" t="s">
        <v>821</v>
      </c>
      <c r="C268" s="226">
        <v>4541.6899999999996</v>
      </c>
    </row>
    <row r="269" spans="1:3" ht="15" customHeight="1" x14ac:dyDescent="0.25">
      <c r="A269" s="252">
        <v>416.22</v>
      </c>
      <c r="B269" s="253" t="s">
        <v>821</v>
      </c>
      <c r="C269" s="226">
        <v>56028.62</v>
      </c>
    </row>
    <row r="270" spans="1:3" ht="15" customHeight="1" x14ac:dyDescent="0.25">
      <c r="A270" s="252">
        <v>416.26</v>
      </c>
      <c r="B270" s="253" t="s">
        <v>465</v>
      </c>
      <c r="C270" s="226">
        <v>34229.17</v>
      </c>
    </row>
    <row r="271" spans="1:3" ht="15" customHeight="1" x14ac:dyDescent="0.25">
      <c r="A271" s="252">
        <v>416.3</v>
      </c>
      <c r="B271" s="253" t="s">
        <v>466</v>
      </c>
      <c r="C271" s="226">
        <v>0</v>
      </c>
    </row>
    <row r="272" spans="1:3" ht="15" customHeight="1" x14ac:dyDescent="0.25">
      <c r="A272" s="252">
        <v>416.4</v>
      </c>
      <c r="B272" s="253" t="s">
        <v>1068</v>
      </c>
      <c r="C272" s="226">
        <v>11108.15</v>
      </c>
    </row>
    <row r="273" spans="1:3" ht="15" customHeight="1" x14ac:dyDescent="0.25">
      <c r="A273" s="252">
        <v>418.1</v>
      </c>
      <c r="B273" s="253" t="s">
        <v>467</v>
      </c>
      <c r="C273" s="226">
        <v>0</v>
      </c>
    </row>
    <row r="274" spans="1:3" ht="15" customHeight="1" x14ac:dyDescent="0.25">
      <c r="A274" s="252">
        <v>418.2</v>
      </c>
      <c r="B274" s="253" t="s">
        <v>468</v>
      </c>
      <c r="C274" s="226">
        <v>0</v>
      </c>
    </row>
    <row r="275" spans="1:3" ht="15" customHeight="1" x14ac:dyDescent="0.25">
      <c r="A275" s="252">
        <v>421</v>
      </c>
      <c r="B275" s="253" t="s">
        <v>891</v>
      </c>
      <c r="C275" s="226">
        <v>-694299.98</v>
      </c>
    </row>
    <row r="276" spans="1:3" ht="15" customHeight="1" x14ac:dyDescent="0.25">
      <c r="A276" s="252">
        <v>421.2</v>
      </c>
      <c r="B276" s="253" t="s">
        <v>469</v>
      </c>
      <c r="C276" s="226">
        <v>-800</v>
      </c>
    </row>
    <row r="277" spans="1:3" ht="15" customHeight="1" x14ac:dyDescent="0.25">
      <c r="A277" s="570"/>
      <c r="B277" s="571" t="s">
        <v>470</v>
      </c>
      <c r="C277" s="227">
        <f>SUM(C244:C276)</f>
        <v>-730280.61</v>
      </c>
    </row>
    <row r="278" spans="1:3" ht="15" customHeight="1" x14ac:dyDescent="0.25">
      <c r="A278" s="252"/>
      <c r="B278" s="253"/>
      <c r="C278" s="226"/>
    </row>
    <row r="279" spans="1:3" ht="15" customHeight="1" x14ac:dyDescent="0.25">
      <c r="A279" s="252">
        <v>424</v>
      </c>
      <c r="B279" s="253" t="s">
        <v>471</v>
      </c>
      <c r="C279" s="226">
        <v>-158860.51999999999</v>
      </c>
    </row>
    <row r="280" spans="1:3" ht="15" customHeight="1" x14ac:dyDescent="0.25">
      <c r="A280" s="252">
        <v>424.02</v>
      </c>
      <c r="B280" s="253" t="s">
        <v>836</v>
      </c>
      <c r="C280" s="226">
        <v>-2103</v>
      </c>
    </row>
    <row r="281" spans="1:3" ht="15" customHeight="1" x14ac:dyDescent="0.25">
      <c r="A281" s="252">
        <v>424.03</v>
      </c>
      <c r="B281" s="253" t="s">
        <v>291</v>
      </c>
      <c r="C281" s="226">
        <v>-386607.66</v>
      </c>
    </row>
    <row r="282" spans="1:3" ht="15" customHeight="1" x14ac:dyDescent="0.25">
      <c r="A282" s="252">
        <v>424.04</v>
      </c>
      <c r="B282" s="253" t="s">
        <v>166</v>
      </c>
      <c r="C282" s="226">
        <v>-13924.09</v>
      </c>
    </row>
    <row r="283" spans="1:3" ht="15" customHeight="1" x14ac:dyDescent="0.25">
      <c r="A283" s="252">
        <v>424.05</v>
      </c>
      <c r="B283" s="253" t="s">
        <v>472</v>
      </c>
      <c r="C283" s="226">
        <v>0</v>
      </c>
    </row>
    <row r="284" spans="1:3" ht="15" customHeight="1" x14ac:dyDescent="0.25">
      <c r="A284" s="252">
        <v>424.06</v>
      </c>
      <c r="B284" s="253" t="s">
        <v>837</v>
      </c>
      <c r="C284" s="226">
        <v>-9506</v>
      </c>
    </row>
    <row r="285" spans="1:3" ht="15" customHeight="1" x14ac:dyDescent="0.25">
      <c r="A285" s="570"/>
      <c r="B285" s="571" t="s">
        <v>473</v>
      </c>
      <c r="C285" s="227">
        <f>SUM(C279:C284)</f>
        <v>-571001.2699999999</v>
      </c>
    </row>
    <row r="286" spans="1:3" ht="15" customHeight="1" x14ac:dyDescent="0.25">
      <c r="A286" s="252"/>
      <c r="B286" s="253"/>
      <c r="C286" s="226"/>
    </row>
    <row r="287" spans="1:3" ht="15" customHeight="1" x14ac:dyDescent="0.25">
      <c r="A287" s="252">
        <v>435.06</v>
      </c>
      <c r="B287" s="253" t="s">
        <v>474</v>
      </c>
      <c r="C287" s="226">
        <v>0</v>
      </c>
    </row>
    <row r="288" spans="1:3" ht="15" customHeight="1" x14ac:dyDescent="0.25">
      <c r="A288" s="570"/>
      <c r="B288" s="571" t="s">
        <v>475</v>
      </c>
      <c r="C288" s="227">
        <v>0</v>
      </c>
    </row>
    <row r="289" spans="1:5" ht="15" customHeight="1" x14ac:dyDescent="0.25">
      <c r="A289" s="252"/>
      <c r="B289" s="253"/>
      <c r="C289" s="226"/>
    </row>
    <row r="290" spans="1:5" ht="15" customHeight="1" x14ac:dyDescent="0.25">
      <c r="A290" s="570"/>
      <c r="B290" s="571" t="s">
        <v>476</v>
      </c>
      <c r="C290" s="570">
        <f>+C238-C242-C277-C285-C288</f>
        <v>4742227.8000000156</v>
      </c>
      <c r="E290" s="33" t="s">
        <v>1077</v>
      </c>
    </row>
    <row r="293" spans="1:5" ht="15" customHeight="1" x14ac:dyDescent="0.25">
      <c r="A293" s="570" t="s">
        <v>665</v>
      </c>
      <c r="B293" s="571"/>
      <c r="C293" s="227"/>
    </row>
    <row r="294" spans="1:5" ht="15" customHeight="1" x14ac:dyDescent="0.25">
      <c r="A294" s="574"/>
      <c r="B294" s="574"/>
      <c r="C294" s="575" t="s">
        <v>565</v>
      </c>
    </row>
    <row r="295" spans="1:5" ht="15" customHeight="1" x14ac:dyDescent="0.25">
      <c r="A295" s="576" t="s">
        <v>317</v>
      </c>
      <c r="B295" s="576" t="s">
        <v>143</v>
      </c>
      <c r="C295" s="577" t="s">
        <v>138</v>
      </c>
    </row>
    <row r="296" spans="1:5" ht="15" customHeight="1" x14ac:dyDescent="0.25">
      <c r="A296" s="252">
        <v>106</v>
      </c>
      <c r="B296" s="253" t="s">
        <v>477</v>
      </c>
      <c r="C296" s="226">
        <v>0</v>
      </c>
    </row>
    <row r="297" spans="1:5" ht="15" customHeight="1" x14ac:dyDescent="0.25">
      <c r="A297" s="252">
        <v>107.2</v>
      </c>
      <c r="B297" s="253" t="s">
        <v>507</v>
      </c>
      <c r="C297" s="226">
        <v>9430155.9699999988</v>
      </c>
    </row>
    <row r="298" spans="1:5" ht="15" customHeight="1" x14ac:dyDescent="0.25">
      <c r="A298" s="252">
        <v>107.21</v>
      </c>
      <c r="B298" s="253" t="s">
        <v>508</v>
      </c>
      <c r="C298" s="226">
        <v>0</v>
      </c>
    </row>
    <row r="299" spans="1:5" ht="15" customHeight="1" x14ac:dyDescent="0.25">
      <c r="A299" s="252">
        <v>107.22</v>
      </c>
      <c r="B299" s="253" t="s">
        <v>566</v>
      </c>
      <c r="C299" s="226">
        <v>0</v>
      </c>
    </row>
    <row r="300" spans="1:5" ht="15" customHeight="1" x14ac:dyDescent="0.25">
      <c r="A300" s="252">
        <v>107.3</v>
      </c>
      <c r="B300" s="253" t="s">
        <v>509</v>
      </c>
      <c r="C300" s="226">
        <v>0</v>
      </c>
    </row>
    <row r="301" spans="1:5" ht="15" customHeight="1" x14ac:dyDescent="0.25">
      <c r="A301" s="252">
        <v>107.7</v>
      </c>
      <c r="B301" s="253" t="s">
        <v>510</v>
      </c>
      <c r="C301" s="226">
        <v>0</v>
      </c>
    </row>
    <row r="302" spans="1:5" ht="15" customHeight="1" x14ac:dyDescent="0.25">
      <c r="A302" s="252">
        <v>108.5</v>
      </c>
      <c r="B302" s="253" t="s">
        <v>156</v>
      </c>
      <c r="C302" s="226">
        <v>-1590777.52</v>
      </c>
    </row>
    <row r="303" spans="1:5" ht="15" customHeight="1" x14ac:dyDescent="0.25">
      <c r="A303" s="252">
        <v>108.51</v>
      </c>
      <c r="B303" s="253" t="s">
        <v>511</v>
      </c>
      <c r="C303" s="226">
        <v>-3199959.42</v>
      </c>
    </row>
    <row r="304" spans="1:5" ht="15" customHeight="1" x14ac:dyDescent="0.25">
      <c r="A304" s="252">
        <v>108.53</v>
      </c>
      <c r="B304" s="253" t="s">
        <v>512</v>
      </c>
      <c r="C304" s="226">
        <v>0</v>
      </c>
    </row>
    <row r="305" spans="1:3" ht="15" customHeight="1" x14ac:dyDescent="0.25">
      <c r="A305" s="252">
        <v>108.54</v>
      </c>
      <c r="B305" s="253" t="s">
        <v>513</v>
      </c>
      <c r="C305" s="226">
        <v>-499808.74</v>
      </c>
    </row>
    <row r="306" spans="1:3" ht="15" customHeight="1" x14ac:dyDescent="0.25">
      <c r="A306" s="252">
        <v>108.6</v>
      </c>
      <c r="B306" s="253" t="s">
        <v>157</v>
      </c>
      <c r="C306" s="226">
        <v>-46314198.189999998</v>
      </c>
    </row>
    <row r="307" spans="1:3" ht="15" customHeight="1" x14ac:dyDescent="0.25">
      <c r="A307" s="252">
        <v>108.61</v>
      </c>
      <c r="B307" s="253" t="s">
        <v>514</v>
      </c>
      <c r="C307" s="226">
        <v>-3526479.78</v>
      </c>
    </row>
    <row r="308" spans="1:3" ht="15" customHeight="1" x14ac:dyDescent="0.25">
      <c r="A308" s="252">
        <v>108.65</v>
      </c>
      <c r="B308" s="253" t="s">
        <v>805</v>
      </c>
      <c r="C308" s="226">
        <v>-437595.83</v>
      </c>
    </row>
    <row r="309" spans="1:3" ht="15" customHeight="1" x14ac:dyDescent="0.25">
      <c r="A309" s="252">
        <v>108.7</v>
      </c>
      <c r="B309" s="253" t="s">
        <v>158</v>
      </c>
      <c r="C309" s="226">
        <v>-2047658.28</v>
      </c>
    </row>
    <row r="310" spans="1:3" ht="15" customHeight="1" x14ac:dyDescent="0.25">
      <c r="A310" s="252">
        <v>108.71</v>
      </c>
      <c r="B310" s="253" t="s">
        <v>159</v>
      </c>
      <c r="C310" s="226">
        <v>-3223439.02</v>
      </c>
    </row>
    <row r="311" spans="1:3" ht="15" customHeight="1" x14ac:dyDescent="0.25">
      <c r="A311" s="252">
        <v>108.72</v>
      </c>
      <c r="B311" s="253" t="s">
        <v>160</v>
      </c>
      <c r="C311" s="226">
        <v>-255392.58</v>
      </c>
    </row>
    <row r="312" spans="1:3" ht="15" customHeight="1" x14ac:dyDescent="0.25">
      <c r="A312" s="252">
        <v>108.73</v>
      </c>
      <c r="B312" s="253" t="s">
        <v>161</v>
      </c>
      <c r="C312" s="226">
        <v>-1055887.8999999999</v>
      </c>
    </row>
    <row r="313" spans="1:3" ht="15" customHeight="1" x14ac:dyDescent="0.25">
      <c r="A313" s="252">
        <v>108.74</v>
      </c>
      <c r="B313" s="253" t="s">
        <v>515</v>
      </c>
      <c r="C313" s="226">
        <v>-375607.2</v>
      </c>
    </row>
    <row r="314" spans="1:3" ht="15" customHeight="1" x14ac:dyDescent="0.25">
      <c r="A314" s="252">
        <v>108.75</v>
      </c>
      <c r="B314" s="253" t="s">
        <v>516</v>
      </c>
      <c r="C314" s="226">
        <v>-39076.85</v>
      </c>
    </row>
    <row r="315" spans="1:3" ht="15" customHeight="1" x14ac:dyDescent="0.25">
      <c r="A315" s="252">
        <v>108.76</v>
      </c>
      <c r="B315" s="253" t="s">
        <v>162</v>
      </c>
      <c r="C315" s="226">
        <v>-6895535.0800000001</v>
      </c>
    </row>
    <row r="316" spans="1:3" ht="15" customHeight="1" x14ac:dyDescent="0.25">
      <c r="A316" s="252">
        <v>108.77</v>
      </c>
      <c r="B316" s="253" t="s">
        <v>163</v>
      </c>
      <c r="C316" s="226">
        <v>-463257.24</v>
      </c>
    </row>
    <row r="317" spans="1:3" ht="15" customHeight="1" x14ac:dyDescent="0.25">
      <c r="A317" s="252">
        <v>108.78</v>
      </c>
      <c r="B317" s="253" t="s">
        <v>517</v>
      </c>
      <c r="C317" s="226">
        <v>-8241.3799999999992</v>
      </c>
    </row>
    <row r="318" spans="1:3" ht="15" customHeight="1" x14ac:dyDescent="0.25">
      <c r="A318" s="252">
        <v>108.79</v>
      </c>
      <c r="B318" s="253" t="s">
        <v>164</v>
      </c>
      <c r="C318" s="226">
        <v>-3164127.64</v>
      </c>
    </row>
    <row r="319" spans="1:3" ht="15" customHeight="1" x14ac:dyDescent="0.25">
      <c r="A319" s="252">
        <v>108.8</v>
      </c>
      <c r="B319" s="253" t="s">
        <v>321</v>
      </c>
      <c r="C319" s="226">
        <v>306202.12</v>
      </c>
    </row>
    <row r="320" spans="1:3" ht="15" customHeight="1" x14ac:dyDescent="0.25">
      <c r="A320" s="252">
        <v>114</v>
      </c>
      <c r="B320" s="253" t="s">
        <v>186</v>
      </c>
      <c r="C320" s="226">
        <v>157931.46</v>
      </c>
    </row>
    <row r="321" spans="1:3" ht="15" customHeight="1" x14ac:dyDescent="0.25">
      <c r="A321" s="252">
        <v>115</v>
      </c>
      <c r="B321" s="253" t="s">
        <v>518</v>
      </c>
      <c r="C321" s="226">
        <v>-157931.46</v>
      </c>
    </row>
    <row r="322" spans="1:3" ht="15" customHeight="1" x14ac:dyDescent="0.25">
      <c r="A322" s="252">
        <v>121</v>
      </c>
      <c r="B322" s="253" t="s">
        <v>567</v>
      </c>
      <c r="C322" s="226">
        <v>65696.929999999993</v>
      </c>
    </row>
    <row r="323" spans="1:3" ht="15" customHeight="1" x14ac:dyDescent="0.25">
      <c r="A323" s="252">
        <v>123.1</v>
      </c>
      <c r="B323" s="253" t="s">
        <v>519</v>
      </c>
      <c r="C323" s="226">
        <v>3395042.54</v>
      </c>
    </row>
    <row r="324" spans="1:3" ht="15" customHeight="1" x14ac:dyDescent="0.25">
      <c r="A324" s="252">
        <v>123.11</v>
      </c>
      <c r="B324" s="253" t="s">
        <v>187</v>
      </c>
      <c r="C324" s="226">
        <v>62.8</v>
      </c>
    </row>
    <row r="325" spans="1:3" ht="15" customHeight="1" x14ac:dyDescent="0.25">
      <c r="A325" s="252">
        <v>123.12</v>
      </c>
      <c r="B325" s="253" t="s">
        <v>232</v>
      </c>
      <c r="C325" s="226">
        <v>19868.669999999998</v>
      </c>
    </row>
    <row r="326" spans="1:3" ht="15" customHeight="1" x14ac:dyDescent="0.25">
      <c r="A326" s="252">
        <v>123.13</v>
      </c>
      <c r="B326" s="253" t="s">
        <v>292</v>
      </c>
      <c r="C326" s="226">
        <v>1953733.36</v>
      </c>
    </row>
    <row r="327" spans="1:3" ht="15" customHeight="1" x14ac:dyDescent="0.25">
      <c r="A327" s="252">
        <v>123.14</v>
      </c>
      <c r="B327" s="253" t="s">
        <v>293</v>
      </c>
      <c r="C327" s="226">
        <v>271392.40999999997</v>
      </c>
    </row>
    <row r="328" spans="1:3" ht="15" customHeight="1" x14ac:dyDescent="0.25">
      <c r="A328" s="252">
        <v>123.15</v>
      </c>
      <c r="B328" s="253" t="s">
        <v>520</v>
      </c>
      <c r="C328" s="226">
        <v>7576.73</v>
      </c>
    </row>
    <row r="329" spans="1:3" ht="15" customHeight="1" x14ac:dyDescent="0.25">
      <c r="A329" s="252">
        <v>123.16</v>
      </c>
      <c r="B329" s="253" t="s">
        <v>838</v>
      </c>
      <c r="C329" s="226">
        <v>156360</v>
      </c>
    </row>
    <row r="330" spans="1:3" ht="15" customHeight="1" x14ac:dyDescent="0.25">
      <c r="A330" s="252">
        <v>123.17</v>
      </c>
      <c r="B330" s="253" t="s">
        <v>1019</v>
      </c>
      <c r="C330" s="226">
        <v>3824</v>
      </c>
    </row>
    <row r="331" spans="1:3" ht="15" customHeight="1" x14ac:dyDescent="0.25">
      <c r="A331" s="252">
        <v>124.1</v>
      </c>
      <c r="B331" s="253" t="s">
        <v>188</v>
      </c>
      <c r="C331" s="226">
        <v>43134769.590000004</v>
      </c>
    </row>
    <row r="332" spans="1:3" ht="15" customHeight="1" x14ac:dyDescent="0.25">
      <c r="A332" s="252">
        <v>124.2</v>
      </c>
      <c r="B332" s="253" t="s">
        <v>521</v>
      </c>
      <c r="C332" s="226">
        <v>438038.62</v>
      </c>
    </row>
    <row r="333" spans="1:3" ht="15" customHeight="1" x14ac:dyDescent="0.25">
      <c r="A333" s="252">
        <v>128.30000000000001</v>
      </c>
      <c r="B333" s="253" t="s">
        <v>715</v>
      </c>
      <c r="C333" s="226">
        <v>280670.59999999998</v>
      </c>
    </row>
    <row r="334" spans="1:3" ht="15" customHeight="1" x14ac:dyDescent="0.25">
      <c r="A334" s="252">
        <v>131.1</v>
      </c>
      <c r="B334" s="253" t="s">
        <v>522</v>
      </c>
      <c r="C334" s="226">
        <v>38925.56</v>
      </c>
    </row>
    <row r="335" spans="1:3" ht="15" customHeight="1" x14ac:dyDescent="0.25">
      <c r="A335" s="252">
        <v>131.12</v>
      </c>
      <c r="B335" s="253" t="s">
        <v>716</v>
      </c>
      <c r="C335" s="226">
        <v>0</v>
      </c>
    </row>
    <row r="336" spans="1:3" ht="15" customHeight="1" x14ac:dyDescent="0.25">
      <c r="A336" s="252">
        <v>131.13999999999999</v>
      </c>
      <c r="B336" s="253" t="s">
        <v>523</v>
      </c>
      <c r="C336" s="226">
        <v>0</v>
      </c>
    </row>
    <row r="337" spans="1:3" ht="15" customHeight="1" x14ac:dyDescent="0.25">
      <c r="A337" s="252">
        <v>131.15</v>
      </c>
      <c r="B337" s="253" t="s">
        <v>524</v>
      </c>
      <c r="C337" s="226">
        <v>1953255.37</v>
      </c>
    </row>
    <row r="338" spans="1:3" ht="15" customHeight="1" x14ac:dyDescent="0.25">
      <c r="A338" s="252">
        <v>131.16</v>
      </c>
      <c r="B338" s="253" t="s">
        <v>1020</v>
      </c>
      <c r="C338" s="226">
        <v>7000</v>
      </c>
    </row>
    <row r="339" spans="1:3" ht="15" customHeight="1" x14ac:dyDescent="0.25">
      <c r="A339" s="252">
        <v>131.99</v>
      </c>
      <c r="B339" s="253" t="s">
        <v>568</v>
      </c>
      <c r="C339" s="226">
        <v>0</v>
      </c>
    </row>
    <row r="340" spans="1:3" ht="15" customHeight="1" x14ac:dyDescent="0.25">
      <c r="A340" s="252">
        <v>134</v>
      </c>
      <c r="B340" s="253" t="s">
        <v>189</v>
      </c>
      <c r="C340" s="226">
        <v>0</v>
      </c>
    </row>
    <row r="341" spans="1:3" ht="15" customHeight="1" x14ac:dyDescent="0.25">
      <c r="A341" s="252">
        <v>134.19999999999999</v>
      </c>
      <c r="B341" s="253" t="s">
        <v>527</v>
      </c>
      <c r="C341" s="226">
        <v>0</v>
      </c>
    </row>
    <row r="342" spans="1:3" ht="15" customHeight="1" x14ac:dyDescent="0.25">
      <c r="A342" s="252">
        <v>134.4</v>
      </c>
      <c r="B342" s="253" t="s">
        <v>526</v>
      </c>
      <c r="C342" s="226">
        <v>8956.9500000000007</v>
      </c>
    </row>
    <row r="343" spans="1:3" ht="15" customHeight="1" x14ac:dyDescent="0.25">
      <c r="A343" s="252">
        <v>135</v>
      </c>
      <c r="B343" s="253" t="s">
        <v>525</v>
      </c>
      <c r="C343" s="226">
        <v>700</v>
      </c>
    </row>
    <row r="344" spans="1:3" ht="15" customHeight="1" x14ac:dyDescent="0.25">
      <c r="A344" s="252">
        <v>142.01</v>
      </c>
      <c r="B344" s="253" t="s">
        <v>529</v>
      </c>
      <c r="C344" s="226">
        <v>5961192.0499999998</v>
      </c>
    </row>
    <row r="345" spans="1:3" ht="15" customHeight="1" x14ac:dyDescent="0.25">
      <c r="A345" s="252">
        <v>142.1</v>
      </c>
      <c r="B345" s="253" t="s">
        <v>530</v>
      </c>
      <c r="C345" s="226">
        <v>4962180.18</v>
      </c>
    </row>
    <row r="346" spans="1:3" ht="15" customHeight="1" x14ac:dyDescent="0.25">
      <c r="A346" s="252">
        <v>142.11000000000001</v>
      </c>
      <c r="B346" s="253" t="s">
        <v>168</v>
      </c>
      <c r="C346" s="226">
        <v>0</v>
      </c>
    </row>
    <row r="347" spans="1:3" ht="15" customHeight="1" x14ac:dyDescent="0.25">
      <c r="A347" s="252">
        <v>142.12</v>
      </c>
      <c r="B347" s="253" t="s">
        <v>531</v>
      </c>
      <c r="C347" s="226">
        <v>0</v>
      </c>
    </row>
    <row r="348" spans="1:3" ht="15" customHeight="1" x14ac:dyDescent="0.25">
      <c r="A348" s="252">
        <v>142.13</v>
      </c>
      <c r="B348" s="253" t="s">
        <v>806</v>
      </c>
      <c r="C348" s="226">
        <v>0</v>
      </c>
    </row>
    <row r="349" spans="1:3" ht="15" customHeight="1" x14ac:dyDescent="0.25">
      <c r="A349" s="252">
        <v>142.19999999999999</v>
      </c>
      <c r="B349" s="253" t="s">
        <v>532</v>
      </c>
      <c r="C349" s="226">
        <v>40.619999999999997</v>
      </c>
    </row>
    <row r="350" spans="1:3" ht="15" customHeight="1" x14ac:dyDescent="0.25">
      <c r="A350" s="252">
        <v>142.21</v>
      </c>
      <c r="B350" s="253" t="s">
        <v>533</v>
      </c>
      <c r="C350" s="226">
        <v>573275.72</v>
      </c>
    </row>
    <row r="351" spans="1:3" ht="15" customHeight="1" x14ac:dyDescent="0.25">
      <c r="A351" s="252">
        <v>142.24</v>
      </c>
      <c r="B351" s="253" t="s">
        <v>534</v>
      </c>
      <c r="C351" s="226">
        <v>0</v>
      </c>
    </row>
    <row r="352" spans="1:3" ht="15" customHeight="1" x14ac:dyDescent="0.25">
      <c r="A352" s="252">
        <v>142.25</v>
      </c>
      <c r="B352" s="253" t="s">
        <v>535</v>
      </c>
      <c r="C352" s="226">
        <v>0</v>
      </c>
    </row>
    <row r="353" spans="1:3" ht="15" customHeight="1" x14ac:dyDescent="0.25">
      <c r="A353" s="252">
        <v>142.27000000000001</v>
      </c>
      <c r="B353" s="253" t="s">
        <v>536</v>
      </c>
      <c r="C353" s="226">
        <v>2562200.83</v>
      </c>
    </row>
    <row r="354" spans="1:3" ht="15" customHeight="1" x14ac:dyDescent="0.25">
      <c r="A354" s="252">
        <v>142.28</v>
      </c>
      <c r="B354" s="253" t="s">
        <v>537</v>
      </c>
      <c r="C354" s="226">
        <v>1201.8399999999999</v>
      </c>
    </row>
    <row r="355" spans="1:3" ht="15" customHeight="1" x14ac:dyDescent="0.25">
      <c r="A355" s="252">
        <v>142.29</v>
      </c>
      <c r="B355" s="253" t="s">
        <v>538</v>
      </c>
      <c r="C355" s="226">
        <v>3411427.92</v>
      </c>
    </row>
    <row r="356" spans="1:3" ht="15" customHeight="1" x14ac:dyDescent="0.25">
      <c r="A356" s="252">
        <v>142.97</v>
      </c>
      <c r="B356" s="253" t="s">
        <v>717</v>
      </c>
      <c r="C356" s="226">
        <v>0</v>
      </c>
    </row>
    <row r="357" spans="1:3" ht="15" customHeight="1" x14ac:dyDescent="0.25">
      <c r="A357" s="252">
        <v>142.97999999999999</v>
      </c>
      <c r="B357" s="253" t="s">
        <v>892</v>
      </c>
      <c r="C357" s="226">
        <v>0</v>
      </c>
    </row>
    <row r="358" spans="1:3" ht="15" customHeight="1" x14ac:dyDescent="0.25">
      <c r="A358" s="252">
        <v>142.99</v>
      </c>
      <c r="B358" s="253" t="s">
        <v>233</v>
      </c>
      <c r="C358" s="226">
        <v>0</v>
      </c>
    </row>
    <row r="359" spans="1:3" ht="15" customHeight="1" x14ac:dyDescent="0.25">
      <c r="A359" s="252">
        <v>144.1</v>
      </c>
      <c r="B359" s="253" t="s">
        <v>190</v>
      </c>
      <c r="C359" s="226">
        <v>4956521.1399999997</v>
      </c>
    </row>
    <row r="360" spans="1:3" ht="15" customHeight="1" x14ac:dyDescent="0.25">
      <c r="A360" s="252">
        <v>144.11000000000001</v>
      </c>
      <c r="B360" s="253" t="s">
        <v>191</v>
      </c>
      <c r="C360" s="226">
        <v>-5070560.8</v>
      </c>
    </row>
    <row r="361" spans="1:3" ht="15" customHeight="1" x14ac:dyDescent="0.25">
      <c r="A361" s="252">
        <v>144.19999999999999</v>
      </c>
      <c r="B361" s="253" t="s">
        <v>539</v>
      </c>
      <c r="C361" s="226">
        <v>-569378.11</v>
      </c>
    </row>
    <row r="362" spans="1:3" ht="15" customHeight="1" x14ac:dyDescent="0.25">
      <c r="A362" s="252">
        <v>144.21</v>
      </c>
      <c r="B362" s="253" t="s">
        <v>204</v>
      </c>
      <c r="C362" s="226">
        <v>560534.23</v>
      </c>
    </row>
    <row r="363" spans="1:3" ht="15" customHeight="1" x14ac:dyDescent="0.25">
      <c r="A363" s="252">
        <v>144.30000000000001</v>
      </c>
      <c r="B363" s="253" t="s">
        <v>528</v>
      </c>
      <c r="C363" s="226">
        <v>0</v>
      </c>
    </row>
    <row r="364" spans="1:3" ht="15" customHeight="1" x14ac:dyDescent="0.25">
      <c r="A364" s="252">
        <v>144.31</v>
      </c>
      <c r="B364" s="253" t="s">
        <v>295</v>
      </c>
      <c r="C364" s="226">
        <v>0</v>
      </c>
    </row>
    <row r="365" spans="1:3" ht="15" customHeight="1" x14ac:dyDescent="0.25">
      <c r="A365" s="252">
        <v>144.4</v>
      </c>
      <c r="B365" s="253" t="s">
        <v>169</v>
      </c>
      <c r="C365" s="226">
        <v>145199.24</v>
      </c>
    </row>
    <row r="366" spans="1:3" ht="15" customHeight="1" x14ac:dyDescent="0.25">
      <c r="A366" s="252">
        <v>144.41</v>
      </c>
      <c r="B366" s="253" t="s">
        <v>170</v>
      </c>
      <c r="C366" s="226">
        <v>-145199.24</v>
      </c>
    </row>
    <row r="367" spans="1:3" ht="15" customHeight="1" x14ac:dyDescent="0.25">
      <c r="A367" s="252">
        <v>144.5</v>
      </c>
      <c r="B367" s="253" t="s">
        <v>822</v>
      </c>
      <c r="C367" s="226">
        <v>0</v>
      </c>
    </row>
    <row r="368" spans="1:3" ht="15" customHeight="1" x14ac:dyDescent="0.25">
      <c r="A368" s="252">
        <v>146</v>
      </c>
      <c r="B368" s="253" t="s">
        <v>718</v>
      </c>
      <c r="C368" s="226">
        <v>0</v>
      </c>
    </row>
    <row r="369" spans="1:3" ht="15" customHeight="1" x14ac:dyDescent="0.25">
      <c r="A369" s="252">
        <v>146.01</v>
      </c>
      <c r="B369" s="253" t="s">
        <v>807</v>
      </c>
      <c r="C369" s="226">
        <v>0</v>
      </c>
    </row>
    <row r="370" spans="1:3" ht="15" customHeight="1" x14ac:dyDescent="0.25">
      <c r="A370" s="252">
        <v>154</v>
      </c>
      <c r="B370" s="253" t="s">
        <v>205</v>
      </c>
      <c r="C370" s="226">
        <v>7688542.8300000001</v>
      </c>
    </row>
    <row r="371" spans="1:3" ht="15" customHeight="1" x14ac:dyDescent="0.25">
      <c r="A371" s="252">
        <v>154.19999999999999</v>
      </c>
      <c r="B371" s="253" t="s">
        <v>206</v>
      </c>
      <c r="C371" s="226">
        <v>10782</v>
      </c>
    </row>
    <row r="372" spans="1:3" ht="15" customHeight="1" x14ac:dyDescent="0.25">
      <c r="A372" s="252">
        <v>154.99</v>
      </c>
      <c r="B372" s="253" t="s">
        <v>540</v>
      </c>
      <c r="C372" s="226">
        <v>0</v>
      </c>
    </row>
    <row r="373" spans="1:3" ht="15" customHeight="1" x14ac:dyDescent="0.25">
      <c r="A373" s="252">
        <v>163</v>
      </c>
      <c r="B373" s="253" t="s">
        <v>208</v>
      </c>
      <c r="C373" s="226">
        <v>458793.69</v>
      </c>
    </row>
    <row r="374" spans="1:3" ht="15" customHeight="1" x14ac:dyDescent="0.25">
      <c r="A374" s="252">
        <v>163.01</v>
      </c>
      <c r="B374" s="253" t="s">
        <v>541</v>
      </c>
      <c r="C374" s="226">
        <v>0</v>
      </c>
    </row>
    <row r="375" spans="1:3" ht="15" customHeight="1" x14ac:dyDescent="0.25">
      <c r="A375" s="252">
        <v>163.02000000000001</v>
      </c>
      <c r="B375" s="253" t="s">
        <v>171</v>
      </c>
      <c r="C375" s="226">
        <v>-272801.13</v>
      </c>
    </row>
    <row r="376" spans="1:3" ht="15" customHeight="1" x14ac:dyDescent="0.25">
      <c r="A376" s="252">
        <v>165.1</v>
      </c>
      <c r="B376" s="253" t="s">
        <v>542</v>
      </c>
      <c r="C376" s="226">
        <v>57241.56</v>
      </c>
    </row>
    <row r="377" spans="1:3" ht="15" customHeight="1" x14ac:dyDescent="0.25">
      <c r="A377" s="252">
        <v>165.15</v>
      </c>
      <c r="B377" s="253" t="s">
        <v>569</v>
      </c>
      <c r="C377" s="226">
        <v>0</v>
      </c>
    </row>
    <row r="378" spans="1:3" ht="15" customHeight="1" x14ac:dyDescent="0.25">
      <c r="A378" s="252">
        <v>165.16</v>
      </c>
      <c r="B378" s="253" t="s">
        <v>570</v>
      </c>
      <c r="C378" s="226">
        <v>-0.04</v>
      </c>
    </row>
    <row r="379" spans="1:3" ht="15" customHeight="1" x14ac:dyDescent="0.25">
      <c r="A379" s="252">
        <v>165.2</v>
      </c>
      <c r="B379" s="253" t="s">
        <v>216</v>
      </c>
      <c r="C379" s="226">
        <v>729168.24</v>
      </c>
    </row>
    <row r="380" spans="1:3" ht="15" customHeight="1" x14ac:dyDescent="0.25">
      <c r="A380" s="252">
        <v>165.21</v>
      </c>
      <c r="B380" s="253" t="s">
        <v>543</v>
      </c>
      <c r="C380" s="226">
        <v>0</v>
      </c>
    </row>
    <row r="381" spans="1:3" ht="15" customHeight="1" x14ac:dyDescent="0.25">
      <c r="A381" s="252">
        <v>165.22</v>
      </c>
      <c r="B381" s="253" t="s">
        <v>172</v>
      </c>
      <c r="C381" s="226">
        <v>4500</v>
      </c>
    </row>
    <row r="382" spans="1:3" ht="15" customHeight="1" x14ac:dyDescent="0.25">
      <c r="A382" s="252">
        <v>165.23</v>
      </c>
      <c r="B382" s="253" t="s">
        <v>217</v>
      </c>
      <c r="C382" s="226">
        <v>0</v>
      </c>
    </row>
    <row r="383" spans="1:3" ht="15" customHeight="1" x14ac:dyDescent="0.25">
      <c r="A383" s="252">
        <v>165.24</v>
      </c>
      <c r="B383" s="253" t="s">
        <v>234</v>
      </c>
      <c r="C383" s="226">
        <v>0</v>
      </c>
    </row>
    <row r="384" spans="1:3" ht="15" customHeight="1" x14ac:dyDescent="0.25">
      <c r="A384" s="252">
        <v>165.3</v>
      </c>
      <c r="B384" s="253" t="s">
        <v>218</v>
      </c>
      <c r="C384" s="226">
        <v>-50.32</v>
      </c>
    </row>
    <row r="385" spans="1:3" ht="15" customHeight="1" x14ac:dyDescent="0.25">
      <c r="A385" s="252">
        <v>165.4</v>
      </c>
      <c r="B385" s="253" t="s">
        <v>219</v>
      </c>
      <c r="C385" s="226">
        <v>19.66</v>
      </c>
    </row>
    <row r="386" spans="1:3" ht="15" customHeight="1" x14ac:dyDescent="0.25">
      <c r="A386" s="252">
        <v>165.5</v>
      </c>
      <c r="B386" s="253" t="s">
        <v>220</v>
      </c>
      <c r="C386" s="226">
        <v>-19.47</v>
      </c>
    </row>
    <row r="387" spans="1:3" ht="15" customHeight="1" x14ac:dyDescent="0.25">
      <c r="A387" s="252">
        <v>165.6</v>
      </c>
      <c r="B387" s="253" t="s">
        <v>544</v>
      </c>
      <c r="C387" s="226">
        <v>743.87</v>
      </c>
    </row>
    <row r="388" spans="1:3" ht="15" customHeight="1" x14ac:dyDescent="0.25">
      <c r="A388" s="252">
        <v>165.7</v>
      </c>
      <c r="B388" s="253" t="s">
        <v>221</v>
      </c>
      <c r="C388" s="226">
        <v>0</v>
      </c>
    </row>
    <row r="389" spans="1:3" ht="15" customHeight="1" x14ac:dyDescent="0.25">
      <c r="A389" s="252">
        <v>165.8</v>
      </c>
      <c r="B389" s="253" t="s">
        <v>545</v>
      </c>
      <c r="C389" s="226">
        <v>-0.02</v>
      </c>
    </row>
    <row r="390" spans="1:3" ht="15" customHeight="1" x14ac:dyDescent="0.25">
      <c r="A390" s="252">
        <v>181.41</v>
      </c>
      <c r="B390" s="253" t="s">
        <v>546</v>
      </c>
      <c r="C390" s="226">
        <v>0</v>
      </c>
    </row>
    <row r="391" spans="1:3" ht="15" customHeight="1" x14ac:dyDescent="0.25">
      <c r="A391" s="252">
        <v>182.32</v>
      </c>
      <c r="B391" s="253" t="s">
        <v>719</v>
      </c>
      <c r="C391" s="226">
        <v>0</v>
      </c>
    </row>
    <row r="392" spans="1:3" ht="15" customHeight="1" x14ac:dyDescent="0.25">
      <c r="A392" s="252">
        <v>182.33</v>
      </c>
      <c r="B392" s="253" t="s">
        <v>720</v>
      </c>
      <c r="C392" s="226">
        <v>0</v>
      </c>
    </row>
    <row r="393" spans="1:3" ht="15" customHeight="1" x14ac:dyDescent="0.25">
      <c r="A393" s="252">
        <v>182.34</v>
      </c>
      <c r="B393" s="253" t="s">
        <v>721</v>
      </c>
      <c r="C393" s="226">
        <v>0</v>
      </c>
    </row>
    <row r="394" spans="1:3" ht="15" customHeight="1" x14ac:dyDescent="0.25">
      <c r="A394" s="252">
        <v>183.03</v>
      </c>
      <c r="B394" s="253" t="s">
        <v>547</v>
      </c>
      <c r="C394" s="226">
        <v>0</v>
      </c>
    </row>
    <row r="395" spans="1:3" ht="15" customHeight="1" x14ac:dyDescent="0.25">
      <c r="A395" s="252">
        <v>183.06</v>
      </c>
      <c r="B395" s="253" t="s">
        <v>548</v>
      </c>
      <c r="C395" s="226">
        <v>0</v>
      </c>
    </row>
    <row r="396" spans="1:3" ht="15" customHeight="1" x14ac:dyDescent="0.25">
      <c r="A396" s="252">
        <v>183.08</v>
      </c>
      <c r="B396" s="253" t="s">
        <v>549</v>
      </c>
      <c r="C396" s="226">
        <v>0</v>
      </c>
    </row>
    <row r="397" spans="1:3" ht="15" customHeight="1" x14ac:dyDescent="0.25">
      <c r="A397" s="252">
        <v>183.09</v>
      </c>
      <c r="B397" s="253" t="s">
        <v>571</v>
      </c>
      <c r="C397" s="226">
        <v>0</v>
      </c>
    </row>
    <row r="398" spans="1:3" ht="15" customHeight="1" x14ac:dyDescent="0.25">
      <c r="A398" s="252">
        <v>183.1</v>
      </c>
      <c r="B398" s="253" t="s">
        <v>550</v>
      </c>
      <c r="C398" s="226">
        <v>0</v>
      </c>
    </row>
    <row r="399" spans="1:3" ht="15" customHeight="1" x14ac:dyDescent="0.25">
      <c r="A399" s="252">
        <v>183.12</v>
      </c>
      <c r="B399" s="253" t="s">
        <v>551</v>
      </c>
      <c r="C399" s="226">
        <v>0</v>
      </c>
    </row>
    <row r="400" spans="1:3" ht="15" customHeight="1" x14ac:dyDescent="0.25">
      <c r="A400" s="252">
        <v>183.14</v>
      </c>
      <c r="B400" s="253" t="s">
        <v>722</v>
      </c>
      <c r="C400" s="226">
        <v>0</v>
      </c>
    </row>
    <row r="401" spans="1:3" ht="15" customHeight="1" x14ac:dyDescent="0.25">
      <c r="A401" s="252">
        <v>183.16</v>
      </c>
      <c r="B401" s="253" t="s">
        <v>808</v>
      </c>
      <c r="C401" s="226">
        <v>0</v>
      </c>
    </row>
    <row r="402" spans="1:3" ht="15" customHeight="1" x14ac:dyDescent="0.25">
      <c r="A402" s="252">
        <v>183.17</v>
      </c>
      <c r="B402" s="253" t="s">
        <v>552</v>
      </c>
      <c r="C402" s="226">
        <v>0</v>
      </c>
    </row>
    <row r="403" spans="1:3" ht="15" customHeight="1" x14ac:dyDescent="0.25">
      <c r="A403" s="252">
        <v>183.22</v>
      </c>
      <c r="B403" s="253" t="s">
        <v>553</v>
      </c>
      <c r="C403" s="226">
        <v>0</v>
      </c>
    </row>
    <row r="404" spans="1:3" ht="15" customHeight="1" x14ac:dyDescent="0.25">
      <c r="A404" s="252">
        <v>183.24</v>
      </c>
      <c r="B404" s="253" t="s">
        <v>554</v>
      </c>
      <c r="C404" s="226">
        <v>0</v>
      </c>
    </row>
    <row r="405" spans="1:3" ht="15" customHeight="1" x14ac:dyDescent="0.25">
      <c r="A405" s="252">
        <v>183.25</v>
      </c>
      <c r="B405" s="253" t="s">
        <v>555</v>
      </c>
      <c r="C405" s="226">
        <v>0</v>
      </c>
    </row>
    <row r="406" spans="1:3" ht="15" customHeight="1" x14ac:dyDescent="0.25">
      <c r="A406" s="252">
        <v>183.26</v>
      </c>
      <c r="B406" s="253" t="s">
        <v>556</v>
      </c>
      <c r="C406" s="226">
        <v>0</v>
      </c>
    </row>
    <row r="407" spans="1:3" ht="15" customHeight="1" x14ac:dyDescent="0.25">
      <c r="A407" s="252">
        <v>183.27</v>
      </c>
      <c r="B407" s="253" t="s">
        <v>557</v>
      </c>
      <c r="C407" s="226">
        <v>0</v>
      </c>
    </row>
    <row r="408" spans="1:3" ht="15" customHeight="1" x14ac:dyDescent="0.25">
      <c r="A408" s="252">
        <v>183.31</v>
      </c>
      <c r="B408" s="253" t="s">
        <v>558</v>
      </c>
      <c r="C408" s="226">
        <v>0</v>
      </c>
    </row>
    <row r="409" spans="1:3" ht="15" customHeight="1" x14ac:dyDescent="0.25">
      <c r="A409" s="252">
        <v>183.32</v>
      </c>
      <c r="B409" s="253" t="s">
        <v>572</v>
      </c>
      <c r="C409" s="226">
        <v>0</v>
      </c>
    </row>
    <row r="410" spans="1:3" ht="15" customHeight="1" x14ac:dyDescent="0.25">
      <c r="A410" s="252">
        <v>183.33</v>
      </c>
      <c r="B410" s="253" t="s">
        <v>573</v>
      </c>
      <c r="C410" s="226">
        <v>0</v>
      </c>
    </row>
    <row r="411" spans="1:3" ht="15" customHeight="1" x14ac:dyDescent="0.25">
      <c r="A411" s="252">
        <v>183.34</v>
      </c>
      <c r="B411" s="253" t="s">
        <v>723</v>
      </c>
      <c r="C411" s="226">
        <v>0</v>
      </c>
    </row>
    <row r="412" spans="1:3" ht="15" customHeight="1" x14ac:dyDescent="0.25">
      <c r="A412" s="252">
        <v>183.35</v>
      </c>
      <c r="B412" s="253" t="s">
        <v>724</v>
      </c>
      <c r="C412" s="226">
        <v>0</v>
      </c>
    </row>
    <row r="413" spans="1:3" ht="15" customHeight="1" x14ac:dyDescent="0.25">
      <c r="A413" s="252">
        <v>183.36</v>
      </c>
      <c r="B413" s="253" t="s">
        <v>725</v>
      </c>
      <c r="C413" s="226">
        <v>0</v>
      </c>
    </row>
    <row r="414" spans="1:3" ht="15" customHeight="1" x14ac:dyDescent="0.25">
      <c r="A414" s="252">
        <v>183.37</v>
      </c>
      <c r="B414" s="253" t="s">
        <v>726</v>
      </c>
      <c r="C414" s="226">
        <v>0</v>
      </c>
    </row>
    <row r="415" spans="1:3" ht="15" customHeight="1" x14ac:dyDescent="0.25">
      <c r="A415" s="252">
        <v>183.38</v>
      </c>
      <c r="B415" s="253" t="s">
        <v>727</v>
      </c>
      <c r="C415" s="226">
        <v>0</v>
      </c>
    </row>
    <row r="416" spans="1:3" ht="15" customHeight="1" x14ac:dyDescent="0.25">
      <c r="A416" s="252">
        <v>183.39</v>
      </c>
      <c r="B416" s="253" t="s">
        <v>728</v>
      </c>
      <c r="C416" s="226">
        <v>0</v>
      </c>
    </row>
    <row r="417" spans="1:3" ht="15" customHeight="1" x14ac:dyDescent="0.25">
      <c r="A417" s="252">
        <v>183.4</v>
      </c>
      <c r="B417" s="253" t="s">
        <v>729</v>
      </c>
      <c r="C417" s="226">
        <v>0</v>
      </c>
    </row>
    <row r="418" spans="1:3" ht="15" customHeight="1" x14ac:dyDescent="0.25">
      <c r="A418" s="252">
        <v>183.41</v>
      </c>
      <c r="B418" s="253" t="s">
        <v>730</v>
      </c>
      <c r="C418" s="226">
        <v>0</v>
      </c>
    </row>
    <row r="419" spans="1:3" ht="15" customHeight="1" x14ac:dyDescent="0.25">
      <c r="A419" s="252">
        <v>183.42</v>
      </c>
      <c r="B419" s="253" t="s">
        <v>731</v>
      </c>
      <c r="C419" s="226">
        <v>0</v>
      </c>
    </row>
    <row r="420" spans="1:3" ht="15" customHeight="1" x14ac:dyDescent="0.25">
      <c r="A420" s="252">
        <v>183.43</v>
      </c>
      <c r="B420" s="253" t="s">
        <v>732</v>
      </c>
      <c r="C420" s="226">
        <v>0</v>
      </c>
    </row>
    <row r="421" spans="1:3" ht="15" customHeight="1" x14ac:dyDescent="0.25">
      <c r="A421" s="252">
        <v>183.44</v>
      </c>
      <c r="B421" s="253" t="s">
        <v>733</v>
      </c>
      <c r="C421" s="226">
        <v>0</v>
      </c>
    </row>
    <row r="422" spans="1:3" ht="15" customHeight="1" x14ac:dyDescent="0.25">
      <c r="A422" s="252">
        <v>183.45</v>
      </c>
      <c r="B422" s="253" t="s">
        <v>734</v>
      </c>
      <c r="C422" s="226">
        <v>0</v>
      </c>
    </row>
    <row r="423" spans="1:3" ht="15" customHeight="1" x14ac:dyDescent="0.25">
      <c r="A423" s="252">
        <v>183.46</v>
      </c>
      <c r="B423" s="253" t="s">
        <v>735</v>
      </c>
      <c r="C423" s="226">
        <v>0</v>
      </c>
    </row>
    <row r="424" spans="1:3" ht="15" customHeight="1" x14ac:dyDescent="0.25">
      <c r="A424" s="252">
        <v>183.47</v>
      </c>
      <c r="B424" s="253" t="s">
        <v>736</v>
      </c>
      <c r="C424" s="226">
        <v>0</v>
      </c>
    </row>
    <row r="425" spans="1:3" ht="15" customHeight="1" x14ac:dyDescent="0.25">
      <c r="A425" s="252">
        <v>184.01</v>
      </c>
      <c r="B425" s="253" t="s">
        <v>322</v>
      </c>
      <c r="C425" s="226">
        <v>44177.64</v>
      </c>
    </row>
    <row r="426" spans="1:3" ht="15" customHeight="1" x14ac:dyDescent="0.25">
      <c r="A426" s="252">
        <v>184.02</v>
      </c>
      <c r="B426" s="253" t="s">
        <v>323</v>
      </c>
      <c r="C426" s="226">
        <v>2.3646862246096134E-10</v>
      </c>
    </row>
    <row r="427" spans="1:3" ht="15" customHeight="1" x14ac:dyDescent="0.25">
      <c r="A427" s="252">
        <v>184.03</v>
      </c>
      <c r="B427" s="253" t="s">
        <v>559</v>
      </c>
      <c r="C427" s="226">
        <v>0</v>
      </c>
    </row>
    <row r="428" spans="1:3" ht="15" customHeight="1" x14ac:dyDescent="0.25">
      <c r="A428" s="252">
        <v>184.08</v>
      </c>
      <c r="B428" s="253" t="s">
        <v>560</v>
      </c>
      <c r="C428" s="226">
        <v>0</v>
      </c>
    </row>
    <row r="429" spans="1:3" ht="15" customHeight="1" x14ac:dyDescent="0.25">
      <c r="A429" s="252">
        <v>184.14</v>
      </c>
      <c r="B429" s="253" t="s">
        <v>324</v>
      </c>
      <c r="C429" s="226">
        <v>0</v>
      </c>
    </row>
    <row r="430" spans="1:3" ht="15" customHeight="1" x14ac:dyDescent="0.25">
      <c r="A430" s="252">
        <v>184.99</v>
      </c>
      <c r="B430" s="253" t="s">
        <v>737</v>
      </c>
      <c r="C430" s="226">
        <v>0</v>
      </c>
    </row>
    <row r="431" spans="1:3" ht="15" customHeight="1" x14ac:dyDescent="0.25">
      <c r="A431" s="252">
        <v>186.15</v>
      </c>
      <c r="B431" s="253" t="s">
        <v>561</v>
      </c>
      <c r="C431" s="226">
        <v>0</v>
      </c>
    </row>
    <row r="432" spans="1:3" ht="15" customHeight="1" x14ac:dyDescent="0.25">
      <c r="A432" s="252">
        <v>186.21</v>
      </c>
      <c r="B432" s="253" t="s">
        <v>893</v>
      </c>
      <c r="C432" s="226">
        <v>0</v>
      </c>
    </row>
    <row r="433" spans="1:3" ht="15" customHeight="1" x14ac:dyDescent="0.25">
      <c r="A433" s="252">
        <v>200.1</v>
      </c>
      <c r="B433" s="253" t="s">
        <v>574</v>
      </c>
      <c r="C433" s="226">
        <v>0</v>
      </c>
    </row>
    <row r="434" spans="1:3" ht="15" customHeight="1" x14ac:dyDescent="0.25">
      <c r="A434" s="252">
        <v>201.1</v>
      </c>
      <c r="B434" s="253" t="s">
        <v>575</v>
      </c>
      <c r="C434" s="226">
        <v>-91170872.299999997</v>
      </c>
    </row>
    <row r="435" spans="1:3" ht="15" customHeight="1" x14ac:dyDescent="0.25">
      <c r="A435" s="252">
        <v>201.11</v>
      </c>
      <c r="B435" s="253" t="s">
        <v>576</v>
      </c>
      <c r="C435" s="226">
        <v>0</v>
      </c>
    </row>
    <row r="436" spans="1:3" ht="15" customHeight="1" x14ac:dyDescent="0.25">
      <c r="A436" s="252">
        <v>201.2</v>
      </c>
      <c r="B436" s="253" t="s">
        <v>577</v>
      </c>
      <c r="C436" s="226">
        <v>1.68</v>
      </c>
    </row>
    <row r="437" spans="1:3" ht="15" customHeight="1" x14ac:dyDescent="0.25">
      <c r="A437" s="252">
        <v>208</v>
      </c>
      <c r="B437" s="253" t="s">
        <v>578</v>
      </c>
      <c r="C437" s="226">
        <v>-214644.78</v>
      </c>
    </row>
    <row r="438" spans="1:3" ht="15" customHeight="1" x14ac:dyDescent="0.25">
      <c r="A438" s="252">
        <v>208.1</v>
      </c>
      <c r="B438" s="253" t="s">
        <v>809</v>
      </c>
      <c r="C438" s="226">
        <v>-886435.47</v>
      </c>
    </row>
    <row r="439" spans="1:3" ht="15" customHeight="1" x14ac:dyDescent="0.25">
      <c r="A439" s="252">
        <v>208.2</v>
      </c>
      <c r="B439" s="253" t="s">
        <v>738</v>
      </c>
      <c r="C439" s="226">
        <v>0</v>
      </c>
    </row>
    <row r="440" spans="1:3" ht="15" customHeight="1" x14ac:dyDescent="0.25">
      <c r="A440" s="252">
        <v>215</v>
      </c>
      <c r="B440" s="253" t="s">
        <v>579</v>
      </c>
      <c r="C440" s="226">
        <v>-73949.679999999993</v>
      </c>
    </row>
    <row r="441" spans="1:3" ht="15" customHeight="1" x14ac:dyDescent="0.25">
      <c r="A441" s="252">
        <v>217</v>
      </c>
      <c r="B441" s="253" t="s">
        <v>739</v>
      </c>
      <c r="C441" s="226">
        <v>-469669.9</v>
      </c>
    </row>
    <row r="442" spans="1:3" ht="15" customHeight="1" x14ac:dyDescent="0.25">
      <c r="A442" s="252">
        <v>217.1</v>
      </c>
      <c r="B442" s="253" t="s">
        <v>740</v>
      </c>
      <c r="C442" s="226">
        <v>-1027964.66</v>
      </c>
    </row>
    <row r="443" spans="1:3" ht="15" customHeight="1" x14ac:dyDescent="0.25">
      <c r="A443" s="252">
        <v>217.2</v>
      </c>
      <c r="B443" s="253" t="s">
        <v>741</v>
      </c>
      <c r="C443" s="226">
        <v>-45532.86</v>
      </c>
    </row>
    <row r="444" spans="1:3" ht="15" customHeight="1" x14ac:dyDescent="0.25">
      <c r="A444" s="252">
        <v>217.3</v>
      </c>
      <c r="B444" s="253" t="s">
        <v>810</v>
      </c>
      <c r="C444" s="226">
        <v>-163795.85</v>
      </c>
    </row>
    <row r="445" spans="1:3" ht="15" customHeight="1" x14ac:dyDescent="0.25">
      <c r="A445" s="252">
        <v>219.1</v>
      </c>
      <c r="B445" s="253" t="s">
        <v>580</v>
      </c>
      <c r="C445" s="226">
        <v>0</v>
      </c>
    </row>
    <row r="446" spans="1:3" ht="15" customHeight="1" x14ac:dyDescent="0.25">
      <c r="A446" s="252">
        <v>219.2</v>
      </c>
      <c r="B446" s="253" t="s">
        <v>581</v>
      </c>
      <c r="C446" s="226">
        <v>0</v>
      </c>
    </row>
    <row r="447" spans="1:3" ht="15" customHeight="1" x14ac:dyDescent="0.25">
      <c r="A447" s="252">
        <v>221</v>
      </c>
      <c r="B447" s="253" t="s">
        <v>582</v>
      </c>
      <c r="C447" s="226">
        <v>0</v>
      </c>
    </row>
    <row r="448" spans="1:3" ht="15" customHeight="1" x14ac:dyDescent="0.25">
      <c r="A448" s="252">
        <v>221.01</v>
      </c>
      <c r="B448" s="253" t="s">
        <v>583</v>
      </c>
      <c r="C448" s="226">
        <v>-2542780.39</v>
      </c>
    </row>
    <row r="449" spans="1:3" ht="15" customHeight="1" x14ac:dyDescent="0.25">
      <c r="A449" s="252">
        <v>221.02</v>
      </c>
      <c r="B449" s="253" t="s">
        <v>584</v>
      </c>
      <c r="C449" s="226">
        <v>-2150345.7200000002</v>
      </c>
    </row>
    <row r="450" spans="1:3" ht="15" customHeight="1" x14ac:dyDescent="0.25">
      <c r="A450" s="252">
        <v>221.03</v>
      </c>
      <c r="B450" s="253" t="s">
        <v>585</v>
      </c>
      <c r="C450" s="226">
        <v>-773091.34</v>
      </c>
    </row>
    <row r="451" spans="1:3" ht="15" customHeight="1" x14ac:dyDescent="0.25">
      <c r="A451" s="252">
        <v>221.04</v>
      </c>
      <c r="B451" s="253" t="s">
        <v>742</v>
      </c>
      <c r="C451" s="226">
        <v>-3366218.47</v>
      </c>
    </row>
    <row r="452" spans="1:3" ht="15" customHeight="1" x14ac:dyDescent="0.25">
      <c r="A452" s="252">
        <v>221.05</v>
      </c>
      <c r="B452" s="253" t="s">
        <v>743</v>
      </c>
      <c r="C452" s="226">
        <v>-5308520.6500000004</v>
      </c>
    </row>
    <row r="453" spans="1:3" ht="15" customHeight="1" x14ac:dyDescent="0.25">
      <c r="A453" s="252">
        <v>221.06</v>
      </c>
      <c r="B453" s="253" t="s">
        <v>744</v>
      </c>
      <c r="C453" s="226">
        <v>-7446193.5999999996</v>
      </c>
    </row>
    <row r="454" spans="1:3" ht="15" customHeight="1" x14ac:dyDescent="0.25">
      <c r="A454" s="252">
        <v>221.07</v>
      </c>
      <c r="B454" s="253" t="s">
        <v>811</v>
      </c>
      <c r="C454" s="226">
        <v>-7130429.3499999996</v>
      </c>
    </row>
    <row r="455" spans="1:3" ht="15" customHeight="1" x14ac:dyDescent="0.25">
      <c r="A455" s="252">
        <v>221.08</v>
      </c>
      <c r="B455" s="253" t="s">
        <v>823</v>
      </c>
      <c r="C455" s="226">
        <v>-5812527.4299999997</v>
      </c>
    </row>
    <row r="456" spans="1:3" ht="15" customHeight="1" x14ac:dyDescent="0.25">
      <c r="A456" s="252">
        <v>221.09</v>
      </c>
      <c r="B456" s="253" t="s">
        <v>894</v>
      </c>
      <c r="C456" s="226">
        <v>-6618221.6900000004</v>
      </c>
    </row>
    <row r="457" spans="1:3" ht="15" customHeight="1" x14ac:dyDescent="0.25">
      <c r="A457" s="252">
        <v>221.1</v>
      </c>
      <c r="B457" s="253" t="s">
        <v>895</v>
      </c>
      <c r="C457" s="226">
        <v>-7224992.8600000003</v>
      </c>
    </row>
    <row r="458" spans="1:3" ht="15" customHeight="1" x14ac:dyDescent="0.25">
      <c r="A458" s="252">
        <v>221.11</v>
      </c>
      <c r="B458" s="253" t="s">
        <v>896</v>
      </c>
      <c r="C458" s="226">
        <v>-5638974.2800000003</v>
      </c>
    </row>
    <row r="459" spans="1:3" ht="15" customHeight="1" x14ac:dyDescent="0.25">
      <c r="A459" s="252">
        <v>221.12</v>
      </c>
      <c r="B459" s="253" t="s">
        <v>586</v>
      </c>
      <c r="C459" s="226">
        <v>-307954.25</v>
      </c>
    </row>
    <row r="460" spans="1:3" ht="15" customHeight="1" x14ac:dyDescent="0.25">
      <c r="A460" s="252">
        <v>221.13</v>
      </c>
      <c r="B460" s="253" t="s">
        <v>587</v>
      </c>
      <c r="C460" s="226">
        <v>-316649.15000000002</v>
      </c>
    </row>
    <row r="461" spans="1:3" ht="15" customHeight="1" x14ac:dyDescent="0.25">
      <c r="A461" s="252">
        <v>221.14</v>
      </c>
      <c r="B461" s="253" t="s">
        <v>588</v>
      </c>
      <c r="C461" s="226">
        <v>0</v>
      </c>
    </row>
    <row r="462" spans="1:3" ht="15" customHeight="1" x14ac:dyDescent="0.25">
      <c r="A462" s="252">
        <v>221.15</v>
      </c>
      <c r="B462" s="253" t="s">
        <v>589</v>
      </c>
      <c r="C462" s="226">
        <v>-10668191.279999999</v>
      </c>
    </row>
    <row r="463" spans="1:3" ht="15" customHeight="1" x14ac:dyDescent="0.25">
      <c r="A463" s="252">
        <v>221.16</v>
      </c>
      <c r="B463" s="253" t="s">
        <v>590</v>
      </c>
      <c r="C463" s="226">
        <v>-1048286.32</v>
      </c>
    </row>
    <row r="464" spans="1:3" ht="15" customHeight="1" x14ac:dyDescent="0.25">
      <c r="A464" s="252">
        <v>221.17</v>
      </c>
      <c r="B464" s="253" t="s">
        <v>591</v>
      </c>
      <c r="C464" s="226">
        <v>-2417873.7000000002</v>
      </c>
    </row>
    <row r="465" spans="1:3" ht="15" customHeight="1" x14ac:dyDescent="0.25">
      <c r="A465" s="252">
        <v>221.18</v>
      </c>
      <c r="B465" s="253" t="s">
        <v>592</v>
      </c>
      <c r="C465" s="226">
        <v>-2004201.42</v>
      </c>
    </row>
    <row r="466" spans="1:3" ht="15" customHeight="1" x14ac:dyDescent="0.25">
      <c r="A466" s="252">
        <v>221.19</v>
      </c>
      <c r="B466" s="253" t="s">
        <v>593</v>
      </c>
      <c r="C466" s="226">
        <v>-3813443.08</v>
      </c>
    </row>
    <row r="467" spans="1:3" ht="15" customHeight="1" x14ac:dyDescent="0.25">
      <c r="A467" s="252">
        <v>221.21</v>
      </c>
      <c r="B467" s="253" t="s">
        <v>897</v>
      </c>
      <c r="C467" s="226">
        <v>-5620862.6900000004</v>
      </c>
    </row>
    <row r="468" spans="1:3" ht="15" customHeight="1" x14ac:dyDescent="0.25">
      <c r="A468" s="252">
        <v>221.22</v>
      </c>
      <c r="B468" s="253" t="s">
        <v>1021</v>
      </c>
      <c r="C468" s="226">
        <v>-11398142.65</v>
      </c>
    </row>
    <row r="469" spans="1:3" ht="15" customHeight="1" x14ac:dyDescent="0.25">
      <c r="A469" s="252">
        <v>221.24</v>
      </c>
      <c r="B469" s="253" t="s">
        <v>1069</v>
      </c>
      <c r="C469" s="226">
        <v>-5982076.0099999998</v>
      </c>
    </row>
    <row r="470" spans="1:3" ht="15" customHeight="1" x14ac:dyDescent="0.25">
      <c r="A470" s="252">
        <v>224.13</v>
      </c>
      <c r="B470" s="253" t="s">
        <v>594</v>
      </c>
      <c r="C470" s="226">
        <v>0</v>
      </c>
    </row>
    <row r="471" spans="1:3" ht="15" customHeight="1" x14ac:dyDescent="0.25">
      <c r="A471" s="252">
        <v>224.9</v>
      </c>
      <c r="B471" s="253" t="s">
        <v>898</v>
      </c>
      <c r="C471" s="226">
        <v>0</v>
      </c>
    </row>
    <row r="472" spans="1:3" ht="15" customHeight="1" x14ac:dyDescent="0.25">
      <c r="A472" s="252">
        <v>227.07</v>
      </c>
      <c r="B472" s="253" t="s">
        <v>595</v>
      </c>
      <c r="C472" s="226">
        <v>0</v>
      </c>
    </row>
    <row r="473" spans="1:3" ht="15" customHeight="1" x14ac:dyDescent="0.25">
      <c r="A473" s="252">
        <v>228.3</v>
      </c>
      <c r="B473" s="253" t="s">
        <v>745</v>
      </c>
      <c r="C473" s="226">
        <v>-280670.59999999998</v>
      </c>
    </row>
    <row r="474" spans="1:3" ht="15" customHeight="1" x14ac:dyDescent="0.25">
      <c r="A474" s="252">
        <v>231</v>
      </c>
      <c r="B474" s="253" t="s">
        <v>596</v>
      </c>
      <c r="C474" s="226">
        <v>0</v>
      </c>
    </row>
    <row r="475" spans="1:3" ht="15" customHeight="1" x14ac:dyDescent="0.25">
      <c r="A475" s="252">
        <v>231.01</v>
      </c>
      <c r="B475" s="253" t="s">
        <v>597</v>
      </c>
      <c r="C475" s="226">
        <v>-556814.4</v>
      </c>
    </row>
    <row r="476" spans="1:3" ht="15" customHeight="1" x14ac:dyDescent="0.25">
      <c r="A476" s="252">
        <v>231.02</v>
      </c>
      <c r="B476" s="253" t="s">
        <v>598</v>
      </c>
      <c r="C476" s="226">
        <v>-262506.82</v>
      </c>
    </row>
    <row r="477" spans="1:3" ht="15" customHeight="1" x14ac:dyDescent="0.25">
      <c r="A477" s="252">
        <v>231.03</v>
      </c>
      <c r="B477" s="253" t="s">
        <v>599</v>
      </c>
      <c r="C477" s="226">
        <v>-285647.46000000002</v>
      </c>
    </row>
    <row r="478" spans="1:3" ht="15" customHeight="1" x14ac:dyDescent="0.25">
      <c r="A478" s="252">
        <v>231.04</v>
      </c>
      <c r="B478" s="253" t="s">
        <v>746</v>
      </c>
      <c r="C478" s="226">
        <v>-337535.98</v>
      </c>
    </row>
    <row r="479" spans="1:3" ht="15" customHeight="1" x14ac:dyDescent="0.25">
      <c r="A479" s="252">
        <v>231.05</v>
      </c>
      <c r="B479" s="253" t="s">
        <v>747</v>
      </c>
      <c r="C479" s="226">
        <v>-469792.3</v>
      </c>
    </row>
    <row r="480" spans="1:3" ht="15" customHeight="1" x14ac:dyDescent="0.25">
      <c r="A480" s="252">
        <v>231.06</v>
      </c>
      <c r="B480" s="253" t="s">
        <v>748</v>
      </c>
      <c r="C480" s="226">
        <v>-251422.92</v>
      </c>
    </row>
    <row r="481" spans="1:3" ht="15" customHeight="1" x14ac:dyDescent="0.25">
      <c r="A481" s="252">
        <v>231.07</v>
      </c>
      <c r="B481" s="253" t="s">
        <v>812</v>
      </c>
      <c r="C481" s="226">
        <v>-191998.92</v>
      </c>
    </row>
    <row r="482" spans="1:3" ht="15" customHeight="1" x14ac:dyDescent="0.25">
      <c r="A482" s="252">
        <v>231.08</v>
      </c>
      <c r="B482" s="253" t="s">
        <v>824</v>
      </c>
      <c r="C482" s="226">
        <v>-340430.32</v>
      </c>
    </row>
    <row r="483" spans="1:3" ht="15" customHeight="1" x14ac:dyDescent="0.25">
      <c r="A483" s="252">
        <v>231.09</v>
      </c>
      <c r="B483" s="253" t="s">
        <v>899</v>
      </c>
      <c r="C483" s="226">
        <v>-171599.17</v>
      </c>
    </row>
    <row r="484" spans="1:3" ht="15" customHeight="1" x14ac:dyDescent="0.25">
      <c r="A484" s="252">
        <v>231.1</v>
      </c>
      <c r="B484" s="253" t="s">
        <v>1055</v>
      </c>
      <c r="C484" s="226">
        <v>-283334.92</v>
      </c>
    </row>
    <row r="485" spans="1:3" ht="15" customHeight="1" x14ac:dyDescent="0.25">
      <c r="A485" s="252">
        <v>231.11</v>
      </c>
      <c r="B485" s="253" t="s">
        <v>900</v>
      </c>
      <c r="C485" s="226">
        <v>-114387.53</v>
      </c>
    </row>
    <row r="486" spans="1:3" ht="15" customHeight="1" x14ac:dyDescent="0.25">
      <c r="A486" s="252">
        <v>231.12</v>
      </c>
      <c r="B486" s="253" t="s">
        <v>600</v>
      </c>
      <c r="C486" s="226">
        <v>-109771.96</v>
      </c>
    </row>
    <row r="487" spans="1:3" ht="15" customHeight="1" x14ac:dyDescent="0.25">
      <c r="A487" s="252">
        <v>231.13</v>
      </c>
      <c r="B487" s="253" t="s">
        <v>601</v>
      </c>
      <c r="C487" s="226">
        <v>0</v>
      </c>
    </row>
    <row r="488" spans="1:3" ht="15" customHeight="1" x14ac:dyDescent="0.25">
      <c r="A488" s="252">
        <v>231.14</v>
      </c>
      <c r="B488" s="253" t="s">
        <v>602</v>
      </c>
      <c r="C488" s="226">
        <v>0</v>
      </c>
    </row>
    <row r="489" spans="1:3" ht="15" customHeight="1" x14ac:dyDescent="0.25">
      <c r="A489" s="252">
        <v>231.15</v>
      </c>
      <c r="B489" s="253" t="s">
        <v>603</v>
      </c>
      <c r="C489" s="226">
        <v>-861667.57</v>
      </c>
    </row>
    <row r="490" spans="1:3" ht="15" customHeight="1" x14ac:dyDescent="0.25">
      <c r="A490" s="252">
        <v>231.16</v>
      </c>
      <c r="B490" s="253" t="s">
        <v>604</v>
      </c>
      <c r="C490" s="226">
        <v>-161214.92000000001</v>
      </c>
    </row>
    <row r="491" spans="1:3" ht="15" customHeight="1" x14ac:dyDescent="0.25">
      <c r="A491" s="252">
        <v>231.17</v>
      </c>
      <c r="B491" s="253" t="s">
        <v>605</v>
      </c>
      <c r="C491" s="226">
        <v>-159163.35999999999</v>
      </c>
    </row>
    <row r="492" spans="1:3" ht="15" customHeight="1" x14ac:dyDescent="0.25">
      <c r="A492" s="252">
        <v>231.18</v>
      </c>
      <c r="B492" s="253" t="s">
        <v>606</v>
      </c>
      <c r="C492" s="226">
        <v>-151260.51999999999</v>
      </c>
    </row>
    <row r="493" spans="1:3" ht="15" customHeight="1" x14ac:dyDescent="0.25">
      <c r="A493" s="252">
        <v>231.19</v>
      </c>
      <c r="B493" s="253" t="s">
        <v>607</v>
      </c>
      <c r="C493" s="226">
        <v>-183814.08</v>
      </c>
    </row>
    <row r="494" spans="1:3" ht="15" customHeight="1" x14ac:dyDescent="0.25">
      <c r="A494" s="252">
        <v>231.2</v>
      </c>
      <c r="B494" s="253" t="s">
        <v>608</v>
      </c>
      <c r="C494" s="226">
        <v>-10324249.369999999</v>
      </c>
    </row>
    <row r="495" spans="1:3" ht="15" customHeight="1" x14ac:dyDescent="0.25">
      <c r="A495" s="252">
        <v>231.21</v>
      </c>
      <c r="B495" s="253" t="s">
        <v>901</v>
      </c>
      <c r="C495" s="226">
        <v>-129757.47</v>
      </c>
    </row>
    <row r="496" spans="1:3" ht="15" customHeight="1" x14ac:dyDescent="0.25">
      <c r="A496" s="252">
        <v>231.22</v>
      </c>
      <c r="B496" s="253" t="s">
        <v>1055</v>
      </c>
      <c r="C496" s="226">
        <v>-302582.94</v>
      </c>
    </row>
    <row r="497" spans="1:3" ht="15" customHeight="1" x14ac:dyDescent="0.25">
      <c r="A497" s="252">
        <v>231.23</v>
      </c>
      <c r="B497" s="253" t="s">
        <v>609</v>
      </c>
      <c r="C497" s="226">
        <v>-86627.74</v>
      </c>
    </row>
    <row r="498" spans="1:3" ht="15" customHeight="1" x14ac:dyDescent="0.25">
      <c r="A498" s="252">
        <v>232.1</v>
      </c>
      <c r="B498" s="253" t="s">
        <v>610</v>
      </c>
      <c r="C498" s="226">
        <v>-4513658.32</v>
      </c>
    </row>
    <row r="499" spans="1:3" ht="15" customHeight="1" x14ac:dyDescent="0.25">
      <c r="A499" s="252">
        <v>232.16</v>
      </c>
      <c r="B499" s="253" t="s">
        <v>611</v>
      </c>
      <c r="C499" s="226">
        <v>-4057521.79</v>
      </c>
    </row>
    <row r="500" spans="1:3" ht="15" customHeight="1" x14ac:dyDescent="0.25">
      <c r="A500" s="252">
        <v>232.2</v>
      </c>
      <c r="B500" s="253" t="s">
        <v>902</v>
      </c>
      <c r="C500" s="226">
        <v>0</v>
      </c>
    </row>
    <row r="501" spans="1:3" ht="15" customHeight="1" x14ac:dyDescent="0.25">
      <c r="A501" s="252">
        <v>232.3</v>
      </c>
      <c r="B501" s="253" t="s">
        <v>903</v>
      </c>
      <c r="C501" s="226">
        <v>-264414.28000000003</v>
      </c>
    </row>
    <row r="502" spans="1:3" ht="15" customHeight="1" x14ac:dyDescent="0.25">
      <c r="A502" s="252">
        <v>235</v>
      </c>
      <c r="B502" s="253" t="s">
        <v>612</v>
      </c>
      <c r="C502" s="226">
        <v>-504718.26</v>
      </c>
    </row>
    <row r="503" spans="1:3" ht="15" customHeight="1" x14ac:dyDescent="0.25">
      <c r="A503" s="252">
        <v>235.01</v>
      </c>
      <c r="B503" s="253" t="s">
        <v>749</v>
      </c>
      <c r="C503" s="226">
        <v>-17085.12</v>
      </c>
    </row>
    <row r="504" spans="1:3" ht="15" customHeight="1" x14ac:dyDescent="0.25">
      <c r="A504" s="252">
        <v>235.1</v>
      </c>
      <c r="B504" s="253" t="s">
        <v>613</v>
      </c>
      <c r="C504" s="226">
        <v>0</v>
      </c>
    </row>
    <row r="505" spans="1:3" ht="15" customHeight="1" x14ac:dyDescent="0.25">
      <c r="A505" s="252">
        <v>235.13</v>
      </c>
      <c r="B505" s="253" t="s">
        <v>813</v>
      </c>
      <c r="C505" s="226">
        <v>-1166231.93</v>
      </c>
    </row>
    <row r="506" spans="1:3" ht="15" customHeight="1" x14ac:dyDescent="0.25">
      <c r="A506" s="252">
        <v>236.1</v>
      </c>
      <c r="B506" s="253" t="s">
        <v>614</v>
      </c>
      <c r="C506" s="226">
        <v>-2002686.6</v>
      </c>
    </row>
    <row r="507" spans="1:3" ht="15" customHeight="1" x14ac:dyDescent="0.25">
      <c r="A507" s="252">
        <v>236.2</v>
      </c>
      <c r="B507" s="253" t="s">
        <v>615</v>
      </c>
      <c r="C507" s="226">
        <v>-60.67</v>
      </c>
    </row>
    <row r="508" spans="1:3" ht="15" customHeight="1" x14ac:dyDescent="0.25">
      <c r="A508" s="252">
        <v>236.3</v>
      </c>
      <c r="B508" s="253" t="s">
        <v>616</v>
      </c>
      <c r="C508" s="226">
        <v>-77057.460000000006</v>
      </c>
    </row>
    <row r="509" spans="1:3" ht="15" customHeight="1" x14ac:dyDescent="0.25">
      <c r="A509" s="252">
        <v>236.4</v>
      </c>
      <c r="B509" s="253" t="s">
        <v>617</v>
      </c>
      <c r="C509" s="226">
        <v>-68.8</v>
      </c>
    </row>
    <row r="510" spans="1:3" ht="15" customHeight="1" x14ac:dyDescent="0.25">
      <c r="A510" s="252">
        <v>236.5</v>
      </c>
      <c r="B510" s="253" t="s">
        <v>618</v>
      </c>
      <c r="C510" s="226">
        <v>-115200.17</v>
      </c>
    </row>
    <row r="511" spans="1:3" ht="15" customHeight="1" x14ac:dyDescent="0.25">
      <c r="A511" s="252">
        <v>236.52</v>
      </c>
      <c r="B511" s="253" t="s">
        <v>619</v>
      </c>
      <c r="C511" s="226">
        <v>0</v>
      </c>
    </row>
    <row r="512" spans="1:3" ht="15" customHeight="1" x14ac:dyDescent="0.25">
      <c r="A512" s="252">
        <v>236.53</v>
      </c>
      <c r="B512" s="253" t="s">
        <v>620</v>
      </c>
      <c r="C512" s="226">
        <v>-740.49</v>
      </c>
    </row>
    <row r="513" spans="1:3" ht="15" customHeight="1" x14ac:dyDescent="0.25">
      <c r="A513" s="252">
        <v>236.6</v>
      </c>
      <c r="B513" s="253" t="s">
        <v>621</v>
      </c>
      <c r="C513" s="226">
        <v>-273022.05</v>
      </c>
    </row>
    <row r="514" spans="1:3" ht="15" customHeight="1" x14ac:dyDescent="0.25">
      <c r="A514" s="252">
        <v>236.61</v>
      </c>
      <c r="B514" s="253" t="s">
        <v>622</v>
      </c>
      <c r="C514" s="226">
        <v>-34842.85</v>
      </c>
    </row>
    <row r="515" spans="1:3" ht="15" customHeight="1" x14ac:dyDescent="0.25">
      <c r="A515" s="252">
        <v>236.7</v>
      </c>
      <c r="B515" s="253" t="s">
        <v>623</v>
      </c>
      <c r="C515" s="226">
        <v>-375869.31</v>
      </c>
    </row>
    <row r="516" spans="1:3" ht="15" customHeight="1" x14ac:dyDescent="0.25">
      <c r="A516" s="252">
        <v>236.75</v>
      </c>
      <c r="B516" s="253" t="s">
        <v>624</v>
      </c>
      <c r="C516" s="226">
        <v>0</v>
      </c>
    </row>
    <row r="517" spans="1:3" ht="15" customHeight="1" x14ac:dyDescent="0.25">
      <c r="A517" s="252">
        <v>237.01</v>
      </c>
      <c r="B517" s="253" t="s">
        <v>625</v>
      </c>
      <c r="C517" s="226">
        <v>-86131.6</v>
      </c>
    </row>
    <row r="518" spans="1:3" ht="15" customHeight="1" x14ac:dyDescent="0.25">
      <c r="A518" s="252">
        <v>237.02</v>
      </c>
      <c r="B518" s="253" t="s">
        <v>626</v>
      </c>
      <c r="C518" s="226">
        <v>-10164.64</v>
      </c>
    </row>
    <row r="519" spans="1:3" ht="15" customHeight="1" x14ac:dyDescent="0.25">
      <c r="A519" s="252">
        <v>237.03</v>
      </c>
      <c r="B519" s="253" t="s">
        <v>627</v>
      </c>
      <c r="C519" s="226">
        <v>-2998.61</v>
      </c>
    </row>
    <row r="520" spans="1:3" ht="15" customHeight="1" x14ac:dyDescent="0.25">
      <c r="A520" s="252">
        <v>237.04</v>
      </c>
      <c r="B520" s="253" t="s">
        <v>750</v>
      </c>
      <c r="C520" s="226">
        <v>-9141.7999999999993</v>
      </c>
    </row>
    <row r="521" spans="1:3" ht="15" customHeight="1" x14ac:dyDescent="0.25">
      <c r="A521" s="252">
        <v>237.05</v>
      </c>
      <c r="B521" s="253" t="s">
        <v>751</v>
      </c>
      <c r="C521" s="226">
        <v>-22286.82</v>
      </c>
    </row>
    <row r="522" spans="1:3" ht="15" customHeight="1" x14ac:dyDescent="0.25">
      <c r="A522" s="252">
        <v>237.06</v>
      </c>
      <c r="B522" s="253" t="s">
        <v>752</v>
      </c>
      <c r="C522" s="226">
        <v>-28927.93</v>
      </c>
    </row>
    <row r="523" spans="1:3" ht="15" customHeight="1" x14ac:dyDescent="0.25">
      <c r="A523" s="252">
        <v>237.07</v>
      </c>
      <c r="B523" s="253" t="s">
        <v>1070</v>
      </c>
      <c r="C523" s="226">
        <v>-81462.02</v>
      </c>
    </row>
    <row r="524" spans="1:3" ht="15" customHeight="1" x14ac:dyDescent="0.25">
      <c r="A524" s="252">
        <v>237.08</v>
      </c>
      <c r="B524" s="253" t="s">
        <v>1071</v>
      </c>
      <c r="C524" s="226">
        <v>-66144.3</v>
      </c>
    </row>
    <row r="525" spans="1:3" ht="15" customHeight="1" x14ac:dyDescent="0.25">
      <c r="A525" s="252">
        <v>237.09</v>
      </c>
      <c r="B525" s="253" t="s">
        <v>1072</v>
      </c>
      <c r="C525" s="226">
        <v>-57713.48</v>
      </c>
    </row>
    <row r="526" spans="1:3" ht="15" customHeight="1" x14ac:dyDescent="0.25">
      <c r="A526" s="252">
        <v>237.1</v>
      </c>
      <c r="B526" s="253" t="s">
        <v>904</v>
      </c>
      <c r="C526" s="226">
        <v>-16406.53</v>
      </c>
    </row>
    <row r="527" spans="1:3" ht="15" customHeight="1" x14ac:dyDescent="0.25">
      <c r="A527" s="252">
        <v>237.11</v>
      </c>
      <c r="B527" s="253" t="s">
        <v>905</v>
      </c>
      <c r="C527" s="226">
        <v>21.02</v>
      </c>
    </row>
    <row r="528" spans="1:3" ht="15" customHeight="1" x14ac:dyDescent="0.25">
      <c r="A528" s="252">
        <v>237.2</v>
      </c>
      <c r="B528" s="253" t="s">
        <v>628</v>
      </c>
      <c r="C528" s="226">
        <v>-47937.79</v>
      </c>
    </row>
    <row r="529" spans="1:3" ht="15" customHeight="1" x14ac:dyDescent="0.25">
      <c r="A529" s="252">
        <v>237.21</v>
      </c>
      <c r="B529" s="253" t="s">
        <v>1073</v>
      </c>
      <c r="C529" s="226">
        <v>-46148.73</v>
      </c>
    </row>
    <row r="530" spans="1:3" ht="15" customHeight="1" x14ac:dyDescent="0.25">
      <c r="A530" s="252">
        <v>237.22</v>
      </c>
      <c r="B530" s="253" t="s">
        <v>1074</v>
      </c>
      <c r="C530" s="226">
        <v>-144671.57</v>
      </c>
    </row>
    <row r="531" spans="1:3" ht="15" customHeight="1" x14ac:dyDescent="0.25">
      <c r="A531" s="252">
        <v>237.24</v>
      </c>
      <c r="B531" s="253" t="s">
        <v>1075</v>
      </c>
      <c r="C531" s="226">
        <v>-28868.34</v>
      </c>
    </row>
    <row r="532" spans="1:3" ht="15" customHeight="1" x14ac:dyDescent="0.25">
      <c r="A532" s="252">
        <v>237.32</v>
      </c>
      <c r="B532" s="253" t="s">
        <v>629</v>
      </c>
      <c r="C532" s="226">
        <v>-1984.2</v>
      </c>
    </row>
    <row r="533" spans="1:3" ht="15" customHeight="1" x14ac:dyDescent="0.25">
      <c r="A533" s="252">
        <v>237.33</v>
      </c>
      <c r="B533" s="253" t="s">
        <v>630</v>
      </c>
      <c r="C533" s="226">
        <v>-6852.22</v>
      </c>
    </row>
    <row r="534" spans="1:3" ht="15" customHeight="1" x14ac:dyDescent="0.25">
      <c r="A534" s="252">
        <v>237.34</v>
      </c>
      <c r="B534" s="253" t="s">
        <v>631</v>
      </c>
      <c r="C534" s="226">
        <v>0</v>
      </c>
    </row>
    <row r="535" spans="1:3" ht="15" customHeight="1" x14ac:dyDescent="0.25">
      <c r="A535" s="252">
        <v>237.35</v>
      </c>
      <c r="B535" s="253" t="s">
        <v>632</v>
      </c>
      <c r="C535" s="226">
        <v>-162977.14000000001</v>
      </c>
    </row>
    <row r="536" spans="1:3" ht="15" customHeight="1" x14ac:dyDescent="0.25">
      <c r="A536" s="252">
        <v>237.36</v>
      </c>
      <c r="B536" s="253" t="s">
        <v>633</v>
      </c>
      <c r="C536" s="226">
        <v>-20225.62</v>
      </c>
    </row>
    <row r="537" spans="1:3" ht="15" customHeight="1" x14ac:dyDescent="0.25">
      <c r="A537" s="252">
        <v>237.37</v>
      </c>
      <c r="B537" s="253" t="s">
        <v>634</v>
      </c>
      <c r="C537" s="226">
        <v>-36684.959999999999</v>
      </c>
    </row>
    <row r="538" spans="1:3" ht="15" customHeight="1" x14ac:dyDescent="0.25">
      <c r="A538" s="252">
        <v>237.38</v>
      </c>
      <c r="B538" s="253" t="s">
        <v>635</v>
      </c>
      <c r="C538" s="226">
        <v>-3795.81</v>
      </c>
    </row>
    <row r="539" spans="1:3" ht="15" customHeight="1" x14ac:dyDescent="0.25">
      <c r="A539" s="252">
        <v>237.39</v>
      </c>
      <c r="B539" s="253" t="s">
        <v>636</v>
      </c>
      <c r="C539" s="226">
        <v>-21071.5</v>
      </c>
    </row>
    <row r="540" spans="1:3" ht="15" customHeight="1" x14ac:dyDescent="0.25">
      <c r="A540" s="252">
        <v>237.4</v>
      </c>
      <c r="B540" s="253" t="s">
        <v>637</v>
      </c>
      <c r="C540" s="226">
        <v>-16757.3</v>
      </c>
    </row>
    <row r="541" spans="1:3" ht="15" customHeight="1" x14ac:dyDescent="0.25">
      <c r="A541" s="252">
        <v>237.5</v>
      </c>
      <c r="B541" s="253" t="s">
        <v>638</v>
      </c>
      <c r="C541" s="226">
        <v>0</v>
      </c>
    </row>
    <row r="542" spans="1:3" ht="15" customHeight="1" x14ac:dyDescent="0.25">
      <c r="A542" s="252">
        <v>238.1</v>
      </c>
      <c r="B542" s="253" t="s">
        <v>753</v>
      </c>
      <c r="C542" s="226">
        <v>-9078.27</v>
      </c>
    </row>
    <row r="543" spans="1:3" ht="15" customHeight="1" x14ac:dyDescent="0.25">
      <c r="A543" s="252">
        <v>238.99</v>
      </c>
      <c r="B543" s="253" t="s">
        <v>754</v>
      </c>
      <c r="C543" s="226">
        <v>0</v>
      </c>
    </row>
    <row r="544" spans="1:3" ht="15" customHeight="1" x14ac:dyDescent="0.25">
      <c r="A544" s="252">
        <v>241</v>
      </c>
      <c r="B544" s="253" t="s">
        <v>639</v>
      </c>
      <c r="C544" s="226">
        <v>-65047.83</v>
      </c>
    </row>
    <row r="545" spans="1:3" ht="15" customHeight="1" x14ac:dyDescent="0.25">
      <c r="A545" s="252">
        <v>241.1</v>
      </c>
      <c r="B545" s="253" t="s">
        <v>640</v>
      </c>
      <c r="C545" s="226">
        <v>-21046.29</v>
      </c>
    </row>
    <row r="546" spans="1:3" ht="15" customHeight="1" x14ac:dyDescent="0.25">
      <c r="A546" s="252">
        <v>242.28</v>
      </c>
      <c r="B546" s="253" t="s">
        <v>641</v>
      </c>
      <c r="C546" s="226">
        <v>0</v>
      </c>
    </row>
    <row r="547" spans="1:3" ht="15" customHeight="1" x14ac:dyDescent="0.25">
      <c r="A547" s="252">
        <v>242.3</v>
      </c>
      <c r="B547" s="253" t="s">
        <v>642</v>
      </c>
      <c r="C547" s="226">
        <v>-338644.08</v>
      </c>
    </row>
    <row r="548" spans="1:3" ht="15" customHeight="1" x14ac:dyDescent="0.25">
      <c r="A548" s="252">
        <v>242.31</v>
      </c>
      <c r="B548" s="253" t="s">
        <v>325</v>
      </c>
      <c r="C548" s="226">
        <v>-258408.51</v>
      </c>
    </row>
    <row r="549" spans="1:3" ht="15" customHeight="1" x14ac:dyDescent="0.25">
      <c r="A549" s="252">
        <v>242.32</v>
      </c>
      <c r="B549" s="253" t="s">
        <v>326</v>
      </c>
      <c r="C549" s="226">
        <v>-44309.01</v>
      </c>
    </row>
    <row r="550" spans="1:3" ht="15" customHeight="1" x14ac:dyDescent="0.25">
      <c r="A550" s="252">
        <v>242.35</v>
      </c>
      <c r="B550" s="253" t="s">
        <v>755</v>
      </c>
      <c r="C550" s="226">
        <v>0</v>
      </c>
    </row>
    <row r="551" spans="1:3" ht="15" customHeight="1" x14ac:dyDescent="0.25">
      <c r="A551" s="252">
        <v>242.4</v>
      </c>
      <c r="B551" s="253" t="s">
        <v>643</v>
      </c>
      <c r="C551" s="226">
        <v>78102.52</v>
      </c>
    </row>
    <row r="552" spans="1:3" ht="15" customHeight="1" x14ac:dyDescent="0.25">
      <c r="A552" s="252">
        <v>242.41</v>
      </c>
      <c r="B552" s="253" t="s">
        <v>644</v>
      </c>
      <c r="C552" s="226">
        <v>0</v>
      </c>
    </row>
    <row r="553" spans="1:3" ht="15" customHeight="1" x14ac:dyDescent="0.25">
      <c r="A553" s="252">
        <v>242.45</v>
      </c>
      <c r="B553" s="253" t="s">
        <v>1076</v>
      </c>
      <c r="C553" s="226">
        <v>-68400</v>
      </c>
    </row>
    <row r="554" spans="1:3" ht="15" customHeight="1" x14ac:dyDescent="0.25">
      <c r="A554" s="252">
        <v>242.5</v>
      </c>
      <c r="B554" s="253" t="s">
        <v>645</v>
      </c>
      <c r="C554" s="226">
        <v>-93325.24</v>
      </c>
    </row>
    <row r="555" spans="1:3" ht="15" customHeight="1" x14ac:dyDescent="0.25">
      <c r="A555" s="252">
        <v>242.51</v>
      </c>
      <c r="B555" s="253" t="s">
        <v>646</v>
      </c>
      <c r="C555" s="226">
        <v>0</v>
      </c>
    </row>
    <row r="556" spans="1:3" ht="15" customHeight="1" x14ac:dyDescent="0.25">
      <c r="A556" s="252">
        <v>242.52</v>
      </c>
      <c r="B556" s="253" t="s">
        <v>906</v>
      </c>
      <c r="C556" s="226">
        <v>0</v>
      </c>
    </row>
    <row r="557" spans="1:3" ht="15" customHeight="1" x14ac:dyDescent="0.25">
      <c r="A557" s="252">
        <v>242.53</v>
      </c>
      <c r="B557" s="253" t="s">
        <v>647</v>
      </c>
      <c r="C557" s="226">
        <v>0</v>
      </c>
    </row>
    <row r="558" spans="1:3" ht="15" customHeight="1" x14ac:dyDescent="0.25">
      <c r="A558" s="252">
        <v>242.54</v>
      </c>
      <c r="B558" s="253" t="s">
        <v>756</v>
      </c>
      <c r="C558" s="226">
        <v>-6135.41</v>
      </c>
    </row>
    <row r="559" spans="1:3" ht="15" customHeight="1" x14ac:dyDescent="0.25">
      <c r="A559" s="252">
        <v>242.55</v>
      </c>
      <c r="B559" s="253" t="s">
        <v>648</v>
      </c>
      <c r="C559" s="226">
        <v>-181711.57</v>
      </c>
    </row>
    <row r="560" spans="1:3" ht="15" customHeight="1" x14ac:dyDescent="0.25">
      <c r="A560" s="252">
        <v>242.56</v>
      </c>
      <c r="B560" s="253" t="s">
        <v>649</v>
      </c>
      <c r="C560" s="226">
        <v>-3966.59</v>
      </c>
    </row>
    <row r="561" spans="1:3" ht="15" customHeight="1" x14ac:dyDescent="0.25">
      <c r="A561" s="252">
        <v>242.57</v>
      </c>
      <c r="B561" s="253" t="s">
        <v>907</v>
      </c>
      <c r="C561" s="226">
        <v>-9416</v>
      </c>
    </row>
    <row r="562" spans="1:3" ht="15" customHeight="1" x14ac:dyDescent="0.25">
      <c r="A562" s="252">
        <v>242.58</v>
      </c>
      <c r="B562" s="253" t="s">
        <v>757</v>
      </c>
      <c r="C562" s="226">
        <v>-48000</v>
      </c>
    </row>
    <row r="563" spans="1:3" ht="15" customHeight="1" x14ac:dyDescent="0.25">
      <c r="A563" s="252">
        <v>242.59</v>
      </c>
      <c r="B563" s="253" t="s">
        <v>1022</v>
      </c>
      <c r="C563" s="226">
        <v>-25000</v>
      </c>
    </row>
    <row r="564" spans="1:3" ht="15" customHeight="1" x14ac:dyDescent="0.25">
      <c r="A564" s="252">
        <v>242.6</v>
      </c>
      <c r="B564" s="253" t="s">
        <v>650</v>
      </c>
      <c r="C564" s="226">
        <v>-84.91</v>
      </c>
    </row>
    <row r="565" spans="1:3" ht="15" customHeight="1" x14ac:dyDescent="0.25">
      <c r="A565" s="252">
        <v>242.7</v>
      </c>
      <c r="B565" s="253" t="s">
        <v>651</v>
      </c>
      <c r="C565" s="226">
        <v>-286468.68</v>
      </c>
    </row>
    <row r="566" spans="1:3" ht="15" customHeight="1" x14ac:dyDescent="0.25">
      <c r="A566" s="252">
        <v>242.99</v>
      </c>
      <c r="B566" s="253" t="s">
        <v>652</v>
      </c>
      <c r="C566" s="226">
        <v>0</v>
      </c>
    </row>
    <row r="567" spans="1:3" ht="15" customHeight="1" x14ac:dyDescent="0.25">
      <c r="A567" s="252">
        <v>243.07</v>
      </c>
      <c r="B567" s="253" t="s">
        <v>653</v>
      </c>
      <c r="C567" s="226">
        <v>0</v>
      </c>
    </row>
    <row r="568" spans="1:3" ht="15" customHeight="1" x14ac:dyDescent="0.25">
      <c r="A568" s="252">
        <v>253</v>
      </c>
      <c r="B568" s="253" t="s">
        <v>654</v>
      </c>
      <c r="C568" s="226">
        <v>0</v>
      </c>
    </row>
    <row r="569" spans="1:3" ht="15" customHeight="1" x14ac:dyDescent="0.25">
      <c r="A569" s="252">
        <v>253.04</v>
      </c>
      <c r="B569" s="253" t="s">
        <v>655</v>
      </c>
      <c r="C569" s="226">
        <v>-214765.59</v>
      </c>
    </row>
    <row r="570" spans="1:3" ht="15" customHeight="1" x14ac:dyDescent="0.25">
      <c r="A570" s="252">
        <v>253.07</v>
      </c>
      <c r="B570" s="253" t="s">
        <v>656</v>
      </c>
      <c r="C570" s="226">
        <v>0</v>
      </c>
    </row>
    <row r="571" spans="1:3" ht="15" customHeight="1" x14ac:dyDescent="0.25">
      <c r="A571" s="252">
        <v>253.11</v>
      </c>
      <c r="B571" s="253" t="s">
        <v>657</v>
      </c>
      <c r="C571" s="226">
        <v>0</v>
      </c>
    </row>
    <row r="572" spans="1:3" ht="15" customHeight="1" x14ac:dyDescent="0.25">
      <c r="A572" s="252">
        <v>253.2</v>
      </c>
      <c r="B572" s="253" t="s">
        <v>658</v>
      </c>
      <c r="C572" s="226">
        <v>0</v>
      </c>
    </row>
    <row r="573" spans="1:3" ht="15" customHeight="1" x14ac:dyDescent="0.25">
      <c r="A573" s="252">
        <v>253.3</v>
      </c>
      <c r="B573" s="253" t="s">
        <v>659</v>
      </c>
      <c r="C573" s="226">
        <v>0</v>
      </c>
    </row>
    <row r="574" spans="1:3" ht="15" customHeight="1" x14ac:dyDescent="0.25">
      <c r="A574" s="252">
        <v>253.6</v>
      </c>
      <c r="B574" s="253" t="s">
        <v>660</v>
      </c>
      <c r="C574" s="226">
        <v>0</v>
      </c>
    </row>
    <row r="575" spans="1:3" ht="15" customHeight="1" x14ac:dyDescent="0.25">
      <c r="A575" s="252">
        <v>254</v>
      </c>
      <c r="B575" s="253" t="s">
        <v>908</v>
      </c>
      <c r="C575" s="226">
        <v>0</v>
      </c>
    </row>
    <row r="576" spans="1:3" ht="15" customHeight="1" x14ac:dyDescent="0.25">
      <c r="A576" s="252">
        <v>350</v>
      </c>
      <c r="B576" s="253" t="s">
        <v>236</v>
      </c>
      <c r="C576" s="226">
        <v>39754.699999999997</v>
      </c>
    </row>
    <row r="577" spans="1:3" ht="15" customHeight="1" x14ac:dyDescent="0.25">
      <c r="A577" s="252">
        <v>350.01</v>
      </c>
      <c r="B577" s="253" t="s">
        <v>478</v>
      </c>
      <c r="C577" s="226">
        <v>29716.59</v>
      </c>
    </row>
    <row r="578" spans="1:3" ht="15" customHeight="1" x14ac:dyDescent="0.25">
      <c r="A578" s="252">
        <v>350.1</v>
      </c>
      <c r="B578" s="253" t="s">
        <v>479</v>
      </c>
      <c r="C578" s="226">
        <v>436232.81</v>
      </c>
    </row>
    <row r="579" spans="1:3" ht="15" customHeight="1" x14ac:dyDescent="0.25">
      <c r="A579" s="252">
        <v>350.3</v>
      </c>
      <c r="B579" s="253" t="s">
        <v>480</v>
      </c>
      <c r="C579" s="226">
        <v>0</v>
      </c>
    </row>
    <row r="580" spans="1:3" ht="15" customHeight="1" x14ac:dyDescent="0.25">
      <c r="A580" s="252">
        <v>352</v>
      </c>
      <c r="B580" s="253" t="s">
        <v>661</v>
      </c>
      <c r="C580" s="226">
        <v>606517.89</v>
      </c>
    </row>
    <row r="581" spans="1:3" ht="15" customHeight="1" x14ac:dyDescent="0.25">
      <c r="A581" s="252">
        <v>352.1</v>
      </c>
      <c r="B581" s="253" t="s">
        <v>481</v>
      </c>
      <c r="C581" s="226">
        <v>915898.19</v>
      </c>
    </row>
    <row r="582" spans="1:3" ht="15" customHeight="1" x14ac:dyDescent="0.25">
      <c r="A582" s="252">
        <v>352.3</v>
      </c>
      <c r="B582" s="253" t="s">
        <v>482</v>
      </c>
      <c r="C582" s="226">
        <v>0</v>
      </c>
    </row>
    <row r="583" spans="1:3" ht="15" customHeight="1" x14ac:dyDescent="0.25">
      <c r="A583" s="252">
        <v>353</v>
      </c>
      <c r="B583" s="253" t="s">
        <v>237</v>
      </c>
      <c r="C583" s="226">
        <v>1695479.7</v>
      </c>
    </row>
    <row r="584" spans="1:3" ht="15" customHeight="1" x14ac:dyDescent="0.25">
      <c r="A584" s="252">
        <v>353.1</v>
      </c>
      <c r="B584" s="253" t="s">
        <v>483</v>
      </c>
      <c r="C584" s="226">
        <v>6304236.3899999997</v>
      </c>
    </row>
    <row r="585" spans="1:3" ht="15" customHeight="1" x14ac:dyDescent="0.25">
      <c r="A585" s="252">
        <v>353.3</v>
      </c>
      <c r="B585" s="253" t="s">
        <v>484</v>
      </c>
      <c r="C585" s="226">
        <v>0</v>
      </c>
    </row>
    <row r="586" spans="1:3" ht="15" customHeight="1" x14ac:dyDescent="0.25">
      <c r="A586" s="252">
        <v>355</v>
      </c>
      <c r="B586" s="253" t="s">
        <v>238</v>
      </c>
      <c r="C586" s="226">
        <v>2399403.89</v>
      </c>
    </row>
    <row r="587" spans="1:3" ht="15" customHeight="1" x14ac:dyDescent="0.25">
      <c r="A587" s="252">
        <v>355.1</v>
      </c>
      <c r="B587" s="253" t="s">
        <v>485</v>
      </c>
      <c r="C587" s="226">
        <v>2480371.12</v>
      </c>
    </row>
    <row r="588" spans="1:3" ht="15" customHeight="1" x14ac:dyDescent="0.25">
      <c r="A588" s="252">
        <v>355.3</v>
      </c>
      <c r="B588" s="253" t="s">
        <v>486</v>
      </c>
      <c r="C588" s="226">
        <v>0</v>
      </c>
    </row>
    <row r="589" spans="1:3" ht="15" customHeight="1" x14ac:dyDescent="0.25">
      <c r="A589" s="252">
        <v>356</v>
      </c>
      <c r="B589" s="253" t="s">
        <v>487</v>
      </c>
      <c r="C589" s="226">
        <v>3163961.48</v>
      </c>
    </row>
    <row r="590" spans="1:3" ht="15" customHeight="1" x14ac:dyDescent="0.25">
      <c r="A590" s="252">
        <v>356.1</v>
      </c>
      <c r="B590" s="253" t="s">
        <v>488</v>
      </c>
      <c r="C590" s="226">
        <v>3632866.22</v>
      </c>
    </row>
    <row r="591" spans="1:3" ht="15" customHeight="1" x14ac:dyDescent="0.25">
      <c r="A591" s="252">
        <v>356.3</v>
      </c>
      <c r="B591" s="253" t="s">
        <v>489</v>
      </c>
      <c r="C591" s="226">
        <v>0</v>
      </c>
    </row>
    <row r="592" spans="1:3" ht="15" customHeight="1" x14ac:dyDescent="0.25">
      <c r="A592" s="252">
        <v>356.4</v>
      </c>
      <c r="B592" s="253" t="s">
        <v>490</v>
      </c>
      <c r="C592" s="226">
        <v>499808.74</v>
      </c>
    </row>
    <row r="593" spans="1:3" ht="15" customHeight="1" x14ac:dyDescent="0.25">
      <c r="A593" s="252">
        <v>357</v>
      </c>
      <c r="B593" s="253" t="s">
        <v>491</v>
      </c>
      <c r="C593" s="226">
        <v>5739.06</v>
      </c>
    </row>
    <row r="594" spans="1:3" ht="15" customHeight="1" x14ac:dyDescent="0.25">
      <c r="A594" s="252">
        <v>358</v>
      </c>
      <c r="B594" s="253" t="s">
        <v>492</v>
      </c>
      <c r="C594" s="226">
        <v>21786.32</v>
      </c>
    </row>
    <row r="595" spans="1:3" ht="15" customHeight="1" x14ac:dyDescent="0.25">
      <c r="A595" s="252">
        <v>360</v>
      </c>
      <c r="B595" s="253" t="s">
        <v>244</v>
      </c>
      <c r="C595" s="226">
        <v>390223.24</v>
      </c>
    </row>
    <row r="596" spans="1:3" ht="15" customHeight="1" x14ac:dyDescent="0.25">
      <c r="A596" s="252">
        <v>360.1</v>
      </c>
      <c r="B596" s="253" t="s">
        <v>493</v>
      </c>
      <c r="C596" s="226">
        <v>142219.37</v>
      </c>
    </row>
    <row r="597" spans="1:3" ht="15" customHeight="1" x14ac:dyDescent="0.25">
      <c r="A597" s="252">
        <v>362</v>
      </c>
      <c r="B597" s="253" t="s">
        <v>245</v>
      </c>
      <c r="C597" s="226">
        <v>23571791.109999999</v>
      </c>
    </row>
    <row r="598" spans="1:3" ht="15" customHeight="1" x14ac:dyDescent="0.25">
      <c r="A598" s="252">
        <v>363</v>
      </c>
      <c r="B598" s="253" t="s">
        <v>814</v>
      </c>
      <c r="C598" s="226">
        <v>124966.45</v>
      </c>
    </row>
    <row r="599" spans="1:3" ht="15" customHeight="1" x14ac:dyDescent="0.25">
      <c r="A599" s="252">
        <v>364</v>
      </c>
      <c r="B599" s="253" t="s">
        <v>246</v>
      </c>
      <c r="C599" s="226">
        <v>44952732.140000001</v>
      </c>
    </row>
    <row r="600" spans="1:3" ht="15" customHeight="1" x14ac:dyDescent="0.25">
      <c r="A600" s="252">
        <v>365</v>
      </c>
      <c r="B600" s="253" t="s">
        <v>247</v>
      </c>
      <c r="C600" s="226">
        <v>38502850.07</v>
      </c>
    </row>
    <row r="601" spans="1:3" ht="15" customHeight="1" x14ac:dyDescent="0.25">
      <c r="A601" s="252">
        <v>366</v>
      </c>
      <c r="B601" s="253" t="s">
        <v>248</v>
      </c>
      <c r="C601" s="226">
        <v>1590140.27</v>
      </c>
    </row>
    <row r="602" spans="1:3" ht="15" customHeight="1" x14ac:dyDescent="0.25">
      <c r="A602" s="252">
        <v>367</v>
      </c>
      <c r="B602" s="253" t="s">
        <v>494</v>
      </c>
      <c r="C602" s="226">
        <v>14350785.41</v>
      </c>
    </row>
    <row r="603" spans="1:3" ht="15" customHeight="1" x14ac:dyDescent="0.25">
      <c r="A603" s="252">
        <v>368</v>
      </c>
      <c r="B603" s="253" t="s">
        <v>249</v>
      </c>
      <c r="C603" s="226">
        <v>14018557.98</v>
      </c>
    </row>
    <row r="604" spans="1:3" ht="15" customHeight="1" x14ac:dyDescent="0.25">
      <c r="A604" s="252">
        <v>369</v>
      </c>
      <c r="B604" s="253" t="s">
        <v>250</v>
      </c>
      <c r="C604" s="226">
        <v>14935589.02</v>
      </c>
    </row>
    <row r="605" spans="1:3" ht="15" customHeight="1" x14ac:dyDescent="0.25">
      <c r="A605" s="252">
        <v>370</v>
      </c>
      <c r="B605" s="253" t="s">
        <v>251</v>
      </c>
      <c r="C605" s="226">
        <v>460585.59</v>
      </c>
    </row>
    <row r="606" spans="1:3" ht="15" customHeight="1" x14ac:dyDescent="0.25">
      <c r="A606" s="252">
        <v>370.01</v>
      </c>
      <c r="B606" s="253" t="s">
        <v>224</v>
      </c>
      <c r="C606" s="226">
        <v>5560778.7000000002</v>
      </c>
    </row>
    <row r="607" spans="1:3" ht="15" customHeight="1" x14ac:dyDescent="0.25">
      <c r="A607" s="252">
        <v>370.02</v>
      </c>
      <c r="B607" s="253" t="s">
        <v>662</v>
      </c>
      <c r="C607" s="226">
        <v>556368.11</v>
      </c>
    </row>
    <row r="608" spans="1:3" ht="15" customHeight="1" x14ac:dyDescent="0.25">
      <c r="A608" s="252">
        <v>370.1</v>
      </c>
      <c r="B608" s="253" t="s">
        <v>252</v>
      </c>
      <c r="C608" s="226">
        <v>0</v>
      </c>
    </row>
    <row r="609" spans="1:3" ht="15" customHeight="1" x14ac:dyDescent="0.25">
      <c r="A609" s="252">
        <v>371</v>
      </c>
      <c r="B609" s="253" t="s">
        <v>909</v>
      </c>
      <c r="C609" s="226">
        <v>5367.12</v>
      </c>
    </row>
    <row r="610" spans="1:3" ht="15" customHeight="1" x14ac:dyDescent="0.25">
      <c r="A610" s="252">
        <v>371.1</v>
      </c>
      <c r="B610" s="253" t="s">
        <v>495</v>
      </c>
      <c r="C610" s="226">
        <v>1851121.92</v>
      </c>
    </row>
    <row r="611" spans="1:3" ht="15" customHeight="1" x14ac:dyDescent="0.25">
      <c r="A611" s="252">
        <v>371.3</v>
      </c>
      <c r="B611" s="253" t="s">
        <v>496</v>
      </c>
      <c r="C611" s="226">
        <v>4854.43</v>
      </c>
    </row>
    <row r="612" spans="1:3" ht="15" customHeight="1" x14ac:dyDescent="0.25">
      <c r="A612" s="252">
        <v>373</v>
      </c>
      <c r="B612" s="253" t="s">
        <v>253</v>
      </c>
      <c r="C612" s="226">
        <v>106188.94</v>
      </c>
    </row>
    <row r="613" spans="1:3" ht="15" customHeight="1" x14ac:dyDescent="0.25">
      <c r="A613" s="252">
        <v>384.2</v>
      </c>
      <c r="B613" s="253" t="s">
        <v>815</v>
      </c>
      <c r="C613" s="226">
        <v>810580.86</v>
      </c>
    </row>
    <row r="614" spans="1:3" ht="15" customHeight="1" x14ac:dyDescent="0.25">
      <c r="A614" s="252">
        <v>389</v>
      </c>
      <c r="B614" s="253" t="s">
        <v>497</v>
      </c>
      <c r="C614" s="226">
        <v>308791.14</v>
      </c>
    </row>
    <row r="615" spans="1:3" ht="15" customHeight="1" x14ac:dyDescent="0.25">
      <c r="A615" s="252">
        <v>390</v>
      </c>
      <c r="B615" s="253" t="s">
        <v>498</v>
      </c>
      <c r="C615" s="226">
        <v>6962448.3700000001</v>
      </c>
    </row>
    <row r="616" spans="1:3" ht="15" customHeight="1" x14ac:dyDescent="0.25">
      <c r="A616" s="252">
        <v>390.07</v>
      </c>
      <c r="B616" s="253" t="s">
        <v>499</v>
      </c>
      <c r="C616" s="226">
        <v>0</v>
      </c>
    </row>
    <row r="617" spans="1:3" ht="15" customHeight="1" x14ac:dyDescent="0.25">
      <c r="A617" s="252">
        <v>390.3</v>
      </c>
      <c r="B617" s="253" t="s">
        <v>500</v>
      </c>
      <c r="C617" s="226">
        <v>0</v>
      </c>
    </row>
    <row r="618" spans="1:3" ht="15" customHeight="1" x14ac:dyDescent="0.25">
      <c r="A618" s="252">
        <v>390.5</v>
      </c>
      <c r="B618" s="253" t="s">
        <v>501</v>
      </c>
      <c r="C618" s="226">
        <v>7123.87</v>
      </c>
    </row>
    <row r="619" spans="1:3" ht="15" customHeight="1" x14ac:dyDescent="0.25">
      <c r="A619" s="252">
        <v>391</v>
      </c>
      <c r="B619" s="253" t="s">
        <v>255</v>
      </c>
      <c r="C619" s="226">
        <v>609503.15</v>
      </c>
    </row>
    <row r="620" spans="1:3" ht="15" customHeight="1" x14ac:dyDescent="0.25">
      <c r="A620" s="252">
        <v>391.01</v>
      </c>
      <c r="B620" s="253" t="s">
        <v>502</v>
      </c>
      <c r="C620" s="226">
        <v>0</v>
      </c>
    </row>
    <row r="621" spans="1:3" ht="15" customHeight="1" x14ac:dyDescent="0.25">
      <c r="A621" s="252">
        <v>391.1</v>
      </c>
      <c r="B621" s="253" t="s">
        <v>256</v>
      </c>
      <c r="C621" s="226">
        <v>2141769.91</v>
      </c>
    </row>
    <row r="622" spans="1:3" ht="15" customHeight="1" x14ac:dyDescent="0.25">
      <c r="A622" s="252">
        <v>391.2</v>
      </c>
      <c r="B622" s="253" t="s">
        <v>758</v>
      </c>
      <c r="C622" s="226">
        <v>1103514.77</v>
      </c>
    </row>
    <row r="623" spans="1:3" ht="15" customHeight="1" x14ac:dyDescent="0.25">
      <c r="A623" s="252">
        <v>391.3</v>
      </c>
      <c r="B623" s="253" t="s">
        <v>181</v>
      </c>
      <c r="C623" s="226">
        <v>0</v>
      </c>
    </row>
    <row r="624" spans="1:3" ht="15" customHeight="1" x14ac:dyDescent="0.25">
      <c r="A624" s="252">
        <v>392</v>
      </c>
      <c r="B624" s="253" t="s">
        <v>266</v>
      </c>
      <c r="C624" s="226">
        <v>5875876.9299999997</v>
      </c>
    </row>
    <row r="625" spans="1:3" ht="15" customHeight="1" x14ac:dyDescent="0.25">
      <c r="A625" s="252">
        <v>393</v>
      </c>
      <c r="B625" s="253" t="s">
        <v>267</v>
      </c>
      <c r="C625" s="226">
        <v>401582.07</v>
      </c>
    </row>
    <row r="626" spans="1:3" ht="15" customHeight="1" x14ac:dyDescent="0.25">
      <c r="A626" s="252">
        <v>394</v>
      </c>
      <c r="B626" s="253" t="s">
        <v>268</v>
      </c>
      <c r="C626" s="226">
        <v>1168724.95</v>
      </c>
    </row>
    <row r="627" spans="1:3" ht="15" customHeight="1" x14ac:dyDescent="0.25">
      <c r="A627" s="252">
        <v>395</v>
      </c>
      <c r="B627" s="253" t="s">
        <v>269</v>
      </c>
      <c r="C627" s="226">
        <v>390679.18</v>
      </c>
    </row>
    <row r="628" spans="1:3" ht="15" customHeight="1" x14ac:dyDescent="0.25">
      <c r="A628" s="252">
        <v>396</v>
      </c>
      <c r="B628" s="253" t="s">
        <v>270</v>
      </c>
      <c r="C628" s="226">
        <v>39076.85</v>
      </c>
    </row>
    <row r="629" spans="1:3" ht="15" customHeight="1" x14ac:dyDescent="0.25">
      <c r="A629" s="252">
        <v>397</v>
      </c>
      <c r="B629" s="253" t="s">
        <v>503</v>
      </c>
      <c r="C629" s="226">
        <v>1003698.53</v>
      </c>
    </row>
    <row r="630" spans="1:3" ht="15" customHeight="1" x14ac:dyDescent="0.25">
      <c r="A630" s="252">
        <v>397.1</v>
      </c>
      <c r="B630" s="253" t="s">
        <v>504</v>
      </c>
      <c r="C630" s="226">
        <v>5831536.0300000003</v>
      </c>
    </row>
    <row r="631" spans="1:3" ht="15" customHeight="1" x14ac:dyDescent="0.25">
      <c r="A631" s="252">
        <v>397.2</v>
      </c>
      <c r="B631" s="253" t="s">
        <v>505</v>
      </c>
      <c r="C631" s="226">
        <v>501415.4</v>
      </c>
    </row>
    <row r="632" spans="1:3" ht="15" customHeight="1" x14ac:dyDescent="0.25">
      <c r="A632" s="252">
        <v>398.1</v>
      </c>
      <c r="B632" s="253" t="s">
        <v>271</v>
      </c>
      <c r="C632" s="226">
        <v>833848.61</v>
      </c>
    </row>
    <row r="633" spans="1:3" ht="15" customHeight="1" x14ac:dyDescent="0.25">
      <c r="A633" s="252">
        <v>398.2</v>
      </c>
      <c r="B633" s="253" t="s">
        <v>506</v>
      </c>
      <c r="C633" s="226">
        <v>8241.3799999999992</v>
      </c>
    </row>
    <row r="634" spans="1:3" ht="15" customHeight="1" x14ac:dyDescent="0.25">
      <c r="A634" s="252">
        <v>998.1</v>
      </c>
      <c r="B634" s="253" t="s">
        <v>663</v>
      </c>
      <c r="C634" s="226">
        <v>-2778810.46</v>
      </c>
    </row>
    <row r="635" spans="1:3" ht="15" customHeight="1" x14ac:dyDescent="0.25">
      <c r="A635" s="252">
        <v>998.2</v>
      </c>
      <c r="B635" s="253" t="s">
        <v>664</v>
      </c>
      <c r="C635" s="226">
        <v>6911315.7400000002</v>
      </c>
    </row>
    <row r="636" spans="1:3" ht="15" customHeight="1" x14ac:dyDescent="0.25">
      <c r="A636" s="33"/>
      <c r="B636" s="33"/>
    </row>
    <row r="637" spans="1:3" ht="15" customHeight="1" x14ac:dyDescent="0.25">
      <c r="A637" s="33"/>
      <c r="B637" s="33"/>
    </row>
    <row r="638" spans="1:3" ht="15" customHeight="1" x14ac:dyDescent="0.25">
      <c r="A638" s="33"/>
      <c r="B638" s="33"/>
    </row>
    <row r="639" spans="1:3" ht="15" customHeight="1" x14ac:dyDescent="0.25">
      <c r="A639" s="33"/>
      <c r="B639" s="33"/>
    </row>
    <row r="640" spans="1:3" ht="15" customHeight="1" x14ac:dyDescent="0.25">
      <c r="A640" s="33"/>
      <c r="B640" s="33"/>
    </row>
    <row r="641" spans="1:2" ht="15" customHeight="1" x14ac:dyDescent="0.25">
      <c r="A641" s="33"/>
      <c r="B641" s="33"/>
    </row>
    <row r="642" spans="1:2" ht="15" customHeight="1" x14ac:dyDescent="0.25">
      <c r="A642" s="33"/>
      <c r="B642" s="33"/>
    </row>
    <row r="643" spans="1:2" ht="15" customHeight="1" x14ac:dyDescent="0.25">
      <c r="A643" s="33"/>
      <c r="B643" s="33"/>
    </row>
    <row r="644" spans="1:2" ht="15" customHeight="1" x14ac:dyDescent="0.25">
      <c r="A644" s="33"/>
      <c r="B644" s="33"/>
    </row>
    <row r="645" spans="1:2" ht="15" customHeight="1" x14ac:dyDescent="0.25">
      <c r="A645" s="33"/>
      <c r="B645" s="33"/>
    </row>
    <row r="646" spans="1:2" ht="15" customHeight="1" x14ac:dyDescent="0.25">
      <c r="A646" s="33"/>
      <c r="B646" s="33"/>
    </row>
    <row r="647" spans="1:2" ht="15" customHeight="1" x14ac:dyDescent="0.25">
      <c r="A647" s="33"/>
      <c r="B647" s="33"/>
    </row>
    <row r="648" spans="1:2" ht="15" customHeight="1" x14ac:dyDescent="0.25">
      <c r="A648" s="33"/>
      <c r="B648" s="33"/>
    </row>
    <row r="649" spans="1:2" ht="15" customHeight="1" x14ac:dyDescent="0.25">
      <c r="A649" s="33"/>
      <c r="B649" s="33"/>
    </row>
    <row r="650" spans="1:2" ht="15" customHeight="1" x14ac:dyDescent="0.25">
      <c r="A650" s="33"/>
      <c r="B650" s="33"/>
    </row>
    <row r="651" spans="1:2" ht="15" customHeight="1" x14ac:dyDescent="0.25">
      <c r="A651" s="33"/>
      <c r="B651" s="33"/>
    </row>
    <row r="652" spans="1:2" ht="15" customHeight="1" x14ac:dyDescent="0.25">
      <c r="A652" s="33"/>
      <c r="B652" s="33"/>
    </row>
    <row r="653" spans="1:2" ht="15" customHeight="1" x14ac:dyDescent="0.25">
      <c r="A653" s="33"/>
      <c r="B653" s="33"/>
    </row>
    <row r="654" spans="1:2" ht="15" customHeight="1" x14ac:dyDescent="0.25">
      <c r="A654" s="33"/>
      <c r="B654" s="33"/>
    </row>
    <row r="655" spans="1:2" ht="15" customHeight="1" x14ac:dyDescent="0.25">
      <c r="A655" s="33"/>
      <c r="B655" s="33"/>
    </row>
    <row r="656" spans="1:2" ht="15" customHeight="1" x14ac:dyDescent="0.25">
      <c r="A656" s="33"/>
      <c r="B656" s="33"/>
    </row>
    <row r="657" spans="1:3" ht="15" customHeight="1" x14ac:dyDescent="0.25">
      <c r="A657" s="33"/>
      <c r="B657" s="33"/>
    </row>
    <row r="658" spans="1:3" ht="15" customHeight="1" x14ac:dyDescent="0.25">
      <c r="A658" s="33"/>
      <c r="B658" s="33"/>
    </row>
    <row r="659" spans="1:3" ht="15" customHeight="1" x14ac:dyDescent="0.25">
      <c r="A659" s="33"/>
      <c r="B659" s="33"/>
    </row>
    <row r="660" spans="1:3" ht="15" customHeight="1" x14ac:dyDescent="0.25">
      <c r="A660" s="33"/>
      <c r="B660" s="33"/>
    </row>
    <row r="661" spans="1:3" ht="15" customHeight="1" x14ac:dyDescent="0.25">
      <c r="A661" s="33"/>
      <c r="B661" s="33"/>
    </row>
    <row r="662" spans="1:3" ht="15" customHeight="1" x14ac:dyDescent="0.25">
      <c r="A662" s="33"/>
      <c r="B662" s="33"/>
    </row>
    <row r="663" spans="1:3" ht="15" customHeight="1" x14ac:dyDescent="0.25">
      <c r="A663" s="33"/>
      <c r="B663" s="33"/>
    </row>
    <row r="664" spans="1:3" ht="15" customHeight="1" x14ac:dyDescent="0.25">
      <c r="A664" s="33"/>
      <c r="B664" s="33"/>
    </row>
    <row r="665" spans="1:3" ht="15" customHeight="1" x14ac:dyDescent="0.25">
      <c r="A665" s="33"/>
      <c r="B665" s="33"/>
    </row>
    <row r="666" spans="1:3" ht="15" customHeight="1" x14ac:dyDescent="0.25">
      <c r="A666" s="33"/>
      <c r="B666" s="33"/>
    </row>
    <row r="667" spans="1:3" ht="15" customHeight="1" x14ac:dyDescent="0.25">
      <c r="A667" s="33"/>
      <c r="B667" s="33"/>
    </row>
    <row r="668" spans="1:3" ht="15" customHeight="1" x14ac:dyDescent="0.25">
      <c r="A668" s="33"/>
      <c r="B668" s="33"/>
    </row>
    <row r="669" spans="1:3" ht="15" customHeight="1" x14ac:dyDescent="0.25">
      <c r="A669" s="33"/>
      <c r="B669" s="33"/>
      <c r="C669" s="33"/>
    </row>
    <row r="670" spans="1:3" ht="15" customHeight="1" x14ac:dyDescent="0.25">
      <c r="A670" s="33"/>
      <c r="B670" s="33"/>
      <c r="C670" s="33"/>
    </row>
    <row r="671" spans="1:3" ht="15" customHeight="1" x14ac:dyDescent="0.25">
      <c r="A671" s="33"/>
      <c r="B671" s="33"/>
      <c r="C671" s="33"/>
    </row>
    <row r="672" spans="1:3" ht="15" customHeight="1" x14ac:dyDescent="0.25">
      <c r="A672" s="33"/>
      <c r="B672" s="33"/>
      <c r="C672" s="33"/>
    </row>
    <row r="673" spans="1:3" ht="15" customHeight="1" x14ac:dyDescent="0.25">
      <c r="A673" s="33"/>
      <c r="B673" s="33"/>
      <c r="C673" s="33"/>
    </row>
    <row r="674" spans="1:3" ht="15" customHeight="1" x14ac:dyDescent="0.25">
      <c r="A674" s="33"/>
      <c r="B674" s="33"/>
      <c r="C674" s="33"/>
    </row>
    <row r="675" spans="1:3" ht="15" customHeight="1" x14ac:dyDescent="0.25">
      <c r="A675" s="33"/>
      <c r="B675" s="33"/>
      <c r="C675" s="33"/>
    </row>
    <row r="676" spans="1:3" ht="15" customHeight="1" x14ac:dyDescent="0.25">
      <c r="A676" s="33"/>
      <c r="B676" s="33"/>
      <c r="C676" s="33"/>
    </row>
    <row r="677" spans="1:3" ht="15" customHeight="1" x14ac:dyDescent="0.25">
      <c r="A677" s="33"/>
      <c r="B677" s="33"/>
      <c r="C677" s="33"/>
    </row>
    <row r="678" spans="1:3" ht="15" customHeight="1" x14ac:dyDescent="0.25">
      <c r="A678" s="33"/>
      <c r="B678" s="33"/>
      <c r="C678" s="33"/>
    </row>
    <row r="679" spans="1:3" ht="15" customHeight="1" x14ac:dyDescent="0.25">
      <c r="A679" s="33"/>
      <c r="B679" s="33"/>
      <c r="C679" s="33"/>
    </row>
    <row r="680" spans="1:3" ht="15" customHeight="1" x14ac:dyDescent="0.25">
      <c r="A680" s="33"/>
      <c r="B680" s="33"/>
      <c r="C680" s="33"/>
    </row>
    <row r="681" spans="1:3" ht="15" customHeight="1" x14ac:dyDescent="0.25">
      <c r="A681" s="33"/>
      <c r="B681" s="33"/>
      <c r="C681" s="33"/>
    </row>
    <row r="682" spans="1:3" ht="15" customHeight="1" x14ac:dyDescent="0.25">
      <c r="A682" s="33"/>
      <c r="B682" s="33"/>
      <c r="C682" s="33"/>
    </row>
    <row r="683" spans="1:3" ht="15" customHeight="1" x14ac:dyDescent="0.25">
      <c r="A683" s="33"/>
      <c r="B683" s="33"/>
      <c r="C683" s="33"/>
    </row>
    <row r="684" spans="1:3" ht="15" customHeight="1" x14ac:dyDescent="0.25">
      <c r="A684" s="33"/>
      <c r="B684" s="33"/>
      <c r="C684" s="33"/>
    </row>
    <row r="685" spans="1:3" ht="15" customHeight="1" x14ac:dyDescent="0.25">
      <c r="A685" s="33"/>
      <c r="B685" s="33"/>
      <c r="C685" s="33"/>
    </row>
    <row r="686" spans="1:3" ht="15" customHeight="1" x14ac:dyDescent="0.25">
      <c r="A686" s="33"/>
      <c r="B686" s="33"/>
      <c r="C686" s="33"/>
    </row>
    <row r="687" spans="1:3" ht="15" customHeight="1" x14ac:dyDescent="0.25">
      <c r="A687" s="33"/>
      <c r="B687" s="33"/>
      <c r="C687" s="33"/>
    </row>
    <row r="688" spans="1:3" ht="15" customHeight="1" x14ac:dyDescent="0.25">
      <c r="A688" s="33"/>
      <c r="B688" s="33"/>
      <c r="C688" s="33"/>
    </row>
    <row r="689" spans="1:3" ht="15" customHeight="1" x14ac:dyDescent="0.25">
      <c r="A689" s="33"/>
      <c r="B689" s="33"/>
      <c r="C689" s="33"/>
    </row>
    <row r="690" spans="1:3" ht="15" customHeight="1" x14ac:dyDescent="0.25">
      <c r="A690" s="33"/>
      <c r="B690" s="33"/>
      <c r="C690" s="33"/>
    </row>
    <row r="691" spans="1:3" ht="15" customHeight="1" x14ac:dyDescent="0.25">
      <c r="A691" s="33"/>
      <c r="B691" s="33"/>
      <c r="C691" s="33"/>
    </row>
    <row r="692" spans="1:3" ht="15" customHeight="1" x14ac:dyDescent="0.25">
      <c r="A692" s="33"/>
      <c r="B692" s="33"/>
      <c r="C692" s="33"/>
    </row>
    <row r="693" spans="1:3" ht="15" customHeight="1" x14ac:dyDescent="0.25">
      <c r="A693" s="33"/>
      <c r="B693" s="33"/>
      <c r="C693" s="33"/>
    </row>
    <row r="694" spans="1:3" ht="15" customHeight="1" x14ac:dyDescent="0.25">
      <c r="A694" s="33"/>
      <c r="B694" s="33"/>
      <c r="C694" s="33"/>
    </row>
    <row r="695" spans="1:3" ht="15" customHeight="1" x14ac:dyDescent="0.25">
      <c r="A695" s="33"/>
      <c r="B695" s="33"/>
      <c r="C695" s="33"/>
    </row>
    <row r="696" spans="1:3" ht="15" customHeight="1" x14ac:dyDescent="0.25">
      <c r="A696" s="33"/>
      <c r="B696" s="33"/>
      <c r="C696" s="33"/>
    </row>
    <row r="697" spans="1:3" ht="15" customHeight="1" x14ac:dyDescent="0.25">
      <c r="A697" s="33"/>
      <c r="B697" s="33"/>
      <c r="C697" s="33"/>
    </row>
    <row r="698" spans="1:3" ht="15" customHeight="1" x14ac:dyDescent="0.25">
      <c r="A698" s="33"/>
      <c r="B698" s="33"/>
      <c r="C698" s="33"/>
    </row>
    <row r="699" spans="1:3" ht="15" customHeight="1" x14ac:dyDescent="0.25">
      <c r="A699" s="33"/>
      <c r="B699" s="33"/>
      <c r="C699" s="33"/>
    </row>
    <row r="700" spans="1:3" ht="15" customHeight="1" x14ac:dyDescent="0.25">
      <c r="A700" s="33"/>
      <c r="B700" s="33"/>
      <c r="C700" s="33"/>
    </row>
    <row r="701" spans="1:3" ht="15" customHeight="1" x14ac:dyDescent="0.25">
      <c r="A701" s="33"/>
      <c r="B701" s="33"/>
      <c r="C701" s="33"/>
    </row>
    <row r="702" spans="1:3" ht="15" customHeight="1" x14ac:dyDescent="0.25">
      <c r="A702" s="33"/>
      <c r="B702" s="33"/>
      <c r="C702" s="33"/>
    </row>
    <row r="703" spans="1:3" ht="15" customHeight="1" x14ac:dyDescent="0.25">
      <c r="A703" s="33"/>
      <c r="B703" s="33"/>
      <c r="C703" s="33"/>
    </row>
    <row r="704" spans="1:3" ht="15" customHeight="1" x14ac:dyDescent="0.25">
      <c r="A704" s="33"/>
      <c r="B704" s="33"/>
      <c r="C704" s="33"/>
    </row>
    <row r="705" spans="1:3" ht="15" customHeight="1" x14ac:dyDescent="0.25">
      <c r="A705" s="33"/>
      <c r="B705" s="33"/>
      <c r="C705" s="33"/>
    </row>
    <row r="706" spans="1:3" ht="15" customHeight="1" x14ac:dyDescent="0.25">
      <c r="A706" s="33"/>
      <c r="B706" s="33"/>
      <c r="C706" s="33"/>
    </row>
    <row r="707" spans="1:3" ht="15" customHeight="1" x14ac:dyDescent="0.25">
      <c r="A707" s="33"/>
      <c r="B707" s="33"/>
      <c r="C707" s="33"/>
    </row>
    <row r="708" spans="1:3" ht="15" customHeight="1" x14ac:dyDescent="0.25">
      <c r="A708" s="33"/>
      <c r="B708" s="33"/>
      <c r="C708" s="33"/>
    </row>
    <row r="709" spans="1:3" ht="15" customHeight="1" x14ac:dyDescent="0.25">
      <c r="A709" s="33"/>
      <c r="B709" s="33"/>
      <c r="C709" s="33"/>
    </row>
    <row r="710" spans="1:3" ht="15" customHeight="1" x14ac:dyDescent="0.25">
      <c r="A710" s="33"/>
      <c r="B710" s="33"/>
      <c r="C710" s="33"/>
    </row>
    <row r="711" spans="1:3" ht="15" customHeight="1" x14ac:dyDescent="0.25">
      <c r="A711" s="33"/>
      <c r="B711" s="33"/>
      <c r="C711" s="33"/>
    </row>
    <row r="712" spans="1:3" ht="15" customHeight="1" x14ac:dyDescent="0.25">
      <c r="A712" s="33"/>
      <c r="B712" s="33"/>
      <c r="C712" s="33"/>
    </row>
    <row r="713" spans="1:3" ht="15" customHeight="1" x14ac:dyDescent="0.25">
      <c r="A713" s="33"/>
      <c r="B713" s="33"/>
      <c r="C713" s="33"/>
    </row>
    <row r="714" spans="1:3" ht="15" customHeight="1" x14ac:dyDescent="0.25">
      <c r="A714" s="33"/>
      <c r="B714" s="33"/>
      <c r="C714" s="33"/>
    </row>
    <row r="715" spans="1:3" ht="15" customHeight="1" x14ac:dyDescent="0.25">
      <c r="A715" s="33"/>
      <c r="B715" s="33"/>
      <c r="C715" s="33"/>
    </row>
    <row r="716" spans="1:3" ht="15" customHeight="1" x14ac:dyDescent="0.25">
      <c r="A716" s="33"/>
      <c r="B716" s="33"/>
      <c r="C716" s="33"/>
    </row>
    <row r="717" spans="1:3" x14ac:dyDescent="0.25">
      <c r="A717" s="33"/>
      <c r="B717" s="33"/>
      <c r="C717" s="33"/>
    </row>
    <row r="718" spans="1:3" x14ac:dyDescent="0.25">
      <c r="A718" s="33"/>
      <c r="B718" s="33"/>
      <c r="C718" s="33"/>
    </row>
    <row r="719" spans="1:3" x14ac:dyDescent="0.25">
      <c r="A719" s="33"/>
      <c r="B719" s="33"/>
      <c r="C719" s="33"/>
    </row>
    <row r="720" spans="1:3" x14ac:dyDescent="0.25">
      <c r="A720" s="33"/>
      <c r="B720" s="33"/>
      <c r="C720" s="33"/>
    </row>
    <row r="721" spans="1:3" x14ac:dyDescent="0.25">
      <c r="A721" s="33"/>
      <c r="B721" s="33"/>
      <c r="C721" s="33"/>
    </row>
    <row r="722" spans="1:3" x14ac:dyDescent="0.25">
      <c r="A722" s="33"/>
      <c r="B722" s="33"/>
      <c r="C722" s="33"/>
    </row>
    <row r="723" spans="1:3" x14ac:dyDescent="0.25">
      <c r="A723" s="33"/>
      <c r="B723" s="33"/>
      <c r="C723" s="33"/>
    </row>
    <row r="724" spans="1:3" x14ac:dyDescent="0.25">
      <c r="A724" s="33"/>
      <c r="B724" s="33"/>
      <c r="C724" s="33"/>
    </row>
    <row r="725" spans="1:3" x14ac:dyDescent="0.25">
      <c r="A725" s="33"/>
      <c r="B725" s="33"/>
      <c r="C725" s="33"/>
    </row>
    <row r="726" spans="1:3" x14ac:dyDescent="0.25">
      <c r="A726" s="33"/>
      <c r="B726" s="33"/>
      <c r="C726" s="33"/>
    </row>
    <row r="727" spans="1:3" x14ac:dyDescent="0.25">
      <c r="A727" s="33"/>
      <c r="B727" s="33"/>
      <c r="C727" s="33"/>
    </row>
    <row r="728" spans="1:3" x14ac:dyDescent="0.25">
      <c r="A728" s="33"/>
      <c r="B728" s="33"/>
      <c r="C728" s="33"/>
    </row>
    <row r="729" spans="1:3" x14ac:dyDescent="0.25">
      <c r="A729" s="33"/>
      <c r="B729" s="33"/>
      <c r="C729" s="33"/>
    </row>
    <row r="730" spans="1:3" x14ac:dyDescent="0.25">
      <c r="A730" s="33"/>
      <c r="B730" s="33"/>
      <c r="C730" s="33"/>
    </row>
    <row r="731" spans="1:3" x14ac:dyDescent="0.25">
      <c r="A731" s="33"/>
      <c r="B731" s="33"/>
      <c r="C731" s="33"/>
    </row>
    <row r="732" spans="1:3" x14ac:dyDescent="0.25">
      <c r="A732" s="33"/>
      <c r="B732" s="33"/>
      <c r="C732" s="33"/>
    </row>
    <row r="733" spans="1:3" ht="15" customHeight="1" x14ac:dyDescent="0.25">
      <c r="A733" s="33"/>
      <c r="B733" s="33"/>
      <c r="C733" s="33"/>
    </row>
    <row r="734" spans="1:3" ht="15" customHeight="1" x14ac:dyDescent="0.25">
      <c r="A734" s="33"/>
      <c r="B734" s="33"/>
      <c r="C734" s="33"/>
    </row>
    <row r="735" spans="1:3" ht="15" customHeight="1" x14ac:dyDescent="0.25">
      <c r="A735" s="33"/>
      <c r="B735" s="33"/>
      <c r="C735" s="33"/>
    </row>
    <row r="736" spans="1:3" ht="15" customHeight="1" x14ac:dyDescent="0.25">
      <c r="A736" s="33"/>
      <c r="B736" s="33"/>
      <c r="C736" s="33"/>
    </row>
    <row r="737" spans="1:3" ht="15" customHeight="1" x14ac:dyDescent="0.25">
      <c r="A737" s="33"/>
      <c r="B737" s="33"/>
      <c r="C737" s="33"/>
    </row>
    <row r="738" spans="1:3" ht="15" customHeight="1" x14ac:dyDescent="0.25">
      <c r="A738" s="33"/>
      <c r="B738" s="33"/>
      <c r="C738" s="33"/>
    </row>
    <row r="739" spans="1:3" ht="15" customHeight="1" x14ac:dyDescent="0.25">
      <c r="A739" s="33"/>
      <c r="B739" s="33"/>
      <c r="C739" s="33"/>
    </row>
    <row r="740" spans="1:3" ht="15" customHeight="1" x14ac:dyDescent="0.25">
      <c r="A740" s="33"/>
      <c r="B740" s="33"/>
      <c r="C740" s="33"/>
    </row>
    <row r="741" spans="1:3" ht="15" customHeight="1" x14ac:dyDescent="0.25">
      <c r="A741" s="33"/>
      <c r="B741" s="33"/>
      <c r="C741" s="33"/>
    </row>
    <row r="742" spans="1:3" ht="15" customHeight="1" x14ac:dyDescent="0.25">
      <c r="A742" s="33"/>
      <c r="B742" s="33"/>
      <c r="C742" s="33"/>
    </row>
    <row r="743" spans="1:3" ht="15" customHeight="1" x14ac:dyDescent="0.25">
      <c r="A743" s="33"/>
      <c r="B743" s="33"/>
      <c r="C743" s="33"/>
    </row>
    <row r="744" spans="1:3" ht="15" customHeight="1" x14ac:dyDescent="0.25">
      <c r="A744" s="33"/>
      <c r="B744" s="33"/>
      <c r="C744" s="33"/>
    </row>
    <row r="745" spans="1:3" ht="15" customHeight="1" x14ac:dyDescent="0.25">
      <c r="A745" s="33"/>
      <c r="B745" s="33"/>
      <c r="C745" s="33"/>
    </row>
    <row r="746" spans="1:3" ht="15" customHeight="1" x14ac:dyDescent="0.25">
      <c r="A746" s="33"/>
      <c r="B746" s="33"/>
      <c r="C746" s="33"/>
    </row>
    <row r="747" spans="1:3" ht="15" customHeight="1" x14ac:dyDescent="0.25">
      <c r="A747" s="33"/>
      <c r="B747" s="33"/>
      <c r="C747" s="33"/>
    </row>
    <row r="748" spans="1:3" ht="15" customHeight="1" x14ac:dyDescent="0.25">
      <c r="A748" s="33"/>
      <c r="B748" s="33"/>
      <c r="C748" s="33"/>
    </row>
    <row r="749" spans="1:3" ht="15" customHeight="1" x14ac:dyDescent="0.25">
      <c r="A749" s="33"/>
      <c r="B749" s="33"/>
      <c r="C749" s="33"/>
    </row>
    <row r="750" spans="1:3" ht="15" customHeight="1" x14ac:dyDescent="0.25">
      <c r="A750" s="33"/>
      <c r="B750" s="33"/>
      <c r="C750" s="33"/>
    </row>
    <row r="751" spans="1:3" ht="15" customHeight="1" x14ac:dyDescent="0.25">
      <c r="A751" s="33"/>
      <c r="B751" s="33"/>
      <c r="C751" s="33"/>
    </row>
    <row r="752" spans="1:3" ht="15" customHeight="1" x14ac:dyDescent="0.25">
      <c r="A752" s="33"/>
      <c r="B752" s="33"/>
      <c r="C752" s="33"/>
    </row>
    <row r="753" spans="1:3" ht="15" customHeight="1" x14ac:dyDescent="0.25">
      <c r="A753" s="33"/>
      <c r="B753" s="33"/>
      <c r="C753" s="33"/>
    </row>
    <row r="754" spans="1:3" ht="15" customHeight="1" x14ac:dyDescent="0.25">
      <c r="A754" s="33"/>
      <c r="B754" s="33"/>
      <c r="C754" s="33"/>
    </row>
    <row r="755" spans="1:3" ht="15" customHeight="1" x14ac:dyDescent="0.25">
      <c r="A755" s="33"/>
      <c r="B755" s="33"/>
      <c r="C755" s="33"/>
    </row>
    <row r="756" spans="1:3" ht="15" customHeight="1" x14ac:dyDescent="0.25">
      <c r="A756" s="33"/>
      <c r="B756" s="33"/>
      <c r="C756" s="33"/>
    </row>
    <row r="757" spans="1:3" ht="15" customHeight="1" x14ac:dyDescent="0.25">
      <c r="A757" s="33"/>
      <c r="B757" s="33"/>
      <c r="C757" s="33"/>
    </row>
    <row r="758" spans="1:3" ht="15" customHeight="1" x14ac:dyDescent="0.25">
      <c r="A758" s="33"/>
      <c r="B758" s="33"/>
      <c r="C758" s="33"/>
    </row>
    <row r="759" spans="1:3" ht="15" customHeight="1" x14ac:dyDescent="0.25">
      <c r="A759" s="33"/>
      <c r="B759" s="33"/>
      <c r="C759" s="33"/>
    </row>
    <row r="760" spans="1:3" ht="15" customHeight="1" x14ac:dyDescent="0.25">
      <c r="A760" s="33"/>
      <c r="B760" s="33"/>
      <c r="C760" s="33"/>
    </row>
    <row r="761" spans="1:3" ht="15" customHeight="1" x14ac:dyDescent="0.25">
      <c r="A761" s="33"/>
      <c r="B761" s="33"/>
      <c r="C761" s="33"/>
    </row>
    <row r="762" spans="1:3" ht="15" customHeight="1" x14ac:dyDescent="0.25">
      <c r="A762" s="33"/>
      <c r="B762" s="33"/>
      <c r="C762" s="33"/>
    </row>
    <row r="763" spans="1:3" ht="15" customHeight="1" x14ac:dyDescent="0.25">
      <c r="A763" s="33"/>
      <c r="B763" s="33"/>
      <c r="C763" s="33"/>
    </row>
    <row r="764" spans="1:3" ht="15" customHeight="1" x14ac:dyDescent="0.25">
      <c r="A764" s="33"/>
      <c r="B764" s="33"/>
      <c r="C764" s="33"/>
    </row>
    <row r="765" spans="1:3" ht="15" customHeight="1" x14ac:dyDescent="0.25">
      <c r="A765" s="33"/>
      <c r="B765" s="33"/>
      <c r="C765" s="33"/>
    </row>
    <row r="766" spans="1:3" ht="15" customHeight="1" x14ac:dyDescent="0.25">
      <c r="A766" s="33"/>
      <c r="B766" s="33"/>
      <c r="C766" s="33"/>
    </row>
    <row r="767" spans="1:3" ht="15" customHeight="1" x14ac:dyDescent="0.25">
      <c r="A767" s="33"/>
      <c r="B767" s="33"/>
      <c r="C767" s="33"/>
    </row>
  </sheetData>
  <sheetProtection selectLockedCells="1" sort="0" pivotTables="0" selectUnlockedCells="1"/>
  <autoFilter ref="A5:C290" xr:uid="{35946FDD-7DCE-4D0B-B94F-A6E2608FADBC}"/>
  <phoneticPr fontId="6" type="noConversion"/>
  <printOptions headings="1" gridLines="1"/>
  <pageMargins left="0.48" right="0.26" top="0.64" bottom="0.39" header="0.42" footer="0.17"/>
  <pageSetup fitToHeight="8" orientation="portrait" horizontalDpi="300" verticalDpi="300" r:id="rId1"/>
  <headerFooter alignWithMargins="0">
    <oddHeader>&amp;LPage&amp;P of &amp;N&amp;C&amp;"Arial,Bold"&amp;8 2008 Filing Data &amp;R&amp;A</oddHeader>
    <oddFooter>&amp;L&amp;8&amp;Z&amp;F&amp;A&amp;R&amp;8&amp;T &amp;D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pageSetUpPr fitToPage="1"/>
  </sheetPr>
  <dimension ref="A1:P86"/>
  <sheetViews>
    <sheetView showGridLines="0" workbookViewId="0"/>
  </sheetViews>
  <sheetFormatPr defaultColWidth="8.90625" defaultRowHeight="13.2" x14ac:dyDescent="0.25"/>
  <cols>
    <col min="1" max="1" width="8.90625" style="240"/>
    <col min="2" max="2" width="13.54296875" style="240" customWidth="1"/>
    <col min="3" max="3" width="10" style="240" customWidth="1"/>
    <col min="4" max="4" width="12.36328125" style="240" bestFit="1" customWidth="1"/>
    <col min="5" max="5" width="9.90625" style="240" bestFit="1" customWidth="1"/>
    <col min="6" max="16384" width="8.90625" style="240"/>
  </cols>
  <sheetData>
    <row r="1" spans="1:16" x14ac:dyDescent="0.25">
      <c r="A1" s="551" t="s">
        <v>882</v>
      </c>
      <c r="B1" s="551"/>
      <c r="C1" s="551"/>
      <c r="I1" s="242"/>
    </row>
    <row r="2" spans="1:16" x14ac:dyDescent="0.25">
      <c r="A2" s="551" t="s">
        <v>1012</v>
      </c>
      <c r="B2" s="551"/>
      <c r="C2" s="551"/>
      <c r="I2" s="242"/>
    </row>
    <row r="3" spans="1:16" x14ac:dyDescent="0.25">
      <c r="A3" s="551"/>
      <c r="B3" s="551"/>
      <c r="C3" s="551"/>
      <c r="I3" s="242"/>
    </row>
    <row r="4" spans="1:16" x14ac:dyDescent="0.25">
      <c r="A4" s="551" t="s">
        <v>995</v>
      </c>
      <c r="B4" s="551"/>
      <c r="C4" s="551"/>
      <c r="I4" s="242"/>
      <c r="J4" s="316"/>
      <c r="K4" s="317"/>
    </row>
    <row r="5" spans="1:16" ht="13.8" thickBot="1" x14ac:dyDescent="0.3">
      <c r="A5" s="241"/>
      <c r="B5" s="241"/>
      <c r="C5" s="241"/>
      <c r="D5" s="241"/>
      <c r="E5" s="241"/>
      <c r="F5" s="241"/>
      <c r="G5" s="241"/>
      <c r="H5" s="241"/>
      <c r="I5" s="242"/>
      <c r="J5" s="316"/>
      <c r="K5" s="317"/>
    </row>
    <row r="6" spans="1:16" ht="14.4" thickTop="1" thickBot="1" x14ac:dyDescent="0.3">
      <c r="A6" s="548" t="s">
        <v>986</v>
      </c>
      <c r="B6" s="549"/>
      <c r="C6" s="549"/>
      <c r="D6" s="549"/>
      <c r="E6" s="549"/>
      <c r="F6" s="549"/>
      <c r="G6" s="549"/>
      <c r="H6" s="550"/>
      <c r="I6" s="242"/>
      <c r="J6" s="316"/>
      <c r="K6" s="317"/>
    </row>
    <row r="7" spans="1:16" ht="13.8" thickTop="1" x14ac:dyDescent="0.25">
      <c r="A7" s="243"/>
      <c r="B7" s="241"/>
      <c r="C7" s="241"/>
      <c r="D7" s="241"/>
      <c r="E7" s="241"/>
      <c r="F7" s="241"/>
      <c r="G7" s="241"/>
      <c r="H7" s="241"/>
      <c r="I7" s="242"/>
      <c r="J7" s="316"/>
      <c r="K7" s="317"/>
    </row>
    <row r="8" spans="1:16" x14ac:dyDescent="0.25">
      <c r="A8" s="241"/>
      <c r="B8" s="241"/>
      <c r="C8" s="241"/>
      <c r="D8" s="241"/>
      <c r="E8" s="244" t="s">
        <v>945</v>
      </c>
      <c r="F8" s="241"/>
      <c r="G8" s="241"/>
      <c r="H8" s="241"/>
      <c r="I8" s="242"/>
      <c r="J8" s="316"/>
      <c r="K8" s="317"/>
    </row>
    <row r="9" spans="1:16" x14ac:dyDescent="0.25">
      <c r="A9" s="241"/>
      <c r="B9" s="241"/>
      <c r="C9" s="241"/>
      <c r="D9" s="241"/>
      <c r="E9" s="244" t="s">
        <v>946</v>
      </c>
      <c r="F9" s="241"/>
      <c r="G9" s="241"/>
      <c r="H9" s="241"/>
      <c r="I9" s="242"/>
      <c r="J9" s="316"/>
      <c r="K9" s="317"/>
    </row>
    <row r="10" spans="1:16" x14ac:dyDescent="0.25">
      <c r="A10" s="547" t="s">
        <v>947</v>
      </c>
      <c r="B10" s="547"/>
      <c r="C10" s="547"/>
      <c r="D10" s="241"/>
      <c r="E10" s="323" t="s">
        <v>948</v>
      </c>
      <c r="F10" s="241"/>
      <c r="G10" s="323" t="s">
        <v>54</v>
      </c>
      <c r="H10" s="241"/>
      <c r="I10" s="242"/>
      <c r="J10" s="316"/>
      <c r="K10" s="317"/>
    </row>
    <row r="11" spans="1:16" x14ac:dyDescent="0.25">
      <c r="A11" s="241" t="s">
        <v>1008</v>
      </c>
      <c r="B11" s="241"/>
      <c r="C11" s="241"/>
      <c r="D11" s="241"/>
      <c r="E11" s="245">
        <f>+'S1 VEC Master Summary'!E35</f>
        <v>5567017</v>
      </c>
      <c r="F11" s="241"/>
      <c r="G11" s="244" t="s">
        <v>983</v>
      </c>
      <c r="H11" s="241"/>
      <c r="I11" s="242"/>
      <c r="J11" s="316"/>
      <c r="K11" s="317"/>
    </row>
    <row r="12" spans="1:16" x14ac:dyDescent="0.25">
      <c r="A12" s="241"/>
      <c r="B12" s="241"/>
      <c r="C12" s="241"/>
      <c r="D12" s="241"/>
      <c r="E12" s="241"/>
      <c r="F12" s="241"/>
      <c r="G12" s="244"/>
      <c r="H12" s="241"/>
      <c r="I12" s="242"/>
      <c r="J12" s="316"/>
      <c r="K12" s="317"/>
    </row>
    <row r="13" spans="1:16" x14ac:dyDescent="0.25">
      <c r="A13" s="241" t="s">
        <v>950</v>
      </c>
      <c r="B13" s="241"/>
      <c r="C13" s="241"/>
      <c r="D13" s="241"/>
      <c r="E13" s="245">
        <f>+'S1 VEC Master Summary'!E19+'S1 VEC Master Summary'!E20</f>
        <v>5567017</v>
      </c>
      <c r="F13" s="241"/>
      <c r="G13" s="246" t="s">
        <v>951</v>
      </c>
      <c r="H13" s="241"/>
      <c r="I13" s="242"/>
      <c r="K13" s="317"/>
      <c r="M13" s="318"/>
    </row>
    <row r="14" spans="1:16" x14ac:dyDescent="0.25">
      <c r="A14" s="241"/>
      <c r="B14" s="241"/>
      <c r="C14" s="241"/>
      <c r="D14" s="241"/>
      <c r="E14" s="241"/>
      <c r="F14" s="241"/>
      <c r="G14" s="244"/>
      <c r="H14" s="241"/>
      <c r="I14" s="242"/>
    </row>
    <row r="15" spans="1:16" x14ac:dyDescent="0.25">
      <c r="A15" s="241" t="s">
        <v>952</v>
      </c>
      <c r="B15" s="241"/>
      <c r="C15" s="241"/>
      <c r="D15" s="241"/>
      <c r="E15" s="245">
        <f>SUM(E11:E14)</f>
        <v>11134034</v>
      </c>
      <c r="F15" s="241"/>
      <c r="G15" s="244" t="s">
        <v>953</v>
      </c>
      <c r="H15" s="241"/>
      <c r="I15" s="242"/>
      <c r="J15" s="319"/>
      <c r="K15" s="320"/>
      <c r="L15" s="320"/>
      <c r="O15" s="320"/>
      <c r="P15" s="320"/>
    </row>
    <row r="16" spans="1:16" ht="13.8" thickBot="1" x14ac:dyDescent="0.3">
      <c r="A16" s="241"/>
      <c r="B16" s="241"/>
      <c r="C16" s="241"/>
      <c r="D16" s="241"/>
      <c r="E16" s="241"/>
      <c r="F16" s="241"/>
      <c r="G16" s="244"/>
      <c r="H16" s="241"/>
      <c r="I16" s="242"/>
      <c r="J16" s="319"/>
      <c r="K16" s="320"/>
      <c r="L16" s="320"/>
      <c r="O16" s="320"/>
      <c r="P16" s="320"/>
    </row>
    <row r="17" spans="1:16" ht="14.4" thickTop="1" thickBot="1" x14ac:dyDescent="0.3">
      <c r="A17" s="241" t="s">
        <v>954</v>
      </c>
      <c r="B17" s="241"/>
      <c r="C17" s="241"/>
      <c r="D17" s="241"/>
      <c r="E17" s="247">
        <f>+E15/E13</f>
        <v>2</v>
      </c>
      <c r="F17" s="241"/>
      <c r="G17" s="244" t="s">
        <v>955</v>
      </c>
      <c r="H17" s="241"/>
      <c r="I17" s="242"/>
      <c r="J17" s="319"/>
      <c r="K17" s="320"/>
      <c r="L17" s="320"/>
      <c r="O17" s="320"/>
      <c r="P17" s="320"/>
    </row>
    <row r="18" spans="1:16" ht="13.8" thickTop="1" x14ac:dyDescent="0.25">
      <c r="A18" s="241"/>
      <c r="B18" s="241"/>
      <c r="C18" s="241"/>
      <c r="D18" s="241"/>
      <c r="E18" s="248"/>
      <c r="F18" s="241"/>
      <c r="G18" s="244"/>
      <c r="H18" s="241"/>
      <c r="I18" s="242"/>
      <c r="J18" s="319"/>
      <c r="K18" s="320"/>
      <c r="L18" s="320"/>
      <c r="O18" s="320"/>
      <c r="P18" s="320"/>
    </row>
    <row r="19" spans="1:16" x14ac:dyDescent="0.25">
      <c r="A19" s="249" t="s">
        <v>956</v>
      </c>
      <c r="B19" s="241"/>
      <c r="C19" s="241"/>
      <c r="D19" s="241"/>
      <c r="E19" s="248"/>
      <c r="F19" s="241"/>
      <c r="G19" s="244"/>
      <c r="H19" s="241"/>
      <c r="I19" s="242"/>
      <c r="J19" s="319"/>
      <c r="K19" s="320"/>
      <c r="L19" s="320"/>
      <c r="O19" s="320"/>
      <c r="P19" s="320"/>
    </row>
    <row r="20" spans="1:16" x14ac:dyDescent="0.25">
      <c r="A20" s="240" t="s">
        <v>1284</v>
      </c>
      <c r="D20" s="240" t="s">
        <v>1285</v>
      </c>
      <c r="G20" s="244"/>
      <c r="H20" s="241"/>
      <c r="I20" s="242"/>
      <c r="O20" s="320"/>
      <c r="P20" s="320"/>
    </row>
    <row r="21" spans="1:16" x14ac:dyDescent="0.25">
      <c r="A21" s="240" t="s">
        <v>958</v>
      </c>
      <c r="C21" s="240" t="s">
        <v>959</v>
      </c>
      <c r="G21" s="244"/>
      <c r="H21" s="241"/>
      <c r="I21" s="242"/>
      <c r="O21" s="320"/>
      <c r="P21" s="320"/>
    </row>
    <row r="22" spans="1:16" x14ac:dyDescent="0.25">
      <c r="A22" s="240" t="s">
        <v>1007</v>
      </c>
      <c r="G22" s="318"/>
      <c r="I22" s="242"/>
      <c r="J22" s="319"/>
      <c r="K22" s="320"/>
      <c r="L22" s="320"/>
      <c r="O22" s="320"/>
      <c r="P22" s="320"/>
    </row>
    <row r="23" spans="1:16" ht="13.8" thickBot="1" x14ac:dyDescent="0.3">
      <c r="A23" s="241"/>
      <c r="B23" s="241"/>
      <c r="C23" s="241"/>
      <c r="D23" s="241"/>
      <c r="E23" s="241"/>
      <c r="F23" s="241"/>
      <c r="G23" s="244"/>
      <c r="H23" s="241"/>
      <c r="I23" s="242"/>
      <c r="J23" s="319"/>
      <c r="K23" s="320"/>
      <c r="L23" s="320"/>
      <c r="O23" s="320"/>
      <c r="P23" s="320"/>
    </row>
    <row r="24" spans="1:16" ht="14.4" thickTop="1" thickBot="1" x14ac:dyDescent="0.3">
      <c r="A24" s="548" t="s">
        <v>985</v>
      </c>
      <c r="B24" s="549"/>
      <c r="C24" s="549"/>
      <c r="D24" s="549"/>
      <c r="E24" s="549"/>
      <c r="F24" s="549"/>
      <c r="G24" s="549"/>
      <c r="H24" s="550"/>
      <c r="I24" s="242"/>
      <c r="J24" s="316"/>
      <c r="K24" s="317"/>
    </row>
    <row r="25" spans="1:16" ht="13.8" thickTop="1" x14ac:dyDescent="0.25">
      <c r="A25" s="241"/>
      <c r="B25" s="241"/>
      <c r="C25" s="241"/>
      <c r="D25" s="241"/>
      <c r="E25" s="323"/>
      <c r="F25" s="241"/>
      <c r="G25" s="323"/>
      <c r="H25" s="241"/>
      <c r="I25" s="242"/>
      <c r="J25" s="319"/>
      <c r="K25" s="320"/>
      <c r="L25" s="320"/>
      <c r="O25" s="320"/>
      <c r="P25" s="320"/>
    </row>
    <row r="26" spans="1:16" x14ac:dyDescent="0.25">
      <c r="A26" s="241"/>
      <c r="B26" s="241"/>
      <c r="C26" s="241"/>
      <c r="D26" s="241"/>
      <c r="E26" s="244" t="s">
        <v>945</v>
      </c>
      <c r="F26" s="241"/>
      <c r="G26" s="241"/>
      <c r="H26" s="241"/>
      <c r="I26" s="242"/>
      <c r="J26" s="319"/>
      <c r="K26" s="320"/>
      <c r="L26" s="320"/>
      <c r="O26" s="320"/>
      <c r="P26" s="320"/>
    </row>
    <row r="27" spans="1:16" x14ac:dyDescent="0.25">
      <c r="A27" s="241"/>
      <c r="B27" s="241"/>
      <c r="C27" s="241"/>
      <c r="D27" s="241"/>
      <c r="E27" s="244" t="s">
        <v>946</v>
      </c>
      <c r="F27" s="241"/>
      <c r="G27" s="241"/>
      <c r="H27" s="241"/>
      <c r="I27" s="242"/>
      <c r="J27" s="319"/>
      <c r="K27" s="320"/>
      <c r="L27" s="320"/>
      <c r="O27" s="320"/>
      <c r="P27" s="320"/>
    </row>
    <row r="28" spans="1:16" x14ac:dyDescent="0.25">
      <c r="A28" s="547" t="s">
        <v>947</v>
      </c>
      <c r="B28" s="547"/>
      <c r="C28" s="547"/>
      <c r="D28" s="241"/>
      <c r="E28" s="323" t="s">
        <v>948</v>
      </c>
      <c r="F28" s="241"/>
      <c r="G28" s="323" t="s">
        <v>54</v>
      </c>
      <c r="H28" s="241"/>
      <c r="I28" s="242"/>
      <c r="J28" s="319"/>
      <c r="K28" s="320"/>
      <c r="L28" s="320"/>
      <c r="O28" s="320"/>
      <c r="P28" s="320"/>
    </row>
    <row r="29" spans="1:16" x14ac:dyDescent="0.25">
      <c r="A29" s="241" t="s">
        <v>949</v>
      </c>
      <c r="B29" s="241"/>
      <c r="C29" s="241"/>
      <c r="D29" s="241"/>
      <c r="E29" s="245">
        <f>+E11</f>
        <v>5567017</v>
      </c>
      <c r="F29" s="241"/>
      <c r="G29" s="244" t="s">
        <v>983</v>
      </c>
      <c r="H29" s="241"/>
      <c r="I29" s="242"/>
      <c r="J29" s="319"/>
      <c r="K29" s="320"/>
      <c r="L29" s="320"/>
      <c r="O29" s="320"/>
      <c r="P29" s="320"/>
    </row>
    <row r="30" spans="1:16" x14ac:dyDescent="0.25">
      <c r="A30" s="241"/>
      <c r="B30" s="241"/>
      <c r="C30" s="241"/>
      <c r="D30" s="241"/>
      <c r="E30" s="241"/>
      <c r="F30" s="241"/>
      <c r="G30" s="244"/>
      <c r="H30" s="241"/>
      <c r="I30" s="242"/>
    </row>
    <row r="31" spans="1:16" x14ac:dyDescent="0.25">
      <c r="A31" s="241" t="s">
        <v>950</v>
      </c>
      <c r="B31" s="241"/>
      <c r="C31" s="241"/>
      <c r="D31" s="241"/>
      <c r="E31" s="245">
        <f>+E13</f>
        <v>5567017</v>
      </c>
      <c r="F31" s="241"/>
      <c r="G31" s="246" t="s">
        <v>951</v>
      </c>
      <c r="H31" s="241"/>
      <c r="I31" s="242"/>
    </row>
    <row r="32" spans="1:16" x14ac:dyDescent="0.25">
      <c r="A32" s="241"/>
      <c r="B32" s="241"/>
      <c r="C32" s="241"/>
      <c r="D32" s="241"/>
      <c r="E32" s="505"/>
      <c r="F32" s="241"/>
      <c r="G32" s="241"/>
      <c r="H32" s="241"/>
      <c r="I32" s="242"/>
    </row>
    <row r="33" spans="1:9" x14ac:dyDescent="0.25">
      <c r="A33" s="241" t="s">
        <v>960</v>
      </c>
      <c r="B33" s="241"/>
      <c r="C33" s="241"/>
      <c r="D33" s="241"/>
      <c r="E33" s="245">
        <f>+'S1 VEC Master Summary'!E15+'S1 VEC Master Summary'!E16</f>
        <v>6835505</v>
      </c>
      <c r="F33" s="241"/>
      <c r="G33" s="246" t="s">
        <v>961</v>
      </c>
      <c r="H33" s="241"/>
      <c r="I33" s="242"/>
    </row>
    <row r="34" spans="1:9" x14ac:dyDescent="0.25">
      <c r="A34" s="243"/>
      <c r="B34" s="241"/>
      <c r="C34" s="241"/>
      <c r="D34" s="241"/>
      <c r="E34" s="241"/>
      <c r="F34" s="241"/>
      <c r="G34" s="241"/>
      <c r="H34" s="241"/>
      <c r="I34" s="242"/>
    </row>
    <row r="35" spans="1:9" x14ac:dyDescent="0.25">
      <c r="A35" s="241" t="s">
        <v>962</v>
      </c>
      <c r="B35" s="241"/>
      <c r="C35" s="241"/>
      <c r="D35" s="241"/>
      <c r="E35" s="250">
        <f>SUM(E29:E33)</f>
        <v>17969539</v>
      </c>
      <c r="F35" s="241"/>
      <c r="G35" s="241" t="s">
        <v>963</v>
      </c>
      <c r="H35" s="241"/>
      <c r="I35" s="242"/>
    </row>
    <row r="36" spans="1:9" x14ac:dyDescent="0.25">
      <c r="A36" s="241"/>
      <c r="B36" s="241"/>
      <c r="C36" s="241"/>
      <c r="D36" s="241"/>
      <c r="E36" s="323"/>
      <c r="F36" s="241"/>
      <c r="G36" s="323"/>
      <c r="H36" s="241"/>
      <c r="I36" s="242"/>
    </row>
    <row r="37" spans="1:9" x14ac:dyDescent="0.25">
      <c r="A37" s="241" t="s">
        <v>964</v>
      </c>
      <c r="B37" s="241"/>
      <c r="C37" s="241"/>
      <c r="D37" s="241"/>
      <c r="E37" s="552">
        <v>11302653.238996523</v>
      </c>
      <c r="F37" s="241"/>
      <c r="G37" s="244" t="s">
        <v>984</v>
      </c>
      <c r="H37" s="241"/>
      <c r="I37" s="242"/>
    </row>
    <row r="38" spans="1:9" ht="13.8" thickBot="1" x14ac:dyDescent="0.3">
      <c r="A38" s="241"/>
      <c r="B38" s="241"/>
      <c r="C38" s="241"/>
      <c r="D38" s="241"/>
      <c r="E38" s="241"/>
      <c r="F38" s="241"/>
      <c r="G38" s="241"/>
      <c r="H38" s="241"/>
      <c r="I38" s="242"/>
    </row>
    <row r="39" spans="1:9" ht="14.4" thickTop="1" thickBot="1" x14ac:dyDescent="0.3">
      <c r="A39" s="241" t="s">
        <v>965</v>
      </c>
      <c r="B39" s="241"/>
      <c r="C39" s="241"/>
      <c r="D39" s="241"/>
      <c r="E39" s="247">
        <f>+E35/E37</f>
        <v>1.5898513932995242</v>
      </c>
      <c r="F39" s="241"/>
      <c r="G39" s="244" t="s">
        <v>966</v>
      </c>
      <c r="H39" s="241"/>
      <c r="I39" s="242"/>
    </row>
    <row r="40" spans="1:9" ht="13.8" thickTop="1" x14ac:dyDescent="0.25">
      <c r="A40" s="241"/>
      <c r="B40" s="241"/>
      <c r="C40" s="241"/>
      <c r="D40" s="241"/>
      <c r="E40" s="241"/>
      <c r="F40" s="241"/>
      <c r="G40" s="244"/>
      <c r="H40" s="241"/>
      <c r="I40" s="242"/>
    </row>
    <row r="41" spans="1:9" x14ac:dyDescent="0.25">
      <c r="A41" s="249" t="s">
        <v>956</v>
      </c>
      <c r="B41" s="241"/>
      <c r="C41" s="241"/>
      <c r="D41" s="241"/>
      <c r="E41" s="245"/>
      <c r="F41" s="241"/>
      <c r="G41" s="244"/>
      <c r="H41" s="241"/>
      <c r="I41" s="242"/>
    </row>
    <row r="42" spans="1:9" x14ac:dyDescent="0.25">
      <c r="A42" s="240" t="str">
        <f>+A20</f>
        <v>2023 CFC Key Ratio Trend Analaysis (KRTA):</v>
      </c>
      <c r="D42" s="240" t="s">
        <v>1286</v>
      </c>
      <c r="E42" s="506"/>
      <c r="G42" s="244"/>
      <c r="H42" s="241"/>
      <c r="I42" s="242"/>
    </row>
    <row r="43" spans="1:9" x14ac:dyDescent="0.25">
      <c r="A43" s="241" t="s">
        <v>958</v>
      </c>
      <c r="B43" s="241"/>
      <c r="C43" s="241" t="s">
        <v>967</v>
      </c>
      <c r="D43" s="241"/>
      <c r="E43" s="245"/>
      <c r="F43" s="241"/>
      <c r="G43" s="244"/>
      <c r="H43" s="241"/>
      <c r="I43" s="242"/>
    </row>
    <row r="44" spans="1:9" x14ac:dyDescent="0.25">
      <c r="A44" s="241" t="s">
        <v>968</v>
      </c>
      <c r="B44" s="241"/>
      <c r="C44" s="241" t="s">
        <v>969</v>
      </c>
      <c r="D44" s="241"/>
      <c r="E44" s="245"/>
      <c r="F44" s="241"/>
      <c r="G44" s="244"/>
      <c r="H44" s="241"/>
      <c r="I44" s="242"/>
    </row>
    <row r="45" spans="1:9" x14ac:dyDescent="0.25">
      <c r="A45" s="241" t="s">
        <v>970</v>
      </c>
      <c r="B45" s="241"/>
      <c r="C45" s="241" t="s">
        <v>971</v>
      </c>
      <c r="D45" s="241"/>
      <c r="E45" s="241"/>
      <c r="F45" s="241"/>
      <c r="G45" s="246"/>
      <c r="H45" s="241"/>
      <c r="I45" s="242"/>
    </row>
    <row r="46" spans="1:9" ht="13.8" thickBot="1" x14ac:dyDescent="0.3">
      <c r="A46" s="241"/>
      <c r="B46" s="241"/>
      <c r="C46" s="241"/>
      <c r="D46" s="241"/>
      <c r="E46" s="241"/>
      <c r="F46" s="241"/>
      <c r="G46" s="244"/>
      <c r="H46" s="241"/>
      <c r="I46" s="242"/>
    </row>
    <row r="47" spans="1:9" ht="14.4" thickTop="1" thickBot="1" x14ac:dyDescent="0.3">
      <c r="A47" s="548" t="s">
        <v>972</v>
      </c>
      <c r="B47" s="549"/>
      <c r="C47" s="549"/>
      <c r="D47" s="549"/>
      <c r="E47" s="549"/>
      <c r="F47" s="549"/>
      <c r="G47" s="549"/>
      <c r="H47" s="550"/>
      <c r="I47" s="242"/>
    </row>
    <row r="48" spans="1:9" ht="13.8" thickTop="1" x14ac:dyDescent="0.25">
      <c r="E48" s="553"/>
      <c r="G48" s="553"/>
      <c r="I48" s="242"/>
    </row>
    <row r="49" spans="1:9" x14ac:dyDescent="0.25">
      <c r="E49" s="318" t="s">
        <v>945</v>
      </c>
      <c r="I49" s="242"/>
    </row>
    <row r="50" spans="1:9" x14ac:dyDescent="0.25">
      <c r="D50" s="554">
        <v>45291</v>
      </c>
      <c r="E50" s="318" t="s">
        <v>946</v>
      </c>
      <c r="I50" s="242"/>
    </row>
    <row r="51" spans="1:9" x14ac:dyDescent="0.25">
      <c r="A51" s="555" t="s">
        <v>947</v>
      </c>
      <c r="B51" s="555"/>
      <c r="C51" s="555"/>
      <c r="D51" s="553" t="s">
        <v>973</v>
      </c>
      <c r="E51" s="553" t="s">
        <v>1288</v>
      </c>
      <c r="G51" s="553" t="s">
        <v>54</v>
      </c>
      <c r="I51" s="242"/>
    </row>
    <row r="52" spans="1:9" x14ac:dyDescent="0.25">
      <c r="A52" s="240" t="s">
        <v>974</v>
      </c>
      <c r="D52" s="556">
        <v>94056789</v>
      </c>
      <c r="E52" s="556">
        <v>94145049.864733294</v>
      </c>
      <c r="G52" s="318" t="s">
        <v>987</v>
      </c>
      <c r="I52" s="242"/>
    </row>
    <row r="53" spans="1:9" x14ac:dyDescent="0.25">
      <c r="G53" s="318"/>
      <c r="I53" s="242"/>
    </row>
    <row r="54" spans="1:9" x14ac:dyDescent="0.25">
      <c r="A54" s="240" t="s">
        <v>975</v>
      </c>
      <c r="D54" s="556">
        <v>221732060</v>
      </c>
      <c r="E54" s="556">
        <v>214276389.87166622</v>
      </c>
      <c r="G54" s="318" t="s">
        <v>987</v>
      </c>
      <c r="I54" s="242"/>
    </row>
    <row r="55" spans="1:9" ht="13.8" thickBot="1" x14ac:dyDescent="0.3">
      <c r="E55" s="59"/>
      <c r="I55" s="242"/>
    </row>
    <row r="56" spans="1:9" ht="14.4" thickTop="1" thickBot="1" x14ac:dyDescent="0.3">
      <c r="A56" s="240" t="s">
        <v>976</v>
      </c>
      <c r="D56" s="557">
        <f>+D52/D54</f>
        <v>0.4241912017594569</v>
      </c>
      <c r="E56" s="557">
        <v>0.4269</v>
      </c>
      <c r="G56" s="246" t="s">
        <v>977</v>
      </c>
      <c r="I56" s="242"/>
    </row>
    <row r="57" spans="1:9" ht="13.8" thickTop="1" x14ac:dyDescent="0.25">
      <c r="D57" s="558"/>
      <c r="E57" s="558"/>
      <c r="I57" s="242"/>
    </row>
    <row r="58" spans="1:9" x14ac:dyDescent="0.25">
      <c r="A58" s="559" t="s">
        <v>956</v>
      </c>
      <c r="E58" s="506"/>
      <c r="G58" s="318"/>
      <c r="I58" s="242"/>
    </row>
    <row r="59" spans="1:9" x14ac:dyDescent="0.25">
      <c r="A59" s="240" t="s">
        <v>957</v>
      </c>
      <c r="D59" s="240" t="s">
        <v>1287</v>
      </c>
      <c r="E59" s="506"/>
      <c r="G59" s="318"/>
      <c r="I59" s="242"/>
    </row>
    <row r="60" spans="1:9" x14ac:dyDescent="0.25">
      <c r="A60" s="240" t="s">
        <v>958</v>
      </c>
      <c r="C60" s="240" t="s">
        <v>978</v>
      </c>
      <c r="E60" s="506"/>
      <c r="G60" s="246"/>
      <c r="I60" s="242"/>
    </row>
    <row r="61" spans="1:9" x14ac:dyDescent="0.25">
      <c r="A61" s="240" t="s">
        <v>979</v>
      </c>
      <c r="C61" s="240" t="s">
        <v>980</v>
      </c>
      <c r="G61" s="318"/>
      <c r="I61" s="242"/>
    </row>
    <row r="62" spans="1:9" x14ac:dyDescent="0.25">
      <c r="A62" s="240" t="s">
        <v>981</v>
      </c>
      <c r="C62" s="240" t="s">
        <v>982</v>
      </c>
      <c r="E62" s="506"/>
      <c r="G62" s="246"/>
      <c r="I62" s="242"/>
    </row>
    <row r="63" spans="1:9" x14ac:dyDescent="0.25">
      <c r="G63" s="318"/>
      <c r="I63" s="242"/>
    </row>
    <row r="64" spans="1:9" x14ac:dyDescent="0.25">
      <c r="A64" s="242"/>
      <c r="B64" s="242"/>
      <c r="C64" s="242"/>
      <c r="D64" s="242"/>
      <c r="E64" s="242"/>
      <c r="F64" s="242"/>
      <c r="G64" s="242"/>
      <c r="H64" s="242"/>
      <c r="I64" s="242"/>
    </row>
    <row r="82" spans="3:4" x14ac:dyDescent="0.25">
      <c r="C82" s="320"/>
    </row>
    <row r="83" spans="3:4" x14ac:dyDescent="0.25">
      <c r="C83" s="320"/>
    </row>
    <row r="84" spans="3:4" x14ac:dyDescent="0.25">
      <c r="D84" s="320"/>
    </row>
    <row r="85" spans="3:4" x14ac:dyDescent="0.25">
      <c r="D85" s="320"/>
    </row>
    <row r="86" spans="3:4" x14ac:dyDescent="0.25">
      <c r="D86" s="320"/>
    </row>
  </sheetData>
  <mergeCells count="6">
    <mergeCell ref="A28:C28"/>
    <mergeCell ref="A47:H47"/>
    <mergeCell ref="A51:C51"/>
    <mergeCell ref="A6:H6"/>
    <mergeCell ref="A10:C10"/>
    <mergeCell ref="A24:H24"/>
  </mergeCells>
  <pageMargins left="0.7" right="0.7" top="0.75" bottom="0.75" header="0.3" footer="0.3"/>
  <pageSetup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20</vt:i4>
      </vt:variant>
      <vt:variant>
        <vt:lpstr>Named Ranges</vt:lpstr>
      </vt:variant>
      <vt:variant>
        <vt:i4>20</vt:i4>
      </vt:variant>
    </vt:vector>
  </HeadingPairs>
  <TitlesOfParts>
    <vt:vector size="40" baseType="lpstr">
      <vt:lpstr>S1 VEC Master Summary</vt:lpstr>
      <vt:lpstr>S1-1.5 TIER</vt:lpstr>
      <vt:lpstr>S1A Chart of Major Items</vt:lpstr>
      <vt:lpstr>S1B Major Items of Change</vt:lpstr>
      <vt:lpstr>S2 Power Supply</vt:lpstr>
      <vt:lpstr>S3 Transmission</vt:lpstr>
      <vt:lpstr>S4 Dist Ops &amp; Mtce</vt:lpstr>
      <vt:lpstr>S5 Customer Accounts</vt:lpstr>
      <vt:lpstr>S6 Admin &amp; Gen</vt:lpstr>
      <vt:lpstr>S6A Total Payroll by Function</vt:lpstr>
      <vt:lpstr>S6B Total Payroll + Benefits</vt:lpstr>
      <vt:lpstr>S7 - Insurance</vt:lpstr>
      <vt:lpstr>S7A Information Technology</vt:lpstr>
      <vt:lpstr>S7B Transportation</vt:lpstr>
      <vt:lpstr>S8 Deprec &amp; Amort Exp </vt:lpstr>
      <vt:lpstr>S9 Interest Exp</vt:lpstr>
      <vt:lpstr>S10 Int, Div, Capital Income</vt:lpstr>
      <vt:lpstr>S11 Revenues &amp; Non-Op Margins</vt:lpstr>
      <vt:lpstr>S12 Chart of Accts Trial Bal.</vt:lpstr>
      <vt:lpstr>S14 Financial Ratio Analysis</vt:lpstr>
      <vt:lpstr>'S1 VEC Master Summary'!Print_Area</vt:lpstr>
      <vt:lpstr>'S10 Int, Div, Capital Income'!Print_Area</vt:lpstr>
      <vt:lpstr>'S11 Revenues &amp; Non-Op Margins'!Print_Area</vt:lpstr>
      <vt:lpstr>'S1-1.5 TIER'!Print_Area</vt:lpstr>
      <vt:lpstr>'S12 Chart of Accts Trial Bal.'!Print_Area</vt:lpstr>
      <vt:lpstr>'S14 Financial Ratio Analysis'!Print_Area</vt:lpstr>
      <vt:lpstr>'S1B Major Items of Change'!Print_Area</vt:lpstr>
      <vt:lpstr>'S2 Power Supply'!Print_Area</vt:lpstr>
      <vt:lpstr>'S3 Transmission'!Print_Area</vt:lpstr>
      <vt:lpstr>'S4 Dist Ops &amp; Mtce'!Print_Area</vt:lpstr>
      <vt:lpstr>'S5 Customer Accounts'!Print_Area</vt:lpstr>
      <vt:lpstr>'S6 Admin &amp; Gen'!Print_Area</vt:lpstr>
      <vt:lpstr>'S6A Total Payroll by Function'!Print_Area</vt:lpstr>
      <vt:lpstr>'S6B Total Payroll + Benefits'!Print_Area</vt:lpstr>
      <vt:lpstr>'S7 - Insurance'!Print_Area</vt:lpstr>
      <vt:lpstr>'S7A Information Technology'!Print_Area</vt:lpstr>
      <vt:lpstr>'S7B Transportation'!Print_Area</vt:lpstr>
      <vt:lpstr>'S8 Deprec &amp; Amort Exp '!Print_Area</vt:lpstr>
      <vt:lpstr>'S9 Interest Exp'!Print_Area</vt:lpstr>
      <vt:lpstr>'S12 Chart of Accts Trial Bal.'!Print_Titles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Bursell, Mike</dc:creator>
  <cp:lastModifiedBy>Mashia, Caroline</cp:lastModifiedBy>
  <cp:lastPrinted>2024-11-09T19:02:28Z</cp:lastPrinted>
  <dcterms:created xsi:type="dcterms:W3CDTF">1999-10-13T15:07:20Z</dcterms:created>
  <dcterms:modified xsi:type="dcterms:W3CDTF">2024-11-14T20:41:36Z</dcterms:modified>
</cp:coreProperties>
</file>