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ermontelectriccoop.sharepoint.com/sites/InnovationandTechnology/Shared Documents/Load Mgmt 🚗/Grid Aware Managed Charging/Regulatory/"/>
    </mc:Choice>
  </mc:AlternateContent>
  <xr:revisionPtr revIDLastSave="385" documentId="8_{AC200075-FB72-41D7-9162-51A58258357B}" xr6:coauthVersionLast="47" xr6:coauthVersionMax="47" xr10:uidLastSave="{9DAB1BF4-4574-4227-A951-03255D4A714F}"/>
  <bookViews>
    <workbookView xWindow="-120" yWindow="-120" windowWidth="29040" windowHeight="15840" xr2:uid="{6349CDB6-012C-4F0E-A702-F85B4B2579E6}"/>
  </bookViews>
  <sheets>
    <sheet name="Model" sheetId="6" r:id="rId1"/>
    <sheet name="Projected Costs and Revenues" sheetId="8" r:id="rId2"/>
    <sheet name="Substation Example" sheetId="10" r:id="rId3"/>
    <sheet name="Primary Line Example" sheetId="11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1" l="1"/>
  <c r="D20" i="11"/>
  <c r="E20" i="11" s="1"/>
  <c r="G16" i="11"/>
  <c r="F16" i="11"/>
  <c r="E16" i="11"/>
  <c r="D16" i="11"/>
  <c r="C16" i="11" s="1"/>
  <c r="D15" i="11"/>
  <c r="D25" i="11" s="1"/>
  <c r="C14" i="11"/>
  <c r="G13" i="11"/>
  <c r="F13" i="11"/>
  <c r="E13" i="11"/>
  <c r="D13" i="11"/>
  <c r="C13" i="11" s="1"/>
  <c r="D12" i="11"/>
  <c r="D20" i="10"/>
  <c r="D15" i="10" s="1"/>
  <c r="G16" i="10"/>
  <c r="F16" i="10"/>
  <c r="E16" i="10"/>
  <c r="D16" i="10"/>
  <c r="C14" i="10"/>
  <c r="G13" i="10"/>
  <c r="F13" i="10"/>
  <c r="E13" i="10"/>
  <c r="D13" i="10"/>
  <c r="D15" i="8"/>
  <c r="C10" i="8"/>
  <c r="D17" i="11" l="1"/>
  <c r="E20" i="10"/>
  <c r="D12" i="10"/>
  <c r="D24" i="10" s="1"/>
  <c r="C13" i="10"/>
  <c r="C16" i="10"/>
  <c r="F20" i="11"/>
  <c r="E15" i="11"/>
  <c r="E12" i="11"/>
  <c r="D26" i="11"/>
  <c r="D27" i="11" s="1"/>
  <c r="D17" i="10"/>
  <c r="E15" i="10"/>
  <c r="D11" i="8"/>
  <c r="D9" i="8"/>
  <c r="E15" i="8"/>
  <c r="E9" i="8" s="1"/>
  <c r="C20" i="6"/>
  <c r="H20" i="6" s="1"/>
  <c r="O20" i="6"/>
  <c r="P20" i="6" s="1"/>
  <c r="Q20" i="6" s="1"/>
  <c r="J20" i="6"/>
  <c r="K20" i="6" s="1"/>
  <c r="D25" i="10" l="1"/>
  <c r="F20" i="10"/>
  <c r="E12" i="10"/>
  <c r="E25" i="10"/>
  <c r="E17" i="11"/>
  <c r="E24" i="11"/>
  <c r="E25" i="11"/>
  <c r="G20" i="11"/>
  <c r="F15" i="11"/>
  <c r="F12" i="11"/>
  <c r="E24" i="10"/>
  <c r="E17" i="10"/>
  <c r="E26" i="10" s="1"/>
  <c r="D26" i="10"/>
  <c r="D27" i="10" s="1"/>
  <c r="F15" i="8"/>
  <c r="F9" i="8" s="1"/>
  <c r="E11" i="8"/>
  <c r="O21" i="6"/>
  <c r="P21" i="6" s="1"/>
  <c r="Q21" i="6" s="1"/>
  <c r="C21" i="6"/>
  <c r="H21" i="6" s="1"/>
  <c r="D20" i="6"/>
  <c r="E20" i="6" s="1"/>
  <c r="F20" i="6" s="1"/>
  <c r="L20" i="6" s="1"/>
  <c r="J21" i="6"/>
  <c r="K21" i="6" s="1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37" i="6"/>
  <c r="J38" i="6"/>
  <c r="J39" i="6"/>
  <c r="J40" i="6"/>
  <c r="J41" i="6"/>
  <c r="J42" i="6"/>
  <c r="J43" i="6"/>
  <c r="J44" i="6"/>
  <c r="J45" i="6"/>
  <c r="J46" i="6"/>
  <c r="J47" i="6"/>
  <c r="J48" i="6"/>
  <c r="J49" i="6"/>
  <c r="J50" i="6"/>
  <c r="J51" i="6"/>
  <c r="J52" i="6"/>
  <c r="J53" i="6"/>
  <c r="F12" i="10" l="1"/>
  <c r="G20" i="10"/>
  <c r="F15" i="10"/>
  <c r="F25" i="10" s="1"/>
  <c r="E27" i="10"/>
  <c r="G15" i="11"/>
  <c r="G12" i="11"/>
  <c r="E26" i="11"/>
  <c r="E27" i="11" s="1"/>
  <c r="F17" i="11"/>
  <c r="F26" i="11" s="1"/>
  <c r="F24" i="11"/>
  <c r="F25" i="11"/>
  <c r="G15" i="8"/>
  <c r="F11" i="8"/>
  <c r="D21" i="6"/>
  <c r="D22" i="6" s="1"/>
  <c r="D23" i="6" s="1"/>
  <c r="D24" i="6" s="1"/>
  <c r="D25" i="6" s="1"/>
  <c r="D26" i="6" s="1"/>
  <c r="D27" i="6" s="1"/>
  <c r="D28" i="6" s="1"/>
  <c r="D29" i="6" s="1"/>
  <c r="D30" i="6" s="1"/>
  <c r="D31" i="6" s="1"/>
  <c r="D32" i="6" s="1"/>
  <c r="D33" i="6" s="1"/>
  <c r="D34" i="6" s="1"/>
  <c r="D35" i="6" s="1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C22" i="6"/>
  <c r="C23" i="6" s="1"/>
  <c r="H23" i="6" s="1"/>
  <c r="K22" i="6"/>
  <c r="K23" i="6" s="1"/>
  <c r="K24" i="6" s="1"/>
  <c r="K25" i="6" s="1"/>
  <c r="K26" i="6" s="1"/>
  <c r="K27" i="6" s="1"/>
  <c r="K28" i="6" s="1"/>
  <c r="K29" i="6" s="1"/>
  <c r="K30" i="6" s="1"/>
  <c r="K31" i="6" s="1"/>
  <c r="K32" i="6" s="1"/>
  <c r="K33" i="6" s="1"/>
  <c r="K34" i="6" s="1"/>
  <c r="K35" i="6" s="1"/>
  <c r="K36" i="6" s="1"/>
  <c r="K37" i="6" s="1"/>
  <c r="K38" i="6" s="1"/>
  <c r="K39" i="6" s="1"/>
  <c r="K40" i="6" s="1"/>
  <c r="K41" i="6" s="1"/>
  <c r="K42" i="6" s="1"/>
  <c r="K43" i="6" s="1"/>
  <c r="K44" i="6" s="1"/>
  <c r="K45" i="6" s="1"/>
  <c r="K46" i="6" s="1"/>
  <c r="K47" i="6" s="1"/>
  <c r="K48" i="6" s="1"/>
  <c r="K49" i="6" s="1"/>
  <c r="K50" i="6" s="1"/>
  <c r="K51" i="6" s="1"/>
  <c r="K52" i="6" s="1"/>
  <c r="K53" i="6" s="1"/>
  <c r="I20" i="6"/>
  <c r="G20" i="6"/>
  <c r="G12" i="10" l="1"/>
  <c r="G15" i="10"/>
  <c r="C12" i="10"/>
  <c r="C24" i="10" s="1"/>
  <c r="F24" i="10"/>
  <c r="F17" i="10"/>
  <c r="F26" i="10" s="1"/>
  <c r="F27" i="10" s="1"/>
  <c r="G25" i="11"/>
  <c r="C15" i="11"/>
  <c r="C25" i="11" s="1"/>
  <c r="F27" i="11"/>
  <c r="G24" i="11"/>
  <c r="G17" i="11"/>
  <c r="C12" i="11"/>
  <c r="C24" i="11" s="1"/>
  <c r="G11" i="8"/>
  <c r="G9" i="8"/>
  <c r="H22" i="6"/>
  <c r="E21" i="6"/>
  <c r="F21" i="6" s="1"/>
  <c r="L21" i="6" s="1"/>
  <c r="M21" i="6" s="1"/>
  <c r="C24" i="6"/>
  <c r="H24" i="6" s="1"/>
  <c r="I21" i="6"/>
  <c r="O22" i="6"/>
  <c r="P22" i="6" s="1"/>
  <c r="Q22" i="6" s="1"/>
  <c r="C15" i="10" l="1"/>
  <c r="C25" i="10" s="1"/>
  <c r="G25" i="10"/>
  <c r="G24" i="10"/>
  <c r="G17" i="10"/>
  <c r="G26" i="11"/>
  <c r="G27" i="11" s="1"/>
  <c r="C17" i="11"/>
  <c r="C26" i="11" s="1"/>
  <c r="C27" i="11" s="1"/>
  <c r="M20" i="6"/>
  <c r="N20" i="6" s="1"/>
  <c r="R20" i="6" s="1"/>
  <c r="G21" i="6"/>
  <c r="C25" i="6"/>
  <c r="H25" i="6" s="1"/>
  <c r="I22" i="6"/>
  <c r="O23" i="6"/>
  <c r="G26" i="10" l="1"/>
  <c r="G27" i="10" s="1"/>
  <c r="C17" i="10"/>
  <c r="C26" i="10" s="1"/>
  <c r="C27" i="10" s="1"/>
  <c r="N21" i="6"/>
  <c r="R21" i="6" s="1"/>
  <c r="O24" i="6"/>
  <c r="P23" i="6"/>
  <c r="Q23" i="6" s="1"/>
  <c r="C26" i="6"/>
  <c r="H26" i="6" s="1"/>
  <c r="I23" i="6"/>
  <c r="O25" i="6" l="1"/>
  <c r="P24" i="6"/>
  <c r="Q24" i="6" s="1"/>
  <c r="C27" i="6"/>
  <c r="H27" i="6" s="1"/>
  <c r="I24" i="6"/>
  <c r="O26" i="6" l="1"/>
  <c r="P25" i="6"/>
  <c r="Q25" i="6" s="1"/>
  <c r="C28" i="6"/>
  <c r="H28" i="6" s="1"/>
  <c r="I25" i="6"/>
  <c r="O27" i="6" l="1"/>
  <c r="P26" i="6"/>
  <c r="Q26" i="6" s="1"/>
  <c r="C29" i="6"/>
  <c r="H29" i="6" s="1"/>
  <c r="I26" i="6"/>
  <c r="O28" i="6" l="1"/>
  <c r="P27" i="6"/>
  <c r="Q27" i="6" s="1"/>
  <c r="C30" i="6"/>
  <c r="H30" i="6" s="1"/>
  <c r="I27" i="6"/>
  <c r="O29" i="6" l="1"/>
  <c r="P28" i="6"/>
  <c r="Q28" i="6" s="1"/>
  <c r="C31" i="6"/>
  <c r="H31" i="6" s="1"/>
  <c r="I28" i="6"/>
  <c r="O30" i="6" l="1"/>
  <c r="P29" i="6"/>
  <c r="Q29" i="6" s="1"/>
  <c r="C32" i="6"/>
  <c r="H32" i="6" s="1"/>
  <c r="I29" i="6"/>
  <c r="O31" i="6" l="1"/>
  <c r="P30" i="6"/>
  <c r="Q30" i="6" s="1"/>
  <c r="C33" i="6"/>
  <c r="H33" i="6" s="1"/>
  <c r="I30" i="6"/>
  <c r="O32" i="6" l="1"/>
  <c r="P31" i="6"/>
  <c r="Q31" i="6" s="1"/>
  <c r="C34" i="6"/>
  <c r="H34" i="6" s="1"/>
  <c r="I31" i="6"/>
  <c r="O33" i="6" l="1"/>
  <c r="P32" i="6"/>
  <c r="Q32" i="6" s="1"/>
  <c r="C35" i="6"/>
  <c r="H35" i="6" s="1"/>
  <c r="I32" i="6"/>
  <c r="O34" i="6" l="1"/>
  <c r="P33" i="6"/>
  <c r="Q33" i="6" s="1"/>
  <c r="C36" i="6"/>
  <c r="H36" i="6" s="1"/>
  <c r="I33" i="6"/>
  <c r="O35" i="6" l="1"/>
  <c r="P34" i="6"/>
  <c r="Q34" i="6" s="1"/>
  <c r="C37" i="6"/>
  <c r="H37" i="6" s="1"/>
  <c r="I34" i="6"/>
  <c r="O36" i="6" l="1"/>
  <c r="P35" i="6"/>
  <c r="Q35" i="6" s="1"/>
  <c r="C38" i="6"/>
  <c r="H38" i="6" s="1"/>
  <c r="I35" i="6"/>
  <c r="O37" i="6" l="1"/>
  <c r="P36" i="6"/>
  <c r="Q36" i="6" s="1"/>
  <c r="C39" i="6"/>
  <c r="I36" i="6"/>
  <c r="O38" i="6" l="1"/>
  <c r="P37" i="6"/>
  <c r="Q37" i="6" s="1"/>
  <c r="C40" i="6"/>
  <c r="H40" i="6" s="1"/>
  <c r="H39" i="6"/>
  <c r="I37" i="6"/>
  <c r="O39" i="6" l="1"/>
  <c r="P38" i="6"/>
  <c r="Q38" i="6" s="1"/>
  <c r="C41" i="6"/>
  <c r="H41" i="6" s="1"/>
  <c r="I38" i="6"/>
  <c r="O40" i="6" l="1"/>
  <c r="P39" i="6"/>
  <c r="Q39" i="6" s="1"/>
  <c r="C42" i="6"/>
  <c r="H42" i="6" s="1"/>
  <c r="I39" i="6"/>
  <c r="O41" i="6" l="1"/>
  <c r="P40" i="6"/>
  <c r="Q40" i="6" s="1"/>
  <c r="C43" i="6"/>
  <c r="H43" i="6" s="1"/>
  <c r="I40" i="6"/>
  <c r="O42" i="6" l="1"/>
  <c r="P41" i="6"/>
  <c r="Q41" i="6" s="1"/>
  <c r="C44" i="6"/>
  <c r="H44" i="6" s="1"/>
  <c r="I41" i="6"/>
  <c r="O43" i="6" l="1"/>
  <c r="P42" i="6"/>
  <c r="Q42" i="6" s="1"/>
  <c r="C45" i="6"/>
  <c r="H45" i="6" s="1"/>
  <c r="I42" i="6"/>
  <c r="O44" i="6" l="1"/>
  <c r="P43" i="6"/>
  <c r="Q43" i="6" s="1"/>
  <c r="C46" i="6"/>
  <c r="H46" i="6" s="1"/>
  <c r="I43" i="6"/>
  <c r="O45" i="6" l="1"/>
  <c r="P44" i="6"/>
  <c r="Q44" i="6" s="1"/>
  <c r="C47" i="6"/>
  <c r="H47" i="6" s="1"/>
  <c r="I44" i="6"/>
  <c r="O46" i="6" l="1"/>
  <c r="P45" i="6"/>
  <c r="Q45" i="6" s="1"/>
  <c r="C48" i="6"/>
  <c r="H48" i="6" s="1"/>
  <c r="I45" i="6"/>
  <c r="O47" i="6" l="1"/>
  <c r="P46" i="6"/>
  <c r="Q46" i="6" s="1"/>
  <c r="C49" i="6"/>
  <c r="I46" i="6"/>
  <c r="O48" i="6" l="1"/>
  <c r="P47" i="6"/>
  <c r="Q47" i="6" s="1"/>
  <c r="C50" i="6"/>
  <c r="H50" i="6" s="1"/>
  <c r="H49" i="6"/>
  <c r="I47" i="6"/>
  <c r="O49" i="6" l="1"/>
  <c r="P48" i="6"/>
  <c r="Q48" i="6" s="1"/>
  <c r="C51" i="6"/>
  <c r="H51" i="6" s="1"/>
  <c r="I48" i="6"/>
  <c r="O50" i="6" l="1"/>
  <c r="P49" i="6"/>
  <c r="Q49" i="6" s="1"/>
  <c r="C52" i="6"/>
  <c r="H52" i="6" s="1"/>
  <c r="I49" i="6"/>
  <c r="O51" i="6" l="1"/>
  <c r="P50" i="6"/>
  <c r="Q50" i="6" s="1"/>
  <c r="C53" i="6"/>
  <c r="H53" i="6" s="1"/>
  <c r="I50" i="6"/>
  <c r="O52" i="6" l="1"/>
  <c r="P51" i="6"/>
  <c r="Q51" i="6" s="1"/>
  <c r="I51" i="6"/>
  <c r="O53" i="6" l="1"/>
  <c r="P53" i="6" s="1"/>
  <c r="Q53" i="6" s="1"/>
  <c r="P52" i="6"/>
  <c r="Q52" i="6" s="1"/>
  <c r="I53" i="6"/>
  <c r="I52" i="6"/>
  <c r="E53" i="6" l="1"/>
  <c r="F53" i="6" s="1"/>
  <c r="L53" i="6" s="1"/>
  <c r="M53" i="6" s="1"/>
  <c r="E52" i="6"/>
  <c r="F52" i="6" s="1"/>
  <c r="L52" i="6" s="1"/>
  <c r="M52" i="6" s="1"/>
  <c r="E51" i="6"/>
  <c r="F51" i="6" s="1"/>
  <c r="L51" i="6" s="1"/>
  <c r="M51" i="6" s="1"/>
  <c r="E50" i="6"/>
  <c r="F50" i="6" s="1"/>
  <c r="L50" i="6" s="1"/>
  <c r="M50" i="6" s="1"/>
  <c r="E49" i="6"/>
  <c r="F49" i="6" s="1"/>
  <c r="L49" i="6" s="1"/>
  <c r="M49" i="6" s="1"/>
  <c r="E48" i="6"/>
  <c r="F48" i="6" s="1"/>
  <c r="L48" i="6" s="1"/>
  <c r="M48" i="6" s="1"/>
  <c r="E47" i="6"/>
  <c r="F47" i="6" s="1"/>
  <c r="L47" i="6" s="1"/>
  <c r="M47" i="6" s="1"/>
  <c r="E46" i="6"/>
  <c r="F46" i="6" s="1"/>
  <c r="L46" i="6" s="1"/>
  <c r="M46" i="6" s="1"/>
  <c r="E45" i="6"/>
  <c r="F45" i="6" s="1"/>
  <c r="L45" i="6" s="1"/>
  <c r="M45" i="6" s="1"/>
  <c r="E44" i="6"/>
  <c r="F44" i="6" s="1"/>
  <c r="L44" i="6" s="1"/>
  <c r="M44" i="6" s="1"/>
  <c r="E43" i="6"/>
  <c r="F43" i="6" s="1"/>
  <c r="L43" i="6" s="1"/>
  <c r="M43" i="6" s="1"/>
  <c r="E42" i="6"/>
  <c r="F42" i="6" s="1"/>
  <c r="L42" i="6" s="1"/>
  <c r="M42" i="6" s="1"/>
  <c r="E41" i="6"/>
  <c r="F41" i="6" s="1"/>
  <c r="L41" i="6" s="1"/>
  <c r="M41" i="6" s="1"/>
  <c r="E40" i="6"/>
  <c r="F40" i="6" s="1"/>
  <c r="L40" i="6" s="1"/>
  <c r="M40" i="6" s="1"/>
  <c r="E39" i="6"/>
  <c r="F39" i="6" s="1"/>
  <c r="L39" i="6" s="1"/>
  <c r="M39" i="6" s="1"/>
  <c r="E38" i="6"/>
  <c r="F38" i="6" s="1"/>
  <c r="L38" i="6" s="1"/>
  <c r="M38" i="6" s="1"/>
  <c r="E37" i="6"/>
  <c r="F37" i="6" s="1"/>
  <c r="L37" i="6" s="1"/>
  <c r="M37" i="6" s="1"/>
  <c r="E36" i="6"/>
  <c r="F36" i="6" s="1"/>
  <c r="L36" i="6" s="1"/>
  <c r="M36" i="6" s="1"/>
  <c r="E35" i="6"/>
  <c r="F35" i="6" s="1"/>
  <c r="L35" i="6" s="1"/>
  <c r="M35" i="6" s="1"/>
  <c r="E34" i="6"/>
  <c r="F34" i="6" s="1"/>
  <c r="L34" i="6" s="1"/>
  <c r="M34" i="6" s="1"/>
  <c r="E33" i="6"/>
  <c r="F33" i="6" s="1"/>
  <c r="L33" i="6" s="1"/>
  <c r="M33" i="6" s="1"/>
  <c r="E32" i="6"/>
  <c r="F32" i="6" s="1"/>
  <c r="L32" i="6" s="1"/>
  <c r="M32" i="6" s="1"/>
  <c r="E31" i="6"/>
  <c r="F31" i="6" s="1"/>
  <c r="L31" i="6" s="1"/>
  <c r="M31" i="6" s="1"/>
  <c r="E30" i="6"/>
  <c r="F30" i="6" s="1"/>
  <c r="L30" i="6" s="1"/>
  <c r="M30" i="6" s="1"/>
  <c r="E29" i="6"/>
  <c r="F29" i="6" s="1"/>
  <c r="L29" i="6" s="1"/>
  <c r="M29" i="6" s="1"/>
  <c r="E28" i="6"/>
  <c r="F28" i="6" s="1"/>
  <c r="L28" i="6" s="1"/>
  <c r="M28" i="6" s="1"/>
  <c r="E27" i="6"/>
  <c r="F27" i="6" s="1"/>
  <c r="L27" i="6" s="1"/>
  <c r="M27" i="6" s="1"/>
  <c r="E26" i="6"/>
  <c r="F26" i="6" s="1"/>
  <c r="L26" i="6" s="1"/>
  <c r="M26" i="6" s="1"/>
  <c r="E25" i="6"/>
  <c r="F25" i="6" s="1"/>
  <c r="L25" i="6" s="1"/>
  <c r="M25" i="6" s="1"/>
  <c r="E24" i="6"/>
  <c r="F24" i="6" s="1"/>
  <c r="L24" i="6" s="1"/>
  <c r="M24" i="6" s="1"/>
  <c r="E23" i="6"/>
  <c r="F23" i="6" s="1"/>
  <c r="L23" i="6" s="1"/>
  <c r="M23" i="6" s="1"/>
  <c r="E22" i="6"/>
  <c r="F22" i="6" s="1"/>
  <c r="G22" i="6" l="1"/>
  <c r="G23" i="6" s="1"/>
  <c r="G24" i="6" s="1"/>
  <c r="L22" i="6"/>
  <c r="M22" i="6" s="1"/>
  <c r="N32" i="6" l="1"/>
  <c r="R32" i="6" s="1"/>
  <c r="N48" i="6"/>
  <c r="R48" i="6" s="1"/>
  <c r="N49" i="6"/>
  <c r="R49" i="6" s="1"/>
  <c r="N27" i="6"/>
  <c r="R27" i="6" s="1"/>
  <c r="N42" i="6"/>
  <c r="R42" i="6" s="1"/>
  <c r="N53" i="6"/>
  <c r="R53" i="6" s="1"/>
  <c r="N43" i="6"/>
  <c r="R43" i="6" s="1"/>
  <c r="N34" i="6"/>
  <c r="R34" i="6" s="1"/>
  <c r="N37" i="6"/>
  <c r="R37" i="6" s="1"/>
  <c r="N44" i="6"/>
  <c r="R44" i="6" s="1"/>
  <c r="N46" i="6"/>
  <c r="R46" i="6" s="1"/>
  <c r="N35" i="6"/>
  <c r="R35" i="6" s="1"/>
  <c r="N23" i="6"/>
  <c r="R23" i="6" s="1"/>
  <c r="N38" i="6"/>
  <c r="R38" i="6" s="1"/>
  <c r="N31" i="6"/>
  <c r="R31" i="6" s="1"/>
  <c r="N26" i="6"/>
  <c r="R26" i="6" s="1"/>
  <c r="N52" i="6"/>
  <c r="R52" i="6" s="1"/>
  <c r="N40" i="6"/>
  <c r="R40" i="6" s="1"/>
  <c r="N33" i="6"/>
  <c r="R33" i="6" s="1"/>
  <c r="N39" i="6"/>
  <c r="R39" i="6" s="1"/>
  <c r="N24" i="6"/>
  <c r="R24" i="6" s="1"/>
  <c r="N45" i="6"/>
  <c r="R45" i="6" s="1"/>
  <c r="N28" i="6"/>
  <c r="R28" i="6" s="1"/>
  <c r="N29" i="6"/>
  <c r="R29" i="6" s="1"/>
  <c r="N47" i="6"/>
  <c r="R47" i="6" s="1"/>
  <c r="N51" i="6"/>
  <c r="R51" i="6" s="1"/>
  <c r="N50" i="6"/>
  <c r="R50" i="6" s="1"/>
  <c r="N30" i="6"/>
  <c r="R30" i="6" s="1"/>
  <c r="N25" i="6"/>
  <c r="R25" i="6" s="1"/>
  <c r="N22" i="6"/>
  <c r="R22" i="6" s="1"/>
  <c r="N36" i="6"/>
  <c r="R36" i="6" s="1"/>
  <c r="N41" i="6"/>
  <c r="R41" i="6" s="1"/>
  <c r="G25" i="6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B12" i="6" l="1"/>
  <c r="E18" i="8" l="1"/>
  <c r="F18" i="8"/>
  <c r="B13" i="6"/>
  <c r="B14" i="6" s="1"/>
  <c r="B16" i="6" s="1"/>
  <c r="B17" i="6" s="1"/>
  <c r="B18" i="6" s="1"/>
  <c r="G18" i="8"/>
  <c r="G19" i="8"/>
  <c r="G12" i="8"/>
  <c r="G20" i="8" s="1"/>
  <c r="C9" i="8" l="1"/>
  <c r="C18" i="8" s="1"/>
  <c r="D18" i="8"/>
  <c r="G21" i="8"/>
  <c r="C11" i="8" l="1"/>
  <c r="C19" i="8" s="1"/>
  <c r="D19" i="8"/>
  <c r="D12" i="8"/>
  <c r="E19" i="8"/>
  <c r="E12" i="8"/>
  <c r="E20" i="8" s="1"/>
  <c r="E21" i="8" s="1"/>
  <c r="F19" i="8"/>
  <c r="F12" i="8"/>
  <c r="F20" i="8" s="1"/>
  <c r="F21" i="8" l="1"/>
  <c r="D20" i="8"/>
  <c r="D21" i="8" s="1"/>
  <c r="C12" i="8"/>
  <c r="C20" i="8" s="1"/>
  <c r="C21" i="8" s="1"/>
</calcChain>
</file>

<file path=xl/sharedStrings.xml><?xml version="1.0" encoding="utf-8"?>
<sst xmlns="http://schemas.openxmlformats.org/spreadsheetml/2006/main" count="90" uniqueCount="55">
  <si>
    <t>T&amp;D Upgrade Cost Today ($)</t>
  </si>
  <si>
    <t>Expected Deferral Timeframe (years)</t>
  </si>
  <si>
    <t>Load Reduction Need (kW)</t>
  </si>
  <si>
    <t>T&amp;D Cost Escalator (%)</t>
  </si>
  <si>
    <t>T&amp;D Financial Asset Life (years)</t>
  </si>
  <si>
    <t>NPV</t>
  </si>
  <si>
    <t>WACC (%)</t>
  </si>
  <si>
    <t>Annual O&amp;M Deffered Costs ($)</t>
  </si>
  <si>
    <t>Annual Software Costs for Management ($)</t>
  </si>
  <si>
    <t>Assumed # of Participating Members</t>
  </si>
  <si>
    <t>Value Percentage Share with Member  (%)</t>
  </si>
  <si>
    <t>Total Deferral value</t>
  </si>
  <si>
    <t>Deferral value per kW</t>
  </si>
  <si>
    <t>Annual Deferral Value per kW</t>
  </si>
  <si>
    <t>Annual Value Shared with Member per kW</t>
  </si>
  <si>
    <t>Monthly Value Shared with Member per kW</t>
  </si>
  <si>
    <t>Monthly Bill Credit</t>
  </si>
  <si>
    <t>Year</t>
  </si>
  <si>
    <t>Depreciation Schedule</t>
  </si>
  <si>
    <t>WACC</t>
  </si>
  <si>
    <t>Asset Value X WACC</t>
  </si>
  <si>
    <t>Annual Carrying Cost</t>
  </si>
  <si>
    <t>Cumulative Carrying Costs</t>
  </si>
  <si>
    <t>Annual Cost of Depreciation</t>
  </si>
  <si>
    <t>Cumulative Cost of Depreciation</t>
  </si>
  <si>
    <t>Annual Deferred O&amp;M Costs</t>
  </si>
  <si>
    <t>Cumulative Deferred O&amp;M Costs</t>
  </si>
  <si>
    <t>Annual Deferral Value - Nominal $</t>
  </si>
  <si>
    <t>Annual Deferral Value - NPV $</t>
  </si>
  <si>
    <t>Cumulative Deferral Value - NPV $</t>
  </si>
  <si>
    <t>Asset Replacement Cost - Nominal $</t>
  </si>
  <si>
    <t>Incremental Replacement Costs - Nominal $</t>
  </si>
  <si>
    <t>Incremental Replacement Costs - NPV $</t>
  </si>
  <si>
    <t>Annual Deferral Value - Incremental Replacement Costs</t>
  </si>
  <si>
    <t>Transformer upgrade only</t>
  </si>
  <si>
    <t>Transformer upgrade plus $4 million substation upgrade</t>
  </si>
  <si>
    <t>Transformer upgrade plus 5 mile reconductoring primary line</t>
  </si>
  <si>
    <t>Total Deferral value transformer</t>
  </si>
  <si>
    <t>Total Deferral value substation</t>
  </si>
  <si>
    <t>Benefits</t>
  </si>
  <si>
    <t>Benefits Transformer</t>
  </si>
  <si>
    <t>Costs - Software Fees</t>
  </si>
  <si>
    <t>Benefits Substation</t>
  </si>
  <si>
    <t>Costs - Participating Member Incentives</t>
  </si>
  <si>
    <t>Net Benefits</t>
  </si>
  <si>
    <t>Costs - Participant Incentives Transformer</t>
  </si>
  <si>
    <t>Costs - Participant Incentives Substation</t>
  </si>
  <si>
    <t>Assumed New Participants Per Year</t>
  </si>
  <si>
    <t>Cumulative Participants</t>
  </si>
  <si>
    <t>Value Share</t>
  </si>
  <si>
    <t>Cumulative Participants Transformer</t>
  </si>
  <si>
    <t>Software</t>
  </si>
  <si>
    <t>Cumulative Participants Substation</t>
  </si>
  <si>
    <t>Participating Member Incentives</t>
  </si>
  <si>
    <t>VEC - Non-Participating Members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</si>
</sst>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0.0%"/>
    <numFmt numFmtId="165" formatCode="_([$$-409]* #,##0_);_([$$-409]* \(#,##0\);_([$$-409]* &quot;-&quot;??_);_(@_)"/>
    <numFmt numFmtId="166" formatCode="_([$$-409]* #,##0.00_);_([$$-409]* \(#,##0.00\);_([$$-409]* &quot;-&quot;??_);_(@_)"/>
    <numFmt numFmtId="167" formatCode="_([$$-409]* #,##0.000_);_([$$-409]* \(#,##0.000\);_([$$-409]* &quot;-&quot;??_);_(@_)"/>
    <numFmt numFmtId="168" formatCode="_([$$-409]* #,##0.000_);_([$$-409]* \(#,##0.000\);_([$$-409]* &quot;-&quot;???_);_(@_)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u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8" fontId="0" fillId="0" borderId="0" xfId="0" applyNumberFormat="1"/>
    <xf numFmtId="44" fontId="0" fillId="0" borderId="0" xfId="0" applyNumberFormat="1"/>
    <xf numFmtId="164" fontId="0" fillId="2" borderId="0" xfId="0" applyNumberFormat="1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44" fontId="0" fillId="3" borderId="0" xfId="0" applyNumberFormat="1" applyFill="1"/>
    <xf numFmtId="0" fontId="0" fillId="3" borderId="0" xfId="0" applyFill="1" applyAlignment="1">
      <alignment horizontal="center"/>
    </xf>
    <xf numFmtId="165" fontId="0" fillId="0" borderId="0" xfId="0" applyNumberFormat="1"/>
    <xf numFmtId="166" fontId="0" fillId="0" borderId="0" xfId="0" applyNumberFormat="1"/>
    <xf numFmtId="44" fontId="0" fillId="0" borderId="0" xfId="0" applyNumberFormat="1" applyAlignment="1">
      <alignment horizontal="center"/>
    </xf>
    <xf numFmtId="44" fontId="0" fillId="3" borderId="0" xfId="0" applyNumberFormat="1" applyFill="1" applyAlignment="1">
      <alignment horizontal="center"/>
    </xf>
    <xf numFmtId="9" fontId="0" fillId="3" borderId="0" xfId="0" applyNumberFormat="1" applyFill="1" applyAlignment="1">
      <alignment horizontal="center"/>
    </xf>
    <xf numFmtId="37" fontId="0" fillId="3" borderId="0" xfId="0" applyNumberFormat="1" applyFill="1" applyAlignment="1">
      <alignment horizontal="center"/>
    </xf>
    <xf numFmtId="10" fontId="0" fillId="3" borderId="0" xfId="0" applyNumberFormat="1" applyFill="1" applyAlignment="1">
      <alignment horizontal="center"/>
    </xf>
    <xf numFmtId="10" fontId="0" fillId="2" borderId="0" xfId="0" applyNumberFormat="1" applyFill="1"/>
    <xf numFmtId="0" fontId="1" fillId="0" borderId="0" xfId="0" applyFont="1"/>
    <xf numFmtId="0" fontId="1" fillId="0" borderId="1" xfId="0" applyFont="1" applyBorder="1"/>
    <xf numFmtId="0" fontId="2" fillId="0" borderId="2" xfId="0" applyFont="1" applyBorder="1"/>
    <xf numFmtId="6" fontId="1" fillId="0" borderId="2" xfId="0" applyNumberFormat="1" applyFont="1" applyBorder="1"/>
    <xf numFmtId="0" fontId="2" fillId="0" borderId="4" xfId="0" applyFont="1" applyBorder="1"/>
    <xf numFmtId="0" fontId="2" fillId="0" borderId="7" xfId="0" applyFont="1" applyBorder="1"/>
    <xf numFmtId="0" fontId="1" fillId="0" borderId="8" xfId="0" applyFont="1" applyBorder="1"/>
    <xf numFmtId="0" fontId="1" fillId="0" borderId="9" xfId="0" applyFont="1" applyBorder="1"/>
    <xf numFmtId="9" fontId="1" fillId="0" borderId="10" xfId="0" applyNumberFormat="1" applyFont="1" applyBorder="1"/>
    <xf numFmtId="9" fontId="1" fillId="0" borderId="0" xfId="0" applyNumberFormat="1" applyFont="1"/>
    <xf numFmtId="9" fontId="1" fillId="0" borderId="3" xfId="0" applyNumberFormat="1" applyFont="1" applyBorder="1"/>
    <xf numFmtId="9" fontId="1" fillId="0" borderId="11" xfId="0" applyNumberFormat="1" applyFont="1" applyBorder="1"/>
    <xf numFmtId="0" fontId="1" fillId="0" borderId="4" xfId="0" applyFont="1" applyBorder="1"/>
    <xf numFmtId="9" fontId="1" fillId="0" borderId="12" xfId="0" applyNumberFormat="1" applyFont="1" applyBorder="1"/>
    <xf numFmtId="9" fontId="1" fillId="0" borderId="5" xfId="0" applyNumberFormat="1" applyFont="1" applyBorder="1"/>
    <xf numFmtId="9" fontId="1" fillId="0" borderId="6" xfId="0" applyNumberFormat="1" applyFont="1" applyBorder="1"/>
    <xf numFmtId="0" fontId="2" fillId="0" borderId="0" xfId="0" applyFont="1"/>
    <xf numFmtId="6" fontId="1" fillId="0" borderId="0" xfId="0" applyNumberFormat="1" applyFont="1"/>
    <xf numFmtId="0" fontId="2" fillId="0" borderId="13" xfId="0" applyFont="1" applyBorder="1"/>
    <xf numFmtId="0" fontId="4" fillId="0" borderId="0" xfId="0" applyFont="1"/>
    <xf numFmtId="167" fontId="0" fillId="0" borderId="0" xfId="0" applyNumberFormat="1"/>
    <xf numFmtId="168" fontId="0" fillId="0" borderId="0" xfId="0" applyNumberFormat="1" applyAlignment="1">
      <alignment wrapText="1"/>
    </xf>
    <xf numFmtId="0" fontId="2" fillId="0" borderId="1" xfId="0" applyFont="1" applyBorder="1"/>
    <xf numFmtId="0" fontId="2" fillId="0" borderId="20" xfId="0" applyFont="1" applyBorder="1"/>
    <xf numFmtId="0" fontId="2" fillId="0" borderId="21" xfId="0" applyFont="1" applyBorder="1"/>
    <xf numFmtId="6" fontId="3" fillId="4" borderId="14" xfId="0" applyNumberFormat="1" applyFont="1" applyFill="1" applyBorder="1"/>
    <xf numFmtId="6" fontId="3" fillId="4" borderId="15" xfId="0" applyNumberFormat="1" applyFont="1" applyFill="1" applyBorder="1"/>
    <xf numFmtId="6" fontId="3" fillId="4" borderId="0" xfId="0" applyNumberFormat="1" applyFont="1" applyFill="1"/>
    <xf numFmtId="6" fontId="3" fillId="4" borderId="16" xfId="0" applyNumberFormat="1" applyFont="1" applyFill="1" applyBorder="1"/>
    <xf numFmtId="6" fontId="1" fillId="4" borderId="17" xfId="0" applyNumberFormat="1" applyFont="1" applyFill="1" applyBorder="1"/>
    <xf numFmtId="6" fontId="1" fillId="4" borderId="18" xfId="0" applyNumberFormat="1" applyFont="1" applyFill="1" applyBorder="1"/>
    <xf numFmtId="6" fontId="1" fillId="4" borderId="19" xfId="0" applyNumberFormat="1" applyFont="1" applyFill="1" applyBorder="1"/>
    <xf numFmtId="6" fontId="3" fillId="4" borderId="22" xfId="0" applyNumberFormat="1" applyFont="1" applyFill="1" applyBorder="1"/>
    <xf numFmtId="6" fontId="3" fillId="4" borderId="23" xfId="0" applyNumberFormat="1" applyFont="1" applyFill="1" applyBorder="1"/>
    <xf numFmtId="38" fontId="1" fillId="0" borderId="0" xfId="0" applyNumberFormat="1" applyFont="1"/>
    <xf numFmtId="38" fontId="1" fillId="0" borderId="14" xfId="0" applyNumberFormat="1" applyFont="1" applyBorder="1"/>
    <xf numFmtId="38" fontId="1" fillId="0" borderId="22" xfId="0" applyNumberFormat="1" applyFont="1" applyBorder="1"/>
    <xf numFmtId="38" fontId="1" fillId="0" borderId="23" xfId="0" applyNumberFormat="1" applyFont="1" applyBorder="1"/>
    <xf numFmtId="38" fontId="1" fillId="0" borderId="18" xfId="0" applyNumberFormat="1" applyFont="1" applyBorder="1"/>
    <xf numFmtId="38" fontId="1" fillId="0" borderId="19" xfId="0" applyNumberFormat="1" applyFont="1" applyBorder="1"/>
    <xf numFmtId="6" fontId="1" fillId="0" borderId="25" xfId="0" applyNumberFormat="1" applyFont="1" applyBorder="1"/>
    <xf numFmtId="0" fontId="2" fillId="0" borderId="14" xfId="0" applyFont="1" applyBorder="1"/>
    <xf numFmtId="0" fontId="2" fillId="0" borderId="17" xfId="0" applyFont="1" applyBorder="1"/>
    <xf numFmtId="6" fontId="1" fillId="0" borderId="24" xfId="0" applyNumberFormat="1" applyFont="1" applyBorder="1"/>
    <xf numFmtId="0" fontId="5" fillId="0" borderId="0" xfId="0" applyFont="1"/>
    <xf numFmtId="9" fontId="1" fillId="0" borderId="22" xfId="0" applyNumberFormat="1" applyFont="1" applyBorder="1"/>
    <xf numFmtId="9" fontId="1" fillId="0" borderId="23" xfId="0" applyNumberFormat="1" applyFont="1" applyBorder="1"/>
    <xf numFmtId="0" fontId="2" fillId="0" borderId="15" xfId="0" applyFont="1" applyBorder="1"/>
    <xf numFmtId="9" fontId="1" fillId="0" borderId="16" xfId="0" applyNumberFormat="1" applyFont="1" applyBorder="1"/>
    <xf numFmtId="0" fontId="1" fillId="0" borderId="17" xfId="0" applyFont="1" applyBorder="1"/>
    <xf numFmtId="0" fontId="1" fillId="0" borderId="20" xfId="0" applyFont="1" applyBorder="1"/>
    <xf numFmtId="0" fontId="1" fillId="0" borderId="21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38" fontId="1" fillId="0" borderId="15" xfId="0" applyNumberFormat="1" applyFont="1" applyBorder="1"/>
    <xf numFmtId="38" fontId="1" fillId="0" borderId="16" xfId="0" applyNumberFormat="1" applyFont="1" applyBorder="1"/>
    <xf numFmtId="6" fontId="1" fillId="0" borderId="14" xfId="0" applyNumberFormat="1" applyFont="1" applyBorder="1"/>
    <xf numFmtId="6" fontId="1" fillId="0" borderId="15" xfId="0" applyNumberFormat="1" applyFont="1" applyBorder="1"/>
    <xf numFmtId="9" fontId="1" fillId="0" borderId="18" xfId="0" applyNumberFormat="1" applyFont="1" applyBorder="1"/>
    <xf numFmtId="9" fontId="1" fillId="0" borderId="19" xfId="0" applyNumberFormat="1" applyFont="1" applyBorder="1"/>
    <xf numFmtId="9" fontId="1" fillId="0" borderId="24" xfId="0" applyNumberFormat="1" applyFont="1" applyBorder="1"/>
    <xf numFmtId="9" fontId="1" fillId="0" borderId="26" xfId="0" applyNumberFormat="1" applyFont="1" applyBorder="1"/>
    <xf numFmtId="9" fontId="1" fillId="0" borderId="25" xfId="0" applyNumberFormat="1" applyFont="1" applyBorder="1"/>
    <xf numFmtId="6" fontId="2" fillId="0" borderId="4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94B10-2263-4591-B4AB-1F54476C71F0}">
  <dimension ref="A2:V53"/>
  <sheetViews>
    <sheetView tabSelected="1" zoomScaleNormal="100" workbookViewId="0">
      <selection activeCell="E12" sqref="E12"/>
    </sheetView>
  </sheetViews>
  <sheetFormatPr defaultRowHeight="15" x14ac:dyDescent="0.25"/>
  <cols>
    <col min="2" max="2" width="15.85546875" bestFit="1" customWidth="1"/>
    <col min="3" max="3" width="33.7109375" bestFit="1" customWidth="1"/>
    <col min="5" max="5" width="14.28515625" customWidth="1"/>
    <col min="7" max="7" width="11" customWidth="1"/>
    <col min="8" max="8" width="12.140625" customWidth="1"/>
    <col min="9" max="14" width="12.7109375" customWidth="1"/>
    <col min="15" max="17" width="12.140625" customWidth="1"/>
    <col min="18" max="18" width="11.7109375" customWidth="1"/>
    <col min="19" max="19" width="10.5703125" bestFit="1" customWidth="1"/>
    <col min="20" max="20" width="11.7109375" customWidth="1"/>
  </cols>
  <sheetData>
    <row r="2" spans="1:7" x14ac:dyDescent="0.25">
      <c r="B2" s="7">
        <v>3000</v>
      </c>
      <c r="C2" t="s">
        <v>0</v>
      </c>
    </row>
    <row r="3" spans="1:7" x14ac:dyDescent="0.25">
      <c r="B3" s="8">
        <v>10</v>
      </c>
      <c r="C3" t="s">
        <v>1</v>
      </c>
    </row>
    <row r="4" spans="1:7" x14ac:dyDescent="0.25">
      <c r="B4" s="8">
        <v>5</v>
      </c>
      <c r="C4" t="s">
        <v>2</v>
      </c>
    </row>
    <row r="5" spans="1:7" x14ac:dyDescent="0.25">
      <c r="B5" s="3">
        <v>2.5000000000000001E-2</v>
      </c>
      <c r="C5" t="s">
        <v>3</v>
      </c>
    </row>
    <row r="6" spans="1:7" x14ac:dyDescent="0.25">
      <c r="B6" s="8">
        <v>33.33</v>
      </c>
      <c r="C6" t="s">
        <v>4</v>
      </c>
      <c r="G6" s="1"/>
    </row>
    <row r="7" spans="1:7" x14ac:dyDescent="0.25">
      <c r="B7" s="15">
        <v>5.5E-2</v>
      </c>
      <c r="C7" t="s">
        <v>6</v>
      </c>
      <c r="G7" s="1"/>
    </row>
    <row r="8" spans="1:7" x14ac:dyDescent="0.25">
      <c r="B8" s="12">
        <v>0</v>
      </c>
      <c r="C8" t="s">
        <v>7</v>
      </c>
      <c r="G8" s="1"/>
    </row>
    <row r="9" spans="1:7" x14ac:dyDescent="0.25">
      <c r="B9" s="12">
        <v>0</v>
      </c>
      <c r="C9" t="s">
        <v>8</v>
      </c>
      <c r="G9" s="1"/>
    </row>
    <row r="10" spans="1:7" x14ac:dyDescent="0.25">
      <c r="B10" s="14">
        <v>1</v>
      </c>
      <c r="C10" t="s">
        <v>9</v>
      </c>
      <c r="G10" s="1"/>
    </row>
    <row r="11" spans="1:7" x14ac:dyDescent="0.25">
      <c r="B11" s="13">
        <v>0.5</v>
      </c>
      <c r="C11" t="s">
        <v>10</v>
      </c>
      <c r="G11" s="1"/>
    </row>
    <row r="12" spans="1:7" x14ac:dyDescent="0.25">
      <c r="A12" s="2"/>
      <c r="B12" s="2">
        <f ca="1">SUMIF(B20:B51,B3,R20:R50)</f>
        <v>1309.7016098598292</v>
      </c>
      <c r="C12" t="s">
        <v>11</v>
      </c>
    </row>
    <row r="13" spans="1:7" x14ac:dyDescent="0.25">
      <c r="B13" s="2">
        <f ca="1">B12/B4</f>
        <v>261.94032197196583</v>
      </c>
      <c r="C13" t="s">
        <v>12</v>
      </c>
    </row>
    <row r="14" spans="1:7" x14ac:dyDescent="0.25">
      <c r="B14" s="11">
        <f ca="1">B13/B3</f>
        <v>26.194032197196584</v>
      </c>
      <c r="C14" t="s">
        <v>13</v>
      </c>
    </row>
    <row r="15" spans="1:7" x14ac:dyDescent="0.25">
      <c r="B15" s="2"/>
    </row>
    <row r="16" spans="1:7" x14ac:dyDescent="0.25">
      <c r="B16" s="2">
        <f ca="1">(B11*B14)/B10</f>
        <v>13.097016098598292</v>
      </c>
      <c r="C16" t="s">
        <v>14</v>
      </c>
      <c r="E16" s="10"/>
    </row>
    <row r="17" spans="2:22" x14ac:dyDescent="0.25">
      <c r="B17" s="10">
        <f ca="1">B16/12</f>
        <v>1.0914180082165243</v>
      </c>
      <c r="C17" t="s">
        <v>15</v>
      </c>
    </row>
    <row r="18" spans="2:22" x14ac:dyDescent="0.25">
      <c r="B18" s="2">
        <f ca="1">B17*B4</f>
        <v>5.4570900410826217</v>
      </c>
      <c r="C18" t="s">
        <v>16</v>
      </c>
      <c r="E18" s="2"/>
    </row>
    <row r="19" spans="2:22" s="4" customFormat="1" ht="90" x14ac:dyDescent="0.25">
      <c r="B19" s="5" t="s">
        <v>17</v>
      </c>
      <c r="C19" s="4" t="s">
        <v>18</v>
      </c>
      <c r="D19" s="4" t="s">
        <v>19</v>
      </c>
      <c r="E19" s="4" t="s">
        <v>20</v>
      </c>
      <c r="F19" s="4" t="s">
        <v>21</v>
      </c>
      <c r="G19" s="4" t="s">
        <v>22</v>
      </c>
      <c r="H19" s="4" t="s">
        <v>23</v>
      </c>
      <c r="I19" s="4" t="s">
        <v>24</v>
      </c>
      <c r="J19" s="4" t="s">
        <v>25</v>
      </c>
      <c r="K19" s="4" t="s">
        <v>26</v>
      </c>
      <c r="L19" s="4" t="s">
        <v>27</v>
      </c>
      <c r="M19" s="4" t="s">
        <v>28</v>
      </c>
      <c r="N19" s="4" t="s">
        <v>29</v>
      </c>
      <c r="O19" s="4" t="s">
        <v>30</v>
      </c>
      <c r="P19" s="4" t="s">
        <v>31</v>
      </c>
      <c r="Q19" s="4" t="s">
        <v>32</v>
      </c>
      <c r="R19" s="4" t="s">
        <v>33</v>
      </c>
      <c r="T19" s="38"/>
    </row>
    <row r="20" spans="2:22" x14ac:dyDescent="0.25">
      <c r="B20" s="6">
        <v>1</v>
      </c>
      <c r="C20" s="10">
        <f>$B$2-($B$2/$B$6)</f>
        <v>2909.9909990999099</v>
      </c>
      <c r="D20" s="16">
        <f>$B$7</f>
        <v>5.5E-2</v>
      </c>
      <c r="E20" s="9">
        <f>C20*(1+D20)</f>
        <v>3070.0405040504047</v>
      </c>
      <c r="F20" s="9">
        <f>E20-C20</f>
        <v>160.04950495049479</v>
      </c>
      <c r="G20" s="9">
        <f>F20</f>
        <v>160.04950495049479</v>
      </c>
      <c r="H20" s="9">
        <f>B2-C20</f>
        <v>90.009000900090086</v>
      </c>
      <c r="I20" s="9">
        <f>$B$2-C20</f>
        <v>90.009000900090086</v>
      </c>
      <c r="J20" s="9">
        <f>$B$8</f>
        <v>0</v>
      </c>
      <c r="K20" s="9">
        <f>J20</f>
        <v>0</v>
      </c>
      <c r="L20" s="9">
        <f>F20+H20+J20</f>
        <v>250.05850585058488</v>
      </c>
      <c r="M20" s="9">
        <f>$L20/(1+$B$7)^($B20-1)</f>
        <v>250.05850585058488</v>
      </c>
      <c r="N20" s="9">
        <f>SUM($M$20:M20)</f>
        <v>250.05850585058488</v>
      </c>
      <c r="O20" s="9">
        <f>$B$2*(1+B5)</f>
        <v>3074.9999999999995</v>
      </c>
      <c r="P20" s="9">
        <f>O20-$B$2</f>
        <v>74.999999999999545</v>
      </c>
      <c r="Q20" s="9">
        <f>$P20/(1+$B$7)^($B20-1)</f>
        <v>74.999999999999545</v>
      </c>
      <c r="R20" s="9">
        <f>N20-Q20</f>
        <v>175.05850585058533</v>
      </c>
      <c r="S20" s="9"/>
      <c r="T20" s="1"/>
    </row>
    <row r="21" spans="2:22" x14ac:dyDescent="0.25">
      <c r="B21" s="6">
        <v>2</v>
      </c>
      <c r="C21" s="10">
        <f>$C20-($B$2/$B$6)</f>
        <v>2819.9819981998198</v>
      </c>
      <c r="D21" s="16">
        <f t="shared" ref="D21:D53" si="0">D20</f>
        <v>5.5E-2</v>
      </c>
      <c r="E21" s="9">
        <f t="shared" ref="E21:E53" si="1">C21*(1+D21)</f>
        <v>2975.0810081008099</v>
      </c>
      <c r="F21" s="9">
        <f t="shared" ref="F21:F53" si="2">E21-C21</f>
        <v>155.09900990099004</v>
      </c>
      <c r="G21" s="9">
        <f t="shared" ref="G21:G53" si="3">G20+F21</f>
        <v>315.14851485148483</v>
      </c>
      <c r="H21" s="9">
        <f>C20-C21</f>
        <v>90.009000900090086</v>
      </c>
      <c r="I21" s="9">
        <f t="shared" ref="I21:I53" si="4">$B$2-C21</f>
        <v>180.01800180018017</v>
      </c>
      <c r="J21" s="9">
        <f t="shared" ref="J21:J53" si="5">$B$8</f>
        <v>0</v>
      </c>
      <c r="K21" s="9">
        <f>K20+J21</f>
        <v>0</v>
      </c>
      <c r="L21" s="9">
        <f t="shared" ref="L21:L53" si="6">F21+H21+J21</f>
        <v>245.10801080108013</v>
      </c>
      <c r="M21" s="9">
        <f t="shared" ref="M21:M53" si="7">$L21/(1+$B$7)^($B21-1)</f>
        <v>232.32986805789588</v>
      </c>
      <c r="N21" s="9">
        <f>SUM($M$20:M21)</f>
        <v>482.38837390848073</v>
      </c>
      <c r="O21" s="9">
        <f>O20*(1+$B$5)</f>
        <v>3151.8749999999991</v>
      </c>
      <c r="P21" s="9">
        <f>O21-$B$2</f>
        <v>151.87499999999909</v>
      </c>
      <c r="Q21" s="9">
        <f t="shared" ref="Q21:Q53" si="8">$P21/(1+$B$7)^($B21-1)</f>
        <v>143.95734597156311</v>
      </c>
      <c r="R21" s="9">
        <f t="shared" ref="R21:R53" si="9">N21-Q21</f>
        <v>338.43102793691764</v>
      </c>
      <c r="S21" s="9"/>
    </row>
    <row r="22" spans="2:22" x14ac:dyDescent="0.25">
      <c r="B22" s="6">
        <v>3</v>
      </c>
      <c r="C22" s="10">
        <f t="shared" ref="C22:C53" si="10">$C21-($B$2/$B$6)</f>
        <v>2729.9729972997297</v>
      </c>
      <c r="D22" s="16">
        <f t="shared" si="0"/>
        <v>5.5E-2</v>
      </c>
      <c r="E22" s="9">
        <f t="shared" si="1"/>
        <v>2880.1215121512146</v>
      </c>
      <c r="F22" s="9">
        <f t="shared" si="2"/>
        <v>150.14851485148483</v>
      </c>
      <c r="G22" s="9">
        <f t="shared" si="3"/>
        <v>465.29702970296967</v>
      </c>
      <c r="H22" s="9">
        <f t="shared" ref="H22:H53" si="11">C21-C22</f>
        <v>90.009000900090086</v>
      </c>
      <c r="I22" s="9">
        <f t="shared" si="4"/>
        <v>270.02700270027026</v>
      </c>
      <c r="J22" s="9">
        <f t="shared" si="5"/>
        <v>0</v>
      </c>
      <c r="K22" s="9">
        <f>K21+J22</f>
        <v>0</v>
      </c>
      <c r="L22" s="9">
        <f t="shared" si="6"/>
        <v>240.15751575157492</v>
      </c>
      <c r="M22" s="9">
        <f t="shared" si="7"/>
        <v>215.77010017885937</v>
      </c>
      <c r="N22" s="9">
        <f>SUM($M$20:M22)</f>
        <v>698.1584740873401</v>
      </c>
      <c r="O22" s="9">
        <f t="shared" ref="O22:O53" si="12">O21*(1+$B$5)</f>
        <v>3230.6718749999986</v>
      </c>
      <c r="P22" s="9">
        <f t="shared" ref="P22:P53" si="13">O22-$B$2</f>
        <v>230.67187499999864</v>
      </c>
      <c r="Q22" s="9">
        <f t="shared" si="8"/>
        <v>207.24770333101111</v>
      </c>
      <c r="R22" s="9">
        <f t="shared" si="9"/>
        <v>490.91077075632899</v>
      </c>
      <c r="S22" s="9"/>
    </row>
    <row r="23" spans="2:22" x14ac:dyDescent="0.25">
      <c r="B23" s="6">
        <v>4</v>
      </c>
      <c r="C23" s="10">
        <f t="shared" si="10"/>
        <v>2639.9639963996397</v>
      </c>
      <c r="D23" s="16">
        <f t="shared" si="0"/>
        <v>5.5E-2</v>
      </c>
      <c r="E23" s="9">
        <f t="shared" si="1"/>
        <v>2785.1620162016197</v>
      </c>
      <c r="F23" s="9">
        <f t="shared" si="2"/>
        <v>145.19801980198008</v>
      </c>
      <c r="G23" s="9">
        <f t="shared" si="3"/>
        <v>610.49504950494975</v>
      </c>
      <c r="H23" s="9">
        <f t="shared" si="11"/>
        <v>90.009000900090086</v>
      </c>
      <c r="I23" s="9">
        <f t="shared" si="4"/>
        <v>360.03600360036035</v>
      </c>
      <c r="J23" s="9">
        <f t="shared" si="5"/>
        <v>0</v>
      </c>
      <c r="K23" s="9">
        <f t="shared" ref="K23:K53" si="14">K22+J23</f>
        <v>0</v>
      </c>
      <c r="L23" s="9">
        <f t="shared" si="6"/>
        <v>235.20702070207017</v>
      </c>
      <c r="M23" s="9">
        <f t="shared" si="7"/>
        <v>200.30551274185021</v>
      </c>
      <c r="N23" s="9">
        <f>SUM($M$20:M23)</f>
        <v>898.46398682919028</v>
      </c>
      <c r="O23" s="9">
        <f t="shared" si="12"/>
        <v>3311.4386718749984</v>
      </c>
      <c r="P23" s="9">
        <f t="shared" si="13"/>
        <v>311.43867187499836</v>
      </c>
      <c r="Q23" s="9">
        <f t="shared" si="8"/>
        <v>265.22542852401057</v>
      </c>
      <c r="R23" s="9">
        <f t="shared" si="9"/>
        <v>633.23855830517971</v>
      </c>
      <c r="S23" s="9"/>
    </row>
    <row r="24" spans="2:22" x14ac:dyDescent="0.25">
      <c r="B24" s="6">
        <v>5</v>
      </c>
      <c r="C24" s="10">
        <f t="shared" si="10"/>
        <v>2549.9549954995496</v>
      </c>
      <c r="D24" s="16">
        <f t="shared" si="0"/>
        <v>5.5E-2</v>
      </c>
      <c r="E24" s="9">
        <f t="shared" si="1"/>
        <v>2690.2025202520244</v>
      </c>
      <c r="F24" s="9">
        <f t="shared" si="2"/>
        <v>140.24752475247487</v>
      </c>
      <c r="G24" s="9">
        <f t="shared" si="3"/>
        <v>750.74257425742462</v>
      </c>
      <c r="H24" s="9">
        <f t="shared" si="11"/>
        <v>90.009000900090086</v>
      </c>
      <c r="I24" s="9">
        <f t="shared" si="4"/>
        <v>450.04500450045043</v>
      </c>
      <c r="J24" s="9">
        <f t="shared" si="5"/>
        <v>0</v>
      </c>
      <c r="K24" s="9">
        <f t="shared" si="14"/>
        <v>0</v>
      </c>
      <c r="L24" s="9">
        <f t="shared" si="6"/>
        <v>230.25652565256496</v>
      </c>
      <c r="M24" s="9">
        <f t="shared" si="7"/>
        <v>185.86692276134332</v>
      </c>
      <c r="N24" s="9">
        <f>SUM($M$20:M24)</f>
        <v>1084.3309095905336</v>
      </c>
      <c r="O24" s="9">
        <f t="shared" si="12"/>
        <v>3394.224638671873</v>
      </c>
      <c r="P24" s="9">
        <f t="shared" si="13"/>
        <v>394.22463867187298</v>
      </c>
      <c r="Q24" s="9">
        <f t="shared" si="8"/>
        <v>318.22472895819647</v>
      </c>
      <c r="R24" s="9">
        <f t="shared" si="9"/>
        <v>766.1061806323371</v>
      </c>
      <c r="S24" s="9"/>
    </row>
    <row r="25" spans="2:22" x14ac:dyDescent="0.25">
      <c r="B25" s="6">
        <v>6</v>
      </c>
      <c r="C25" s="10">
        <f t="shared" si="10"/>
        <v>2459.9459945994595</v>
      </c>
      <c r="D25" s="16">
        <f t="shared" si="0"/>
        <v>5.5E-2</v>
      </c>
      <c r="E25" s="9">
        <f t="shared" si="1"/>
        <v>2595.2430243024296</v>
      </c>
      <c r="F25" s="9">
        <f t="shared" si="2"/>
        <v>135.29702970297012</v>
      </c>
      <c r="G25" s="9">
        <f>G24+F25</f>
        <v>886.03960396039474</v>
      </c>
      <c r="H25" s="9">
        <f t="shared" si="11"/>
        <v>90.009000900090086</v>
      </c>
      <c r="I25" s="9">
        <f t="shared" si="4"/>
        <v>540.05400540054052</v>
      </c>
      <c r="J25" s="9">
        <f t="shared" si="5"/>
        <v>0</v>
      </c>
      <c r="K25" s="9">
        <f t="shared" si="14"/>
        <v>0</v>
      </c>
      <c r="L25" s="9">
        <f t="shared" si="6"/>
        <v>225.30603060306021</v>
      </c>
      <c r="M25" s="9">
        <f t="shared" si="7"/>
        <v>172.38938414194163</v>
      </c>
      <c r="N25" s="9">
        <f>SUM($M$20:M25)</f>
        <v>1256.7202937324753</v>
      </c>
      <c r="O25" s="9">
        <f t="shared" si="12"/>
        <v>3479.0802546386694</v>
      </c>
      <c r="P25" s="9">
        <f t="shared" si="13"/>
        <v>479.08025463866943</v>
      </c>
      <c r="Q25" s="9">
        <f t="shared" si="8"/>
        <v>366.56076107091582</v>
      </c>
      <c r="R25" s="9">
        <f t="shared" si="9"/>
        <v>890.15953266155952</v>
      </c>
      <c r="S25" s="9"/>
    </row>
    <row r="26" spans="2:22" x14ac:dyDescent="0.25">
      <c r="B26" s="6">
        <v>7</v>
      </c>
      <c r="C26" s="10">
        <f t="shared" si="10"/>
        <v>2369.9369936993694</v>
      </c>
      <c r="D26" s="16">
        <f t="shared" si="0"/>
        <v>5.5E-2</v>
      </c>
      <c r="E26" s="9">
        <f t="shared" si="1"/>
        <v>2500.2835283528348</v>
      </c>
      <c r="F26" s="9">
        <f t="shared" si="2"/>
        <v>130.34653465346537</v>
      </c>
      <c r="G26" s="9">
        <f t="shared" si="3"/>
        <v>1016.3861386138601</v>
      </c>
      <c r="H26" s="9">
        <f t="shared" si="11"/>
        <v>90.009000900090086</v>
      </c>
      <c r="I26" s="9">
        <f t="shared" si="4"/>
        <v>630.0630063006306</v>
      </c>
      <c r="J26" s="9">
        <f t="shared" si="5"/>
        <v>0</v>
      </c>
      <c r="K26" s="9">
        <f t="shared" si="14"/>
        <v>0</v>
      </c>
      <c r="L26" s="9">
        <f t="shared" si="6"/>
        <v>220.35553555355546</v>
      </c>
      <c r="M26" s="9">
        <f t="shared" si="7"/>
        <v>159.81193394411943</v>
      </c>
      <c r="N26" s="9">
        <f>SUM($M$20:M26)</f>
        <v>1416.5322276765946</v>
      </c>
      <c r="O26" s="9">
        <f t="shared" si="12"/>
        <v>3566.0572610046361</v>
      </c>
      <c r="P26" s="9">
        <f t="shared" si="13"/>
        <v>566.05726100463608</v>
      </c>
      <c r="Q26" s="9">
        <f t="shared" si="8"/>
        <v>410.53066979692881</v>
      </c>
      <c r="R26" s="9">
        <f t="shared" si="9"/>
        <v>1006.0015578796658</v>
      </c>
      <c r="S26" s="9"/>
    </row>
    <row r="27" spans="2:22" x14ac:dyDescent="0.25">
      <c r="B27" s="6">
        <v>8</v>
      </c>
      <c r="C27" s="10">
        <f t="shared" si="10"/>
        <v>2279.9279927992793</v>
      </c>
      <c r="D27" s="16">
        <f t="shared" si="0"/>
        <v>5.5E-2</v>
      </c>
      <c r="E27" s="9">
        <f t="shared" si="1"/>
        <v>2405.3240324032395</v>
      </c>
      <c r="F27" s="9">
        <f t="shared" si="2"/>
        <v>125.39603960396016</v>
      </c>
      <c r="G27" s="9">
        <f t="shared" si="3"/>
        <v>1141.7821782178203</v>
      </c>
      <c r="H27" s="9">
        <f t="shared" si="11"/>
        <v>90.009000900090086</v>
      </c>
      <c r="I27" s="9">
        <f t="shared" si="4"/>
        <v>720.07200720072069</v>
      </c>
      <c r="J27" s="9">
        <f t="shared" si="5"/>
        <v>0</v>
      </c>
      <c r="K27" s="9">
        <f t="shared" si="14"/>
        <v>0</v>
      </c>
      <c r="L27" s="9">
        <f t="shared" si="6"/>
        <v>215.40504050405025</v>
      </c>
      <c r="M27" s="9">
        <f t="shared" si="7"/>
        <v>148.07735359057526</v>
      </c>
      <c r="N27" s="9">
        <f>SUM($M$20:M27)</f>
        <v>1564.6095812671699</v>
      </c>
      <c r="O27" s="9">
        <f t="shared" si="12"/>
        <v>3655.2086925297517</v>
      </c>
      <c r="P27" s="9">
        <f t="shared" si="13"/>
        <v>655.20869252975172</v>
      </c>
      <c r="Q27" s="9">
        <f t="shared" si="8"/>
        <v>450.41457252957025</v>
      </c>
      <c r="R27" s="9">
        <f t="shared" si="9"/>
        <v>1114.1950087375997</v>
      </c>
      <c r="S27" s="9"/>
    </row>
    <row r="28" spans="2:22" x14ac:dyDescent="0.25">
      <c r="B28" s="6">
        <v>9</v>
      </c>
      <c r="C28" s="10">
        <f t="shared" si="10"/>
        <v>2189.9189918991892</v>
      </c>
      <c r="D28" s="16">
        <f t="shared" si="0"/>
        <v>5.5E-2</v>
      </c>
      <c r="E28" s="9">
        <f t="shared" si="1"/>
        <v>2310.3645364536446</v>
      </c>
      <c r="F28" s="9">
        <f t="shared" si="2"/>
        <v>120.44554455445541</v>
      </c>
      <c r="G28" s="9">
        <f t="shared" si="3"/>
        <v>1262.2277227722757</v>
      </c>
      <c r="H28" s="9">
        <f t="shared" si="11"/>
        <v>90.009000900090086</v>
      </c>
      <c r="I28" s="9">
        <f t="shared" si="4"/>
        <v>810.08100810081078</v>
      </c>
      <c r="J28" s="9">
        <f t="shared" si="5"/>
        <v>0</v>
      </c>
      <c r="K28" s="9">
        <f t="shared" si="14"/>
        <v>0</v>
      </c>
      <c r="L28" s="9">
        <f t="shared" si="6"/>
        <v>210.4545454545455</v>
      </c>
      <c r="M28" s="9">
        <f t="shared" si="7"/>
        <v>137.13194414500543</v>
      </c>
      <c r="N28" s="9">
        <f>SUM($M$20:M28)</f>
        <v>1701.7415254121754</v>
      </c>
      <c r="O28" s="9">
        <f t="shared" si="12"/>
        <v>3746.5889098429952</v>
      </c>
      <c r="P28" s="9">
        <f t="shared" si="13"/>
        <v>746.58890984299524</v>
      </c>
      <c r="Q28" s="9">
        <f t="shared" si="8"/>
        <v>486.47649050651023</v>
      </c>
      <c r="R28" s="9">
        <f t="shared" si="9"/>
        <v>1215.2650349056653</v>
      </c>
      <c r="S28" s="9"/>
    </row>
    <row r="29" spans="2:22" x14ac:dyDescent="0.25">
      <c r="B29" s="6">
        <v>10</v>
      </c>
      <c r="C29" s="10">
        <f t="shared" si="10"/>
        <v>2099.9099909990991</v>
      </c>
      <c r="D29" s="16">
        <f t="shared" si="0"/>
        <v>5.5E-2</v>
      </c>
      <c r="E29" s="9">
        <f t="shared" si="1"/>
        <v>2215.4050405040493</v>
      </c>
      <c r="F29" s="9">
        <f t="shared" si="2"/>
        <v>115.4950495049502</v>
      </c>
      <c r="G29" s="9">
        <f t="shared" si="3"/>
        <v>1377.7227722772259</v>
      </c>
      <c r="H29" s="9">
        <f t="shared" si="11"/>
        <v>90.009000900090086</v>
      </c>
      <c r="I29" s="9">
        <f t="shared" si="4"/>
        <v>900.09000900090086</v>
      </c>
      <c r="J29" s="9">
        <f t="shared" si="5"/>
        <v>0</v>
      </c>
      <c r="K29" s="9">
        <f t="shared" si="14"/>
        <v>0</v>
      </c>
      <c r="L29" s="9">
        <f t="shared" si="6"/>
        <v>205.50405040504029</v>
      </c>
      <c r="M29" s="9">
        <f t="shared" si="7"/>
        <v>126.92531484502676</v>
      </c>
      <c r="N29" s="9">
        <f>SUM($M$20:M29)</f>
        <v>1828.6668402572022</v>
      </c>
      <c r="O29" s="9">
        <f t="shared" si="12"/>
        <v>3840.2536325890696</v>
      </c>
      <c r="P29" s="9">
        <f t="shared" si="13"/>
        <v>840.25363258906964</v>
      </c>
      <c r="Q29" s="9">
        <f t="shared" si="8"/>
        <v>518.96523039737315</v>
      </c>
      <c r="R29" s="9">
        <f t="shared" si="9"/>
        <v>1309.7016098598292</v>
      </c>
      <c r="S29" s="9"/>
      <c r="T29" s="37"/>
      <c r="U29" s="10"/>
      <c r="V29" s="10"/>
    </row>
    <row r="30" spans="2:22" x14ac:dyDescent="0.25">
      <c r="B30" s="6">
        <v>11</v>
      </c>
      <c r="C30" s="10">
        <f t="shared" si="10"/>
        <v>2009.9009900990091</v>
      </c>
      <c r="D30" s="16">
        <f t="shared" si="0"/>
        <v>5.5E-2</v>
      </c>
      <c r="E30" s="9">
        <f t="shared" si="1"/>
        <v>2120.4455445544545</v>
      </c>
      <c r="F30" s="9">
        <f t="shared" si="2"/>
        <v>110.54455445544545</v>
      </c>
      <c r="G30" s="9">
        <f t="shared" si="3"/>
        <v>1488.2673267326713</v>
      </c>
      <c r="H30" s="9">
        <f t="shared" si="11"/>
        <v>90.009000900090086</v>
      </c>
      <c r="I30" s="9">
        <f t="shared" si="4"/>
        <v>990.09900990099095</v>
      </c>
      <c r="J30" s="9">
        <f t="shared" si="5"/>
        <v>0</v>
      </c>
      <c r="K30" s="9">
        <f t="shared" si="14"/>
        <v>0</v>
      </c>
      <c r="L30" s="9">
        <f t="shared" si="6"/>
        <v>200.55355535553554</v>
      </c>
      <c r="M30" s="9">
        <f t="shared" si="7"/>
        <v>117.41018411805784</v>
      </c>
      <c r="N30" s="9">
        <f>SUM($M$20:M30)</f>
        <v>1946.0770243752602</v>
      </c>
      <c r="O30" s="9">
        <f t="shared" si="12"/>
        <v>3936.2599734037958</v>
      </c>
      <c r="P30" s="9">
        <f t="shared" si="13"/>
        <v>936.25997340379581</v>
      </c>
      <c r="Q30" s="9">
        <f t="shared" si="8"/>
        <v>548.11521872466017</v>
      </c>
      <c r="R30" s="9">
        <f t="shared" si="9"/>
        <v>1397.9618056506001</v>
      </c>
    </row>
    <row r="31" spans="2:22" x14ac:dyDescent="0.25">
      <c r="B31" s="6">
        <v>12</v>
      </c>
      <c r="C31" s="10">
        <f t="shared" si="10"/>
        <v>1919.891989198919</v>
      </c>
      <c r="D31" s="16">
        <f t="shared" si="0"/>
        <v>5.5E-2</v>
      </c>
      <c r="E31" s="9">
        <f t="shared" si="1"/>
        <v>2025.4860486048594</v>
      </c>
      <c r="F31" s="9">
        <f t="shared" si="2"/>
        <v>105.59405940594047</v>
      </c>
      <c r="G31" s="9">
        <f t="shared" si="3"/>
        <v>1593.8613861386118</v>
      </c>
      <c r="H31" s="9">
        <f t="shared" si="11"/>
        <v>90.009000900090086</v>
      </c>
      <c r="I31" s="9">
        <f t="shared" si="4"/>
        <v>1080.108010801081</v>
      </c>
      <c r="J31" s="9">
        <f t="shared" si="5"/>
        <v>0</v>
      </c>
      <c r="K31" s="9">
        <f t="shared" si="14"/>
        <v>0</v>
      </c>
      <c r="L31" s="9">
        <f t="shared" si="6"/>
        <v>195.60306030603056</v>
      </c>
      <c r="M31" s="9">
        <f t="shared" si="7"/>
        <v>108.542192353339</v>
      </c>
      <c r="N31" s="9">
        <f>SUM($M$20:M31)</f>
        <v>2054.619216728599</v>
      </c>
      <c r="O31" s="9">
        <f t="shared" si="12"/>
        <v>4034.6664727388902</v>
      </c>
      <c r="P31" s="9">
        <f t="shared" si="13"/>
        <v>1034.6664727388902</v>
      </c>
      <c r="Q31" s="9">
        <f t="shared" si="8"/>
        <v>574.14729161122943</v>
      </c>
      <c r="R31" s="9">
        <f t="shared" si="9"/>
        <v>1480.4719251173697</v>
      </c>
    </row>
    <row r="32" spans="2:22" x14ac:dyDescent="0.25">
      <c r="B32" s="6">
        <v>13</v>
      </c>
      <c r="C32" s="10">
        <f t="shared" si="10"/>
        <v>1829.8829882988289</v>
      </c>
      <c r="D32" s="16">
        <f t="shared" si="0"/>
        <v>5.5E-2</v>
      </c>
      <c r="E32" s="9">
        <f t="shared" si="1"/>
        <v>1930.5265526552644</v>
      </c>
      <c r="F32" s="9">
        <f t="shared" si="2"/>
        <v>100.64356435643549</v>
      </c>
      <c r="G32" s="9">
        <f t="shared" si="3"/>
        <v>1694.5049504950473</v>
      </c>
      <c r="H32" s="9">
        <f t="shared" si="11"/>
        <v>90.009000900090086</v>
      </c>
      <c r="I32" s="9">
        <f t="shared" si="4"/>
        <v>1170.1170117011711</v>
      </c>
      <c r="J32" s="9">
        <f t="shared" si="5"/>
        <v>0</v>
      </c>
      <c r="K32" s="9">
        <f t="shared" si="14"/>
        <v>0</v>
      </c>
      <c r="L32" s="9">
        <f t="shared" si="6"/>
        <v>190.65256525652558</v>
      </c>
      <c r="M32" s="9">
        <f t="shared" si="7"/>
        <v>100.2797257451427</v>
      </c>
      <c r="N32" s="9">
        <f>SUM($M$20:M32)</f>
        <v>2154.8989424737415</v>
      </c>
      <c r="O32" s="9">
        <f t="shared" si="12"/>
        <v>4135.5331345573622</v>
      </c>
      <c r="P32" s="9">
        <f t="shared" si="13"/>
        <v>1135.5331345573622</v>
      </c>
      <c r="Q32" s="9">
        <f t="shared" si="8"/>
        <v>597.26944221662905</v>
      </c>
      <c r="R32" s="9">
        <f t="shared" si="9"/>
        <v>1557.6295002571123</v>
      </c>
    </row>
    <row r="33" spans="2:18" x14ac:dyDescent="0.25">
      <c r="B33" s="6">
        <v>14</v>
      </c>
      <c r="C33" s="10">
        <f t="shared" si="10"/>
        <v>1739.8739873987388</v>
      </c>
      <c r="D33" s="16">
        <f t="shared" si="0"/>
        <v>5.5E-2</v>
      </c>
      <c r="E33" s="9">
        <f t="shared" si="1"/>
        <v>1835.5670567056693</v>
      </c>
      <c r="F33" s="9">
        <f t="shared" si="2"/>
        <v>95.693069306930511</v>
      </c>
      <c r="G33" s="9">
        <f t="shared" si="3"/>
        <v>1790.1980198019778</v>
      </c>
      <c r="H33" s="9">
        <f t="shared" si="11"/>
        <v>90.009000900090086</v>
      </c>
      <c r="I33" s="9">
        <f t="shared" si="4"/>
        <v>1260.1260126012612</v>
      </c>
      <c r="J33" s="9">
        <f t="shared" si="5"/>
        <v>0</v>
      </c>
      <c r="K33" s="9">
        <f t="shared" si="14"/>
        <v>0</v>
      </c>
      <c r="L33" s="9">
        <f t="shared" si="6"/>
        <v>185.7020702070206</v>
      </c>
      <c r="M33" s="9">
        <f t="shared" si="7"/>
        <v>92.5837505616784</v>
      </c>
      <c r="N33" s="9">
        <f>SUM($M$20:M33)</f>
        <v>2247.4826930354197</v>
      </c>
      <c r="O33" s="9">
        <f t="shared" si="12"/>
        <v>4238.9214629212956</v>
      </c>
      <c r="P33" s="9">
        <f t="shared" si="13"/>
        <v>1238.9214629212956</v>
      </c>
      <c r="Q33" s="9">
        <f t="shared" si="8"/>
        <v>617.67752810048353</v>
      </c>
      <c r="R33" s="9">
        <f t="shared" si="9"/>
        <v>1629.8051649349363</v>
      </c>
    </row>
    <row r="34" spans="2:18" x14ac:dyDescent="0.25">
      <c r="B34" s="6">
        <v>15</v>
      </c>
      <c r="C34" s="10">
        <f t="shared" si="10"/>
        <v>1649.8649864986487</v>
      </c>
      <c r="D34" s="16">
        <f t="shared" si="0"/>
        <v>5.5E-2</v>
      </c>
      <c r="E34" s="9">
        <f t="shared" si="1"/>
        <v>1740.6075607560742</v>
      </c>
      <c r="F34" s="9">
        <f t="shared" si="2"/>
        <v>90.742574257425531</v>
      </c>
      <c r="G34" s="9">
        <f t="shared" si="3"/>
        <v>1880.9405940594033</v>
      </c>
      <c r="H34" s="9">
        <f t="shared" si="11"/>
        <v>90.009000900090086</v>
      </c>
      <c r="I34" s="9">
        <f t="shared" si="4"/>
        <v>1350.1350135013513</v>
      </c>
      <c r="J34" s="9">
        <f t="shared" si="5"/>
        <v>0</v>
      </c>
      <c r="K34" s="9">
        <f t="shared" si="14"/>
        <v>0</v>
      </c>
      <c r="L34" s="9">
        <f t="shared" si="6"/>
        <v>180.75157515751562</v>
      </c>
      <c r="M34" s="9">
        <f t="shared" si="7"/>
        <v>85.417657231417721</v>
      </c>
      <c r="N34" s="9">
        <f>SUM($M$20:M34)</f>
        <v>2332.9003502668374</v>
      </c>
      <c r="O34" s="9">
        <f t="shared" si="12"/>
        <v>4344.8944994943276</v>
      </c>
      <c r="P34" s="9">
        <f t="shared" si="13"/>
        <v>1344.8944994943276</v>
      </c>
      <c r="Q34" s="9">
        <f t="shared" si="8"/>
        <v>635.55594063352191</v>
      </c>
      <c r="R34" s="9">
        <f>N34-Q34</f>
        <v>1697.3444096333155</v>
      </c>
    </row>
    <row r="35" spans="2:18" x14ac:dyDescent="0.25">
      <c r="B35" s="6">
        <v>16</v>
      </c>
      <c r="C35" s="10">
        <f t="shared" si="10"/>
        <v>1559.8559855985586</v>
      </c>
      <c r="D35" s="16">
        <f t="shared" si="0"/>
        <v>5.5E-2</v>
      </c>
      <c r="E35" s="9">
        <f t="shared" si="1"/>
        <v>1645.6480648064792</v>
      </c>
      <c r="F35" s="9">
        <f t="shared" si="2"/>
        <v>85.792079207920551</v>
      </c>
      <c r="G35" s="9">
        <f t="shared" si="3"/>
        <v>1966.7326732673239</v>
      </c>
      <c r="H35" s="9">
        <f t="shared" si="11"/>
        <v>90.009000900090086</v>
      </c>
      <c r="I35" s="9">
        <f t="shared" si="4"/>
        <v>1440.1440144014414</v>
      </c>
      <c r="J35" s="9">
        <f t="shared" si="5"/>
        <v>0</v>
      </c>
      <c r="K35" s="9">
        <f t="shared" si="14"/>
        <v>0</v>
      </c>
      <c r="L35" s="9">
        <f t="shared" si="6"/>
        <v>175.80108010801064</v>
      </c>
      <c r="M35" s="9">
        <f t="shared" si="7"/>
        <v>78.74711367364884</v>
      </c>
      <c r="N35" s="9">
        <f>SUM($M$20:M35)</f>
        <v>2411.6474639404864</v>
      </c>
      <c r="O35" s="9">
        <f t="shared" si="12"/>
        <v>4453.5168619816859</v>
      </c>
      <c r="P35" s="9">
        <f t="shared" si="13"/>
        <v>1453.5168619816859</v>
      </c>
      <c r="Q35" s="9">
        <f t="shared" si="8"/>
        <v>651.07823846539395</v>
      </c>
      <c r="R35" s="9">
        <f t="shared" si="9"/>
        <v>1760.5692254750925</v>
      </c>
    </row>
    <row r="36" spans="2:18" x14ac:dyDescent="0.25">
      <c r="B36" s="6">
        <v>17</v>
      </c>
      <c r="C36" s="10">
        <f t="shared" si="10"/>
        <v>1469.8469846984685</v>
      </c>
      <c r="D36" s="16">
        <f t="shared" si="0"/>
        <v>5.5E-2</v>
      </c>
      <c r="E36" s="9">
        <f t="shared" si="1"/>
        <v>1550.6885688568841</v>
      </c>
      <c r="F36" s="9">
        <f t="shared" si="2"/>
        <v>80.841584158415571</v>
      </c>
      <c r="G36" s="9">
        <f t="shared" si="3"/>
        <v>2047.5742574257395</v>
      </c>
      <c r="H36" s="9">
        <f t="shared" si="11"/>
        <v>90.009000900090086</v>
      </c>
      <c r="I36" s="9">
        <f t="shared" si="4"/>
        <v>1530.1530153015315</v>
      </c>
      <c r="J36" s="9">
        <f t="shared" si="5"/>
        <v>0</v>
      </c>
      <c r="K36" s="9">
        <f t="shared" si="14"/>
        <v>0</v>
      </c>
      <c r="L36" s="9">
        <f t="shared" si="6"/>
        <v>170.85058505850566</v>
      </c>
      <c r="M36" s="9">
        <f t="shared" si="7"/>
        <v>72.539927333151837</v>
      </c>
      <c r="N36" s="9">
        <f>SUM($M$20:M36)</f>
        <v>2484.1873912736382</v>
      </c>
      <c r="O36" s="9">
        <f t="shared" si="12"/>
        <v>4564.8547835312274</v>
      </c>
      <c r="P36" s="9">
        <f t="shared" si="13"/>
        <v>1564.8547835312274</v>
      </c>
      <c r="Q36" s="9">
        <f t="shared" si="8"/>
        <v>664.40774695280481</v>
      </c>
      <c r="R36" s="9">
        <f t="shared" si="9"/>
        <v>1819.7796443208335</v>
      </c>
    </row>
    <row r="37" spans="2:18" x14ac:dyDescent="0.25">
      <c r="B37" s="6">
        <v>18</v>
      </c>
      <c r="C37" s="10">
        <f t="shared" si="10"/>
        <v>1379.8379837983784</v>
      </c>
      <c r="D37" s="16">
        <f t="shared" si="0"/>
        <v>5.5E-2</v>
      </c>
      <c r="E37" s="9">
        <f t="shared" si="1"/>
        <v>1455.7290729072893</v>
      </c>
      <c r="F37" s="9">
        <f t="shared" si="2"/>
        <v>75.891089108910819</v>
      </c>
      <c r="G37" s="9">
        <f t="shared" si="3"/>
        <v>2123.4653465346501</v>
      </c>
      <c r="H37" s="9">
        <f t="shared" si="11"/>
        <v>90.009000900090086</v>
      </c>
      <c r="I37" s="9">
        <f t="shared" si="4"/>
        <v>1620.1620162016216</v>
      </c>
      <c r="J37" s="9">
        <f t="shared" si="5"/>
        <v>0</v>
      </c>
      <c r="K37" s="9">
        <f t="shared" si="14"/>
        <v>0</v>
      </c>
      <c r="L37" s="9">
        <f t="shared" si="6"/>
        <v>165.90009000900091</v>
      </c>
      <c r="M37" s="9">
        <f t="shared" si="7"/>
        <v>66.765915410077625</v>
      </c>
      <c r="N37" s="9">
        <f>SUM($M$20:M37)</f>
        <v>2550.9533066837157</v>
      </c>
      <c r="O37" s="9">
        <f t="shared" si="12"/>
        <v>4678.9761531195081</v>
      </c>
      <c r="P37" s="9">
        <f t="shared" si="13"/>
        <v>1678.9761531195081</v>
      </c>
      <c r="Q37" s="9">
        <f t="shared" si="8"/>
        <v>675.69812535142512</v>
      </c>
      <c r="R37" s="9">
        <f t="shared" si="9"/>
        <v>1875.2551813322907</v>
      </c>
    </row>
    <row r="38" spans="2:18" x14ac:dyDescent="0.25">
      <c r="B38" s="6">
        <v>19</v>
      </c>
      <c r="C38" s="10">
        <f t="shared" si="10"/>
        <v>1289.8289828982884</v>
      </c>
      <c r="D38" s="16">
        <f t="shared" si="0"/>
        <v>5.5E-2</v>
      </c>
      <c r="E38" s="9">
        <f t="shared" si="1"/>
        <v>1360.7695769576942</v>
      </c>
      <c r="F38" s="9">
        <f t="shared" si="2"/>
        <v>70.940594059405839</v>
      </c>
      <c r="G38" s="9">
        <f t="shared" si="3"/>
        <v>2194.4059405940561</v>
      </c>
      <c r="H38" s="9">
        <f t="shared" si="11"/>
        <v>90.009000900090086</v>
      </c>
      <c r="I38" s="9">
        <f t="shared" si="4"/>
        <v>1710.1710171017116</v>
      </c>
      <c r="J38" s="9">
        <f t="shared" si="5"/>
        <v>0</v>
      </c>
      <c r="K38" s="9">
        <f t="shared" si="14"/>
        <v>0</v>
      </c>
      <c r="L38" s="9">
        <f t="shared" si="6"/>
        <v>160.94959495949593</v>
      </c>
      <c r="M38" s="9">
        <f t="shared" si="7"/>
        <v>61.39678280551815</v>
      </c>
      <c r="N38" s="9">
        <f>SUM($M$20:M38)</f>
        <v>2612.3500894892341</v>
      </c>
      <c r="O38" s="9">
        <f t="shared" si="12"/>
        <v>4795.950556947495</v>
      </c>
      <c r="P38" s="9">
        <f t="shared" si="13"/>
        <v>1795.950556947495</v>
      </c>
      <c r="Q38" s="9">
        <f t="shared" si="8"/>
        <v>685.09390348017837</v>
      </c>
      <c r="R38" s="9">
        <f t="shared" si="9"/>
        <v>1927.2561860090557</v>
      </c>
    </row>
    <row r="39" spans="2:18" x14ac:dyDescent="0.25">
      <c r="B39" s="6">
        <v>20</v>
      </c>
      <c r="C39" s="10">
        <f t="shared" si="10"/>
        <v>1199.8199819981983</v>
      </c>
      <c r="D39" s="16">
        <f t="shared" si="0"/>
        <v>5.5E-2</v>
      </c>
      <c r="E39" s="9">
        <f t="shared" si="1"/>
        <v>1265.8100810080991</v>
      </c>
      <c r="F39" s="9">
        <f t="shared" si="2"/>
        <v>65.99009900990086</v>
      </c>
      <c r="G39" s="9">
        <f t="shared" si="3"/>
        <v>2260.396039603957</v>
      </c>
      <c r="H39" s="9">
        <f t="shared" si="11"/>
        <v>90.009000900090086</v>
      </c>
      <c r="I39" s="9">
        <f t="shared" si="4"/>
        <v>1800.1800180018017</v>
      </c>
      <c r="J39" s="9">
        <f t="shared" si="5"/>
        <v>0</v>
      </c>
      <c r="K39" s="9">
        <f t="shared" si="14"/>
        <v>0</v>
      </c>
      <c r="L39" s="9">
        <f t="shared" si="6"/>
        <v>155.99909990999095</v>
      </c>
      <c r="M39" s="9">
        <f t="shared" si="7"/>
        <v>56.406007330981502</v>
      </c>
      <c r="N39" s="9">
        <f>SUM($M$20:M39)</f>
        <v>2668.7560968202156</v>
      </c>
      <c r="O39" s="9">
        <f t="shared" si="12"/>
        <v>4915.8493208711816</v>
      </c>
      <c r="P39" s="9">
        <f t="shared" si="13"/>
        <v>1915.8493208711816</v>
      </c>
      <c r="Q39" s="9">
        <f t="shared" si="8"/>
        <v>692.7309894766563</v>
      </c>
      <c r="R39" s="9">
        <f t="shared" si="9"/>
        <v>1976.0251073435593</v>
      </c>
    </row>
    <row r="40" spans="2:18" x14ac:dyDescent="0.25">
      <c r="B40" s="6">
        <v>21</v>
      </c>
      <c r="C40" s="10">
        <f t="shared" si="10"/>
        <v>1109.8109810981082</v>
      </c>
      <c r="D40" s="16">
        <f t="shared" si="0"/>
        <v>5.5E-2</v>
      </c>
      <c r="E40" s="9">
        <f t="shared" si="1"/>
        <v>1170.8505850585041</v>
      </c>
      <c r="F40" s="9">
        <f t="shared" si="2"/>
        <v>61.03960396039588</v>
      </c>
      <c r="G40" s="9">
        <f t="shared" si="3"/>
        <v>2321.4356435643531</v>
      </c>
      <c r="H40" s="9">
        <f t="shared" si="11"/>
        <v>90.009000900090086</v>
      </c>
      <c r="I40" s="9">
        <f t="shared" si="4"/>
        <v>1890.1890189018918</v>
      </c>
      <c r="J40" s="9">
        <f t="shared" si="5"/>
        <v>0</v>
      </c>
      <c r="K40" s="9">
        <f t="shared" si="14"/>
        <v>0</v>
      </c>
      <c r="L40" s="9">
        <f t="shared" si="6"/>
        <v>151.04860486048597</v>
      </c>
      <c r="M40" s="9">
        <f t="shared" si="7"/>
        <v>51.768731756117617</v>
      </c>
      <c r="N40" s="9">
        <f>SUM($M$20:M40)</f>
        <v>2720.5248285763332</v>
      </c>
      <c r="O40" s="9">
        <f t="shared" si="12"/>
        <v>5038.7455538929607</v>
      </c>
      <c r="P40" s="9">
        <f t="shared" si="13"/>
        <v>2038.7455538929607</v>
      </c>
      <c r="Q40" s="9">
        <f t="shared" si="8"/>
        <v>698.7371501772277</v>
      </c>
      <c r="R40" s="9">
        <f t="shared" si="9"/>
        <v>2021.7876783991055</v>
      </c>
    </row>
    <row r="41" spans="2:18" x14ac:dyDescent="0.25">
      <c r="B41" s="6">
        <v>22</v>
      </c>
      <c r="C41" s="10">
        <f t="shared" si="10"/>
        <v>1019.8019801980182</v>
      </c>
      <c r="D41" s="16">
        <f t="shared" si="0"/>
        <v>5.5E-2</v>
      </c>
      <c r="E41" s="9">
        <f t="shared" si="1"/>
        <v>1075.8910891089092</v>
      </c>
      <c r="F41" s="9">
        <f t="shared" si="2"/>
        <v>56.089108910891014</v>
      </c>
      <c r="G41" s="9">
        <f t="shared" si="3"/>
        <v>2377.524752475244</v>
      </c>
      <c r="H41" s="9">
        <f t="shared" si="11"/>
        <v>90.009000900089973</v>
      </c>
      <c r="I41" s="9">
        <f t="shared" si="4"/>
        <v>1980.1980198019819</v>
      </c>
      <c r="J41" s="9">
        <f t="shared" si="5"/>
        <v>0</v>
      </c>
      <c r="K41" s="9">
        <f t="shared" si="14"/>
        <v>0</v>
      </c>
      <c r="L41" s="9">
        <f t="shared" si="6"/>
        <v>146.09810981098099</v>
      </c>
      <c r="M41" s="9">
        <f t="shared" si="7"/>
        <v>47.46166229368314</v>
      </c>
      <c r="N41" s="9">
        <f>SUM($M$20:M41)</f>
        <v>2767.9864908700165</v>
      </c>
      <c r="O41" s="9">
        <f t="shared" si="12"/>
        <v>5164.7141927402845</v>
      </c>
      <c r="P41" s="9">
        <f t="shared" si="13"/>
        <v>2164.7141927402845</v>
      </c>
      <c r="Q41" s="9">
        <f t="shared" si="8"/>
        <v>703.23246557471964</v>
      </c>
      <c r="R41" s="9">
        <f t="shared" si="9"/>
        <v>2064.7540252952967</v>
      </c>
    </row>
    <row r="42" spans="2:18" x14ac:dyDescent="0.25">
      <c r="B42" s="6">
        <v>23</v>
      </c>
      <c r="C42" s="10">
        <f t="shared" si="10"/>
        <v>929.79297929792824</v>
      </c>
      <c r="D42" s="16">
        <f t="shared" si="0"/>
        <v>5.5E-2</v>
      </c>
      <c r="E42" s="9">
        <f t="shared" si="1"/>
        <v>980.93159315931427</v>
      </c>
      <c r="F42" s="9">
        <f t="shared" si="2"/>
        <v>51.138613861386034</v>
      </c>
      <c r="G42" s="9">
        <f t="shared" si="3"/>
        <v>2428.6633663366301</v>
      </c>
      <c r="H42" s="9">
        <f t="shared" si="11"/>
        <v>90.009000900089973</v>
      </c>
      <c r="I42" s="9">
        <f t="shared" si="4"/>
        <v>2070.2070207020715</v>
      </c>
      <c r="J42" s="9">
        <f t="shared" si="5"/>
        <v>0</v>
      </c>
      <c r="K42" s="9">
        <f t="shared" si="14"/>
        <v>0</v>
      </c>
      <c r="L42" s="9">
        <f t="shared" si="6"/>
        <v>141.14761476147601</v>
      </c>
      <c r="M42" s="9">
        <f t="shared" si="7"/>
        <v>43.462973143957953</v>
      </c>
      <c r="N42" s="9">
        <f>SUM($M$20:M42)</f>
        <v>2811.4494640139746</v>
      </c>
      <c r="O42" s="9">
        <f t="shared" si="12"/>
        <v>5293.8320475587907</v>
      </c>
      <c r="P42" s="9">
        <f t="shared" si="13"/>
        <v>2293.8320475587907</v>
      </c>
      <c r="Q42" s="9">
        <f t="shared" si="8"/>
        <v>706.32975873006706</v>
      </c>
      <c r="R42" s="9">
        <f t="shared" si="9"/>
        <v>2105.1197052839075</v>
      </c>
    </row>
    <row r="43" spans="2:18" x14ac:dyDescent="0.25">
      <c r="B43" s="6">
        <v>24</v>
      </c>
      <c r="C43" s="10">
        <f t="shared" si="10"/>
        <v>839.78397839783827</v>
      </c>
      <c r="D43" s="16">
        <f t="shared" si="0"/>
        <v>5.5E-2</v>
      </c>
      <c r="E43" s="9">
        <f t="shared" si="1"/>
        <v>885.97209720971932</v>
      </c>
      <c r="F43" s="9">
        <f t="shared" si="2"/>
        <v>46.188118811881054</v>
      </c>
      <c r="G43" s="9">
        <f t="shared" si="3"/>
        <v>2474.8514851485111</v>
      </c>
      <c r="H43" s="9">
        <f t="shared" si="11"/>
        <v>90.009000900089973</v>
      </c>
      <c r="I43" s="9">
        <f t="shared" si="4"/>
        <v>2160.2160216021616</v>
      </c>
      <c r="J43" s="9">
        <f t="shared" si="5"/>
        <v>0</v>
      </c>
      <c r="K43" s="9">
        <f t="shared" si="14"/>
        <v>0</v>
      </c>
      <c r="L43" s="9">
        <f t="shared" si="6"/>
        <v>136.19711971197103</v>
      </c>
      <c r="M43" s="9">
        <f t="shared" si="7"/>
        <v>39.752216742721991</v>
      </c>
      <c r="N43" s="9">
        <f>SUM($M$20:M43)</f>
        <v>2851.2016807566965</v>
      </c>
      <c r="O43" s="9">
        <f t="shared" si="12"/>
        <v>5426.1778487477604</v>
      </c>
      <c r="P43" s="9">
        <f t="shared" si="13"/>
        <v>2426.1778487477604</v>
      </c>
      <c r="Q43" s="9">
        <f t="shared" si="8"/>
        <v>708.13500244186764</v>
      </c>
      <c r="R43" s="9">
        <f t="shared" si="9"/>
        <v>2143.066678314829</v>
      </c>
    </row>
    <row r="44" spans="2:18" x14ac:dyDescent="0.25">
      <c r="B44" s="6">
        <v>25</v>
      </c>
      <c r="C44" s="10">
        <f t="shared" si="10"/>
        <v>749.7749774977483</v>
      </c>
      <c r="D44" s="16">
        <f t="shared" si="0"/>
        <v>5.5E-2</v>
      </c>
      <c r="E44" s="9">
        <f t="shared" si="1"/>
        <v>791.01260126012437</v>
      </c>
      <c r="F44" s="9">
        <f t="shared" si="2"/>
        <v>41.237623762376074</v>
      </c>
      <c r="G44" s="9">
        <f t="shared" si="3"/>
        <v>2516.0891089108873</v>
      </c>
      <c r="H44" s="9">
        <f t="shared" si="11"/>
        <v>90.009000900089973</v>
      </c>
      <c r="I44" s="9">
        <f t="shared" si="4"/>
        <v>2250.2250225022517</v>
      </c>
      <c r="J44" s="9">
        <f t="shared" si="5"/>
        <v>0</v>
      </c>
      <c r="K44" s="9">
        <f t="shared" si="14"/>
        <v>0</v>
      </c>
      <c r="L44" s="9">
        <f t="shared" si="6"/>
        <v>131.24662466246605</v>
      </c>
      <c r="M44" s="9">
        <f t="shared" si="7"/>
        <v>36.310239377539091</v>
      </c>
      <c r="N44" s="9">
        <f>SUM($M$20:M44)</f>
        <v>2887.5119201342354</v>
      </c>
      <c r="O44" s="9">
        <f t="shared" si="12"/>
        <v>5561.8322949664544</v>
      </c>
      <c r="P44" s="9">
        <f t="shared" si="13"/>
        <v>2561.8322949664544</v>
      </c>
      <c r="Q44" s="9">
        <f t="shared" si="8"/>
        <v>708.74770390910021</v>
      </c>
      <c r="R44" s="9">
        <f t="shared" si="9"/>
        <v>2178.764216225135</v>
      </c>
    </row>
    <row r="45" spans="2:18" x14ac:dyDescent="0.25">
      <c r="B45" s="6">
        <v>26</v>
      </c>
      <c r="C45" s="10">
        <f t="shared" si="10"/>
        <v>659.76597659765832</v>
      </c>
      <c r="D45" s="16">
        <f t="shared" si="0"/>
        <v>5.5E-2</v>
      </c>
      <c r="E45" s="9">
        <f t="shared" si="1"/>
        <v>696.05310531052953</v>
      </c>
      <c r="F45" s="9">
        <f t="shared" si="2"/>
        <v>36.287128712871208</v>
      </c>
      <c r="G45" s="9">
        <f t="shared" si="3"/>
        <v>2552.3762376237582</v>
      </c>
      <c r="H45" s="9">
        <f t="shared" si="11"/>
        <v>90.009000900089973</v>
      </c>
      <c r="I45" s="9">
        <f t="shared" si="4"/>
        <v>2340.2340234023418</v>
      </c>
      <c r="J45" s="9">
        <f t="shared" si="5"/>
        <v>0</v>
      </c>
      <c r="K45" s="9">
        <f t="shared" si="14"/>
        <v>0</v>
      </c>
      <c r="L45" s="9">
        <f t="shared" si="6"/>
        <v>126.29612961296118</v>
      </c>
      <c r="M45" s="9">
        <f t="shared" si="7"/>
        <v>33.119101856549065</v>
      </c>
      <c r="N45" s="9">
        <f>SUM($M$20:M45)</f>
        <v>2920.6310219907846</v>
      </c>
      <c r="O45" s="9">
        <f t="shared" si="12"/>
        <v>5700.8781023406154</v>
      </c>
      <c r="P45" s="9">
        <f t="shared" si="13"/>
        <v>2700.8781023406154</v>
      </c>
      <c r="Q45" s="9">
        <f t="shared" si="8"/>
        <v>708.26126855721077</v>
      </c>
      <c r="R45" s="9">
        <f t="shared" si="9"/>
        <v>2212.3697534335738</v>
      </c>
    </row>
    <row r="46" spans="2:18" x14ac:dyDescent="0.25">
      <c r="B46" s="6">
        <v>27</v>
      </c>
      <c r="C46" s="10">
        <f t="shared" si="10"/>
        <v>569.75697569756835</v>
      </c>
      <c r="D46" s="16">
        <f t="shared" si="0"/>
        <v>5.5E-2</v>
      </c>
      <c r="E46" s="9">
        <f t="shared" si="1"/>
        <v>601.09360936093458</v>
      </c>
      <c r="F46" s="9">
        <f t="shared" si="2"/>
        <v>31.336633663366229</v>
      </c>
      <c r="G46" s="9">
        <f t="shared" si="3"/>
        <v>2583.7128712871245</v>
      </c>
      <c r="H46" s="9">
        <f t="shared" si="11"/>
        <v>90.009000900089973</v>
      </c>
      <c r="I46" s="9">
        <f t="shared" si="4"/>
        <v>2430.2430243024319</v>
      </c>
      <c r="J46" s="9">
        <f t="shared" si="5"/>
        <v>0</v>
      </c>
      <c r="K46" s="9">
        <f t="shared" si="14"/>
        <v>0</v>
      </c>
      <c r="L46" s="9">
        <f t="shared" si="6"/>
        <v>121.3456345634562</v>
      </c>
      <c r="M46" s="9">
        <f t="shared" si="7"/>
        <v>30.162004932305571</v>
      </c>
      <c r="N46" s="9">
        <f>SUM($M$20:M46)</f>
        <v>2950.7930269230901</v>
      </c>
      <c r="O46" s="9">
        <f t="shared" si="12"/>
        <v>5843.4000548991307</v>
      </c>
      <c r="P46" s="9">
        <f t="shared" si="13"/>
        <v>2843.4000548991307</v>
      </c>
      <c r="Q46" s="9">
        <f t="shared" si="8"/>
        <v>706.76334413610073</v>
      </c>
      <c r="R46" s="9">
        <f t="shared" si="9"/>
        <v>2244.0296827869893</v>
      </c>
    </row>
    <row r="47" spans="2:18" x14ac:dyDescent="0.25">
      <c r="B47" s="6">
        <v>28</v>
      </c>
      <c r="C47" s="10">
        <f t="shared" si="10"/>
        <v>479.74797479747832</v>
      </c>
      <c r="D47" s="16">
        <f t="shared" si="0"/>
        <v>5.5E-2</v>
      </c>
      <c r="E47" s="9">
        <f t="shared" si="1"/>
        <v>506.13411341133963</v>
      </c>
      <c r="F47" s="9">
        <f t="shared" si="2"/>
        <v>26.386138613861306</v>
      </c>
      <c r="G47" s="9">
        <f t="shared" si="3"/>
        <v>2610.0990099009859</v>
      </c>
      <c r="H47" s="9">
        <f t="shared" si="11"/>
        <v>90.00900090009003</v>
      </c>
      <c r="I47" s="9">
        <f t="shared" si="4"/>
        <v>2520.2520252025215</v>
      </c>
      <c r="J47" s="9">
        <f t="shared" si="5"/>
        <v>0</v>
      </c>
      <c r="K47" s="9">
        <f t="shared" si="14"/>
        <v>0</v>
      </c>
      <c r="L47" s="9">
        <f t="shared" si="6"/>
        <v>116.39513951395134</v>
      </c>
      <c r="M47" s="9">
        <f t="shared" si="7"/>
        <v>27.42321920048132</v>
      </c>
      <c r="N47" s="9">
        <f>SUM($M$20:M47)</f>
        <v>2978.2162461235716</v>
      </c>
      <c r="O47" s="9">
        <f t="shared" si="12"/>
        <v>5989.4850562716083</v>
      </c>
      <c r="P47" s="9">
        <f t="shared" si="13"/>
        <v>2989.4850562716083</v>
      </c>
      <c r="Q47" s="9">
        <f t="shared" si="8"/>
        <v>704.33614614013254</v>
      </c>
      <c r="R47" s="9">
        <f t="shared" si="9"/>
        <v>2273.8800999834393</v>
      </c>
    </row>
    <row r="48" spans="2:18" x14ac:dyDescent="0.25">
      <c r="B48" s="6">
        <v>29</v>
      </c>
      <c r="C48" s="10">
        <f t="shared" si="10"/>
        <v>389.73897389738829</v>
      </c>
      <c r="D48" s="16">
        <f t="shared" si="0"/>
        <v>5.5E-2</v>
      </c>
      <c r="E48" s="9">
        <f t="shared" si="1"/>
        <v>411.17461746174462</v>
      </c>
      <c r="F48" s="9">
        <f t="shared" si="2"/>
        <v>21.435643564356326</v>
      </c>
      <c r="G48" s="9">
        <f t="shared" si="3"/>
        <v>2631.5346534653422</v>
      </c>
      <c r="H48" s="9">
        <f t="shared" si="11"/>
        <v>90.00900090009003</v>
      </c>
      <c r="I48" s="9">
        <f t="shared" si="4"/>
        <v>2610.2610261026116</v>
      </c>
      <c r="J48" s="9">
        <f t="shared" si="5"/>
        <v>0</v>
      </c>
      <c r="K48" s="9">
        <f t="shared" si="14"/>
        <v>0</v>
      </c>
      <c r="L48" s="9">
        <f t="shared" si="6"/>
        <v>111.44464446444636</v>
      </c>
      <c r="M48" s="9">
        <f t="shared" si="7"/>
        <v>24.888019209550531</v>
      </c>
      <c r="N48" s="9">
        <f>SUM($M$20:M48)</f>
        <v>3003.1042653331224</v>
      </c>
      <c r="O48" s="9">
        <f t="shared" si="12"/>
        <v>6139.222182678398</v>
      </c>
      <c r="P48" s="9">
        <f t="shared" si="13"/>
        <v>3139.222182678398</v>
      </c>
      <c r="Q48" s="9">
        <f t="shared" si="8"/>
        <v>701.05676554490913</v>
      </c>
      <c r="R48" s="9">
        <f t="shared" si="9"/>
        <v>2302.0474997882134</v>
      </c>
    </row>
    <row r="49" spans="2:18" x14ac:dyDescent="0.25">
      <c r="B49" s="6">
        <v>30</v>
      </c>
      <c r="C49" s="10">
        <f t="shared" si="10"/>
        <v>299.72997299729826</v>
      </c>
      <c r="D49" s="16">
        <f t="shared" si="0"/>
        <v>5.5E-2</v>
      </c>
      <c r="E49" s="9">
        <f t="shared" si="1"/>
        <v>316.21512151214966</v>
      </c>
      <c r="F49" s="9">
        <f t="shared" si="2"/>
        <v>16.485148514851403</v>
      </c>
      <c r="G49" s="9">
        <f t="shared" si="3"/>
        <v>2648.0198019801937</v>
      </c>
      <c r="H49" s="9">
        <f t="shared" si="11"/>
        <v>90.00900090009003</v>
      </c>
      <c r="I49" s="9">
        <f t="shared" si="4"/>
        <v>2700.2700270027017</v>
      </c>
      <c r="J49" s="9">
        <f t="shared" si="5"/>
        <v>0</v>
      </c>
      <c r="K49" s="9">
        <f t="shared" si="14"/>
        <v>0</v>
      </c>
      <c r="L49" s="9">
        <f t="shared" si="6"/>
        <v>106.49414941494143</v>
      </c>
      <c r="M49" s="9">
        <f t="shared" si="7"/>
        <v>22.542621532912847</v>
      </c>
      <c r="N49" s="9">
        <f>SUM($M$20:M49)</f>
        <v>3025.6468868660354</v>
      </c>
      <c r="O49" s="9">
        <f t="shared" si="12"/>
        <v>6292.7027372453576</v>
      </c>
      <c r="P49" s="9">
        <f t="shared" si="13"/>
        <v>3292.7027372453576</v>
      </c>
      <c r="Q49" s="9">
        <f t="shared" si="8"/>
        <v>696.99745980312161</v>
      </c>
      <c r="R49" s="9">
        <f t="shared" si="9"/>
        <v>2328.6494270629137</v>
      </c>
    </row>
    <row r="50" spans="2:18" x14ac:dyDescent="0.25">
      <c r="B50" s="6">
        <v>31</v>
      </c>
      <c r="C50" s="10">
        <f t="shared" si="10"/>
        <v>209.72097209720823</v>
      </c>
      <c r="D50" s="16">
        <f t="shared" si="0"/>
        <v>5.5E-2</v>
      </c>
      <c r="E50" s="9">
        <f t="shared" si="1"/>
        <v>221.25562556255468</v>
      </c>
      <c r="F50" s="9">
        <f t="shared" si="2"/>
        <v>11.534653465346452</v>
      </c>
      <c r="G50" s="9">
        <f t="shared" si="3"/>
        <v>2659.55445544554</v>
      </c>
      <c r="H50" s="9">
        <f t="shared" si="11"/>
        <v>90.00900090009003</v>
      </c>
      <c r="I50" s="9">
        <f t="shared" si="4"/>
        <v>2790.2790279027918</v>
      </c>
      <c r="J50" s="9">
        <f t="shared" si="5"/>
        <v>0</v>
      </c>
      <c r="K50" s="9">
        <f t="shared" si="14"/>
        <v>0</v>
      </c>
      <c r="L50" s="9">
        <f t="shared" si="6"/>
        <v>101.54365436543648</v>
      </c>
      <c r="M50" s="9">
        <f t="shared" si="7"/>
        <v>20.374126569390235</v>
      </c>
      <c r="N50" s="9">
        <f>SUM($M$20:M50)</f>
        <v>3046.0210134354256</v>
      </c>
      <c r="O50" s="9">
        <f t="shared" si="12"/>
        <v>6450.0203056764913</v>
      </c>
      <c r="P50" s="9">
        <f t="shared" si="13"/>
        <v>3450.0203056764913</v>
      </c>
      <c r="Q50" s="9">
        <f t="shared" si="8"/>
        <v>692.2259279920595</v>
      </c>
      <c r="R50" s="9">
        <f t="shared" si="9"/>
        <v>2353.7950854433661</v>
      </c>
    </row>
    <row r="51" spans="2:18" x14ac:dyDescent="0.25">
      <c r="B51" s="6">
        <v>32</v>
      </c>
      <c r="C51" s="10">
        <f t="shared" si="10"/>
        <v>119.71197119711822</v>
      </c>
      <c r="D51" s="16">
        <f t="shared" si="0"/>
        <v>5.5E-2</v>
      </c>
      <c r="E51" s="9">
        <f t="shared" si="1"/>
        <v>126.29612961295972</v>
      </c>
      <c r="F51" s="9">
        <f t="shared" si="2"/>
        <v>6.5841584158415003</v>
      </c>
      <c r="G51" s="9">
        <f t="shared" si="3"/>
        <v>2666.1386138613816</v>
      </c>
      <c r="H51" s="9">
        <f t="shared" si="11"/>
        <v>90.009000900090015</v>
      </c>
      <c r="I51" s="9">
        <f t="shared" si="4"/>
        <v>2880.2880288028819</v>
      </c>
      <c r="J51" s="9">
        <f t="shared" si="5"/>
        <v>0</v>
      </c>
      <c r="K51" s="9">
        <f t="shared" si="14"/>
        <v>0</v>
      </c>
      <c r="L51" s="9">
        <f t="shared" si="6"/>
        <v>96.593159315931516</v>
      </c>
      <c r="M51" s="9">
        <f t="shared" si="7"/>
        <v>18.370463851665995</v>
      </c>
      <c r="N51" s="9">
        <f>SUM($M$20:M51)</f>
        <v>3064.3914772870917</v>
      </c>
      <c r="O51" s="9">
        <f t="shared" si="12"/>
        <v>6611.2708133184033</v>
      </c>
      <c r="P51" s="9">
        <f t="shared" si="13"/>
        <v>3611.2708133184033</v>
      </c>
      <c r="Q51" s="9">
        <f t="shared" si="8"/>
        <v>686.80557095827726</v>
      </c>
      <c r="R51" s="9">
        <f t="shared" si="9"/>
        <v>2377.5859063288144</v>
      </c>
    </row>
    <row r="52" spans="2:18" x14ac:dyDescent="0.25">
      <c r="B52" s="6">
        <v>33</v>
      </c>
      <c r="C52" s="10">
        <f t="shared" si="10"/>
        <v>29.702970297028202</v>
      </c>
      <c r="D52" s="16">
        <f t="shared" si="0"/>
        <v>5.5E-2</v>
      </c>
      <c r="E52" s="9">
        <f t="shared" si="1"/>
        <v>31.336633663364751</v>
      </c>
      <c r="F52" s="9">
        <f t="shared" si="2"/>
        <v>1.633663366336549</v>
      </c>
      <c r="G52" s="9">
        <f t="shared" si="3"/>
        <v>2667.772277227718</v>
      </c>
      <c r="H52" s="9">
        <f t="shared" si="11"/>
        <v>90.009000900090015</v>
      </c>
      <c r="I52" s="9">
        <f t="shared" si="4"/>
        <v>2970.2970297029719</v>
      </c>
      <c r="J52" s="9">
        <f t="shared" si="5"/>
        <v>0</v>
      </c>
      <c r="K52" s="9">
        <f t="shared" si="14"/>
        <v>0</v>
      </c>
      <c r="L52" s="9">
        <f t="shared" si="6"/>
        <v>91.642664266426564</v>
      </c>
      <c r="M52" s="9">
        <f t="shared" si="7"/>
        <v>16.520340655084134</v>
      </c>
      <c r="N52" s="9">
        <f>SUM($M$20:M52)</f>
        <v>3080.9118179421757</v>
      </c>
      <c r="O52" s="9">
        <f t="shared" si="12"/>
        <v>6776.5525836513625</v>
      </c>
      <c r="P52" s="9">
        <f t="shared" si="13"/>
        <v>3776.5525836513625</v>
      </c>
      <c r="Q52" s="9">
        <f t="shared" si="8"/>
        <v>680.7957372602848</v>
      </c>
      <c r="R52" s="9">
        <f t="shared" si="9"/>
        <v>2400.1160806818907</v>
      </c>
    </row>
    <row r="53" spans="2:18" x14ac:dyDescent="0.25">
      <c r="B53" s="6">
        <v>34</v>
      </c>
      <c r="C53" s="10">
        <f t="shared" si="10"/>
        <v>-60.306030603061814</v>
      </c>
      <c r="D53" s="16">
        <f t="shared" si="0"/>
        <v>5.5E-2</v>
      </c>
      <c r="E53" s="9">
        <f t="shared" si="1"/>
        <v>-63.622862286230209</v>
      </c>
      <c r="F53" s="9">
        <f t="shared" si="2"/>
        <v>-3.3168316831683953</v>
      </c>
      <c r="G53" s="9">
        <f t="shared" si="3"/>
        <v>2664.4554455445495</v>
      </c>
      <c r="H53" s="9">
        <f t="shared" si="11"/>
        <v>90.009000900090015</v>
      </c>
      <c r="I53" s="9">
        <f t="shared" si="4"/>
        <v>3060.306030603062</v>
      </c>
      <c r="J53" s="9">
        <f t="shared" si="5"/>
        <v>0</v>
      </c>
      <c r="K53" s="9">
        <f t="shared" si="14"/>
        <v>0</v>
      </c>
      <c r="L53" s="9">
        <f t="shared" si="6"/>
        <v>86.692169216921627</v>
      </c>
      <c r="M53" s="9">
        <f t="shared" si="7"/>
        <v>14.813193711337597</v>
      </c>
      <c r="N53" s="9">
        <f>SUM($M$20:M53)</f>
        <v>3095.7250116535133</v>
      </c>
      <c r="O53" s="9">
        <f t="shared" si="12"/>
        <v>6945.9663982426464</v>
      </c>
      <c r="P53" s="9">
        <f t="shared" si="13"/>
        <v>3945.9663982426464</v>
      </c>
      <c r="Q53" s="9">
        <f t="shared" si="8"/>
        <v>674.25195566784828</v>
      </c>
      <c r="R53" s="9">
        <f t="shared" si="9"/>
        <v>2421.4730559856653</v>
      </c>
    </row>
  </sheetData>
  <dataValidations count="2">
    <dataValidation type="list" allowBlank="1" showInputMessage="1" showErrorMessage="1" sqref="B3" xr:uid="{A3D2E0CA-2EC4-4100-B0A9-FDA437D87D66}">
      <formula1>$B$20:$B$51</formula1>
    </dataValidation>
    <dataValidation allowBlank="1" showInputMessage="1" showErrorMessage="1" sqref="O16:O18" xr:uid="{53C1C49A-D667-4E4D-918D-A5B826ACBB0A}"/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F7058-B2C6-439D-AD30-B86A9256C644}">
  <dimension ref="B1:G39"/>
  <sheetViews>
    <sheetView zoomScaleNormal="100" workbookViewId="0">
      <selection activeCell="B31" sqref="B31"/>
    </sheetView>
  </sheetViews>
  <sheetFormatPr defaultRowHeight="15" customHeight="1" x14ac:dyDescent="0.25"/>
  <cols>
    <col min="1" max="1" width="5.42578125" customWidth="1"/>
    <col min="2" max="2" width="36" bestFit="1" customWidth="1"/>
    <col min="3" max="7" width="11.28515625" customWidth="1"/>
  </cols>
  <sheetData>
    <row r="1" spans="2:7" x14ac:dyDescent="0.25"/>
    <row r="2" spans="2:7" x14ac:dyDescent="0.25">
      <c r="B2" s="61" t="s">
        <v>34</v>
      </c>
    </row>
    <row r="3" spans="2:7" x14ac:dyDescent="0.25">
      <c r="B3" t="s">
        <v>37</v>
      </c>
      <c r="C3" s="10">
        <v>1309.7016098598299</v>
      </c>
    </row>
    <row r="4" spans="2:7" x14ac:dyDescent="0.25">
      <c r="B4" s="10" t="s">
        <v>1</v>
      </c>
      <c r="C4">
        <v>10</v>
      </c>
    </row>
    <row r="5" spans="2:7" x14ac:dyDescent="0.25">
      <c r="B5" t="s">
        <v>16</v>
      </c>
      <c r="C5" s="10">
        <v>5.4570900410826217</v>
      </c>
    </row>
    <row r="6" spans="2:7" x14ac:dyDescent="0.25">
      <c r="C6" s="10"/>
    </row>
    <row r="7" spans="2:7" ht="15.75" thickBot="1" x14ac:dyDescent="0.3"/>
    <row r="8" spans="2:7" ht="32.25" customHeight="1" thickBot="1" x14ac:dyDescent="0.3">
      <c r="B8" s="18"/>
      <c r="C8" s="35" t="s">
        <v>5</v>
      </c>
      <c r="D8" s="39">
        <v>2025</v>
      </c>
      <c r="E8" s="40">
        <v>2026</v>
      </c>
      <c r="F8" s="40">
        <v>2027</v>
      </c>
      <c r="G8" s="41">
        <v>2028</v>
      </c>
    </row>
    <row r="9" spans="2:7" x14ac:dyDescent="0.25">
      <c r="B9" s="19" t="s">
        <v>39</v>
      </c>
      <c r="C9" s="20">
        <f>NPV(0.05,D9:G9)</f>
        <v>15971.435389616297</v>
      </c>
      <c r="D9" s="42">
        <f>D15*($C$3/($C$4))</f>
        <v>2619.4032197196602</v>
      </c>
      <c r="E9" s="49">
        <f t="shared" ref="E9:G9" si="0">E15*($C$3/($C$4))</f>
        <v>3929.1048295794899</v>
      </c>
      <c r="F9" s="49">
        <f t="shared" si="0"/>
        <v>5238.8064394393205</v>
      </c>
      <c r="G9" s="50">
        <f t="shared" si="0"/>
        <v>6548.5080492991501</v>
      </c>
    </row>
    <row r="10" spans="2:7" x14ac:dyDescent="0.25">
      <c r="B10" s="19" t="s">
        <v>41</v>
      </c>
      <c r="C10" s="20">
        <f t="shared" ref="C10:C12" si="1">NPV(0.05,D10:G10)</f>
        <v>-72909.127369768772</v>
      </c>
      <c r="D10" s="43">
        <v>-12000</v>
      </c>
      <c r="E10" s="44">
        <v>-12000</v>
      </c>
      <c r="F10" s="44">
        <v>-30000</v>
      </c>
      <c r="G10" s="45">
        <v>-30000</v>
      </c>
    </row>
    <row r="11" spans="2:7" x14ac:dyDescent="0.25">
      <c r="B11" s="19" t="s">
        <v>43</v>
      </c>
      <c r="C11" s="20">
        <f t="shared" si="1"/>
        <v>-7985.7176948081433</v>
      </c>
      <c r="D11" s="43">
        <f>-D$15*$C$5*12</f>
        <v>-1309.7016098598292</v>
      </c>
      <c r="E11" s="44">
        <f>-E$15*$C$5*12</f>
        <v>-1964.5524147897438</v>
      </c>
      <c r="F11" s="44">
        <f>-F$15*$C$5*12</f>
        <v>-2619.4032197196584</v>
      </c>
      <c r="G11" s="45">
        <f>-G$15*$C$5*12</f>
        <v>-3274.2540246495732</v>
      </c>
    </row>
    <row r="12" spans="2:7" ht="15.75" thickBot="1" x14ac:dyDescent="0.3">
      <c r="B12" s="21" t="s">
        <v>44</v>
      </c>
      <c r="C12" s="81">
        <f t="shared" si="1"/>
        <v>-64923.409674960596</v>
      </c>
      <c r="D12" s="46">
        <f>D9+D10+D11</f>
        <v>-10690.298390140168</v>
      </c>
      <c r="E12" s="47">
        <f t="shared" ref="E12:G12" si="2">E9+E10+E11</f>
        <v>-10035.447585210253</v>
      </c>
      <c r="F12" s="47">
        <f t="shared" si="2"/>
        <v>-27380.596780280335</v>
      </c>
      <c r="G12" s="48">
        <f t="shared" si="2"/>
        <v>-26725.745975350423</v>
      </c>
    </row>
    <row r="13" spans="2:7" ht="15.75" thickBot="1" x14ac:dyDescent="0.3">
      <c r="B13" s="33"/>
      <c r="C13" s="34"/>
      <c r="D13" s="34"/>
      <c r="E13" s="34"/>
      <c r="F13" s="34"/>
      <c r="G13" s="34"/>
    </row>
    <row r="14" spans="2:7" x14ac:dyDescent="0.25">
      <c r="B14" s="58" t="s">
        <v>47</v>
      </c>
      <c r="C14" s="60"/>
      <c r="D14" s="53">
        <v>20</v>
      </c>
      <c r="E14" s="53">
        <v>10</v>
      </c>
      <c r="F14" s="53">
        <v>10</v>
      </c>
      <c r="G14" s="54">
        <v>10</v>
      </c>
    </row>
    <row r="15" spans="2:7" ht="15.75" thickBot="1" x14ac:dyDescent="0.3">
      <c r="B15" s="59" t="s">
        <v>48</v>
      </c>
      <c r="C15" s="57"/>
      <c r="D15" s="55">
        <f>D14</f>
        <v>20</v>
      </c>
      <c r="E15" s="55">
        <f>D15+E14</f>
        <v>30</v>
      </c>
      <c r="F15" s="55">
        <f t="shared" ref="F15:G15" si="3">E15+F14</f>
        <v>40</v>
      </c>
      <c r="G15" s="56">
        <f t="shared" si="3"/>
        <v>50</v>
      </c>
    </row>
    <row r="16" spans="2:7" ht="15.75" thickBot="1" x14ac:dyDescent="0.3">
      <c r="B16" s="17"/>
      <c r="C16" s="17"/>
      <c r="D16" s="17"/>
      <c r="E16" s="17"/>
      <c r="F16" s="17"/>
      <c r="G16" s="17"/>
    </row>
    <row r="17" spans="2:7" ht="15.75" thickBot="1" x14ac:dyDescent="0.3">
      <c r="B17" s="22" t="s">
        <v>49</v>
      </c>
      <c r="C17" s="23"/>
      <c r="D17" s="23"/>
      <c r="E17" s="23"/>
      <c r="F17" s="23"/>
      <c r="G17" s="24"/>
    </row>
    <row r="18" spans="2:7" x14ac:dyDescent="0.25">
      <c r="B18" s="19" t="s">
        <v>51</v>
      </c>
      <c r="C18" s="25">
        <f>-C10/C9</f>
        <v>4.5649702478945668</v>
      </c>
      <c r="D18" s="26">
        <f>-D10/D9</f>
        <v>4.5811961708149278</v>
      </c>
      <c r="E18" s="26">
        <f t="shared" ref="E18:G18" si="4">-E10/E9</f>
        <v>3.0541307805432854</v>
      </c>
      <c r="F18" s="26">
        <f t="shared" si="4"/>
        <v>5.7264952135186595</v>
      </c>
      <c r="G18" s="27">
        <f t="shared" si="4"/>
        <v>4.5811961708149278</v>
      </c>
    </row>
    <row r="19" spans="2:7" x14ac:dyDescent="0.25">
      <c r="B19" s="19" t="s">
        <v>53</v>
      </c>
      <c r="C19" s="28">
        <f>-C11/C9</f>
        <v>0.49999999999999967</v>
      </c>
      <c r="D19" s="26">
        <f t="shared" ref="D19:G19" si="5">-D11/D9</f>
        <v>0.49999999999999967</v>
      </c>
      <c r="E19" s="26">
        <f t="shared" si="5"/>
        <v>0.49999999999999972</v>
      </c>
      <c r="F19" s="26">
        <f t="shared" si="5"/>
        <v>0.49999999999999967</v>
      </c>
      <c r="G19" s="27">
        <f t="shared" si="5"/>
        <v>0.49999999999999972</v>
      </c>
    </row>
    <row r="20" spans="2:7" x14ac:dyDescent="0.25">
      <c r="B20" s="19" t="s">
        <v>54</v>
      </c>
      <c r="C20" s="28">
        <f>C12/C9</f>
        <v>-4.0649702478945651</v>
      </c>
      <c r="D20" s="26">
        <f t="shared" ref="D20:G20" si="6">D12/D9</f>
        <v>-4.0811961708149269</v>
      </c>
      <c r="E20" s="26">
        <f t="shared" si="6"/>
        <v>-2.5541307805432849</v>
      </c>
      <c r="F20" s="26">
        <f t="shared" si="6"/>
        <v>-5.2264952135186586</v>
      </c>
      <c r="G20" s="27">
        <f t="shared" si="6"/>
        <v>-4.0811961708149278</v>
      </c>
    </row>
    <row r="21" spans="2:7" ht="15.75" thickBot="1" x14ac:dyDescent="0.3">
      <c r="B21" s="29"/>
      <c r="C21" s="30">
        <f>C20+C19+C18</f>
        <v>1.0000000000000013</v>
      </c>
      <c r="D21" s="31">
        <f t="shared" ref="D21:G21" si="7">D20+D19+D18</f>
        <v>1.0000000000000004</v>
      </c>
      <c r="E21" s="31">
        <f t="shared" si="7"/>
        <v>1</v>
      </c>
      <c r="F21" s="31">
        <f t="shared" si="7"/>
        <v>1.0000000000000009</v>
      </c>
      <c r="G21" s="32">
        <f t="shared" si="7"/>
        <v>0.99999999999999956</v>
      </c>
    </row>
    <row r="22" spans="2:7" x14ac:dyDescent="0.25"/>
    <row r="23" spans="2:7" x14ac:dyDescent="0.25"/>
    <row r="24" spans="2:7" x14ac:dyDescent="0.25"/>
    <row r="25" spans="2:7" x14ac:dyDescent="0.25"/>
    <row r="26" spans="2:7" x14ac:dyDescent="0.25"/>
    <row r="27" spans="2:7" x14ac:dyDescent="0.25"/>
    <row r="28" spans="2:7" x14ac:dyDescent="0.25"/>
    <row r="29" spans="2:7" x14ac:dyDescent="0.25"/>
    <row r="30" spans="2:7" x14ac:dyDescent="0.25"/>
    <row r="31" spans="2:7" x14ac:dyDescent="0.25"/>
    <row r="32" spans="2:7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3D479-7F78-4EA8-89A5-404F02FFA9AE}">
  <dimension ref="A1:G42"/>
  <sheetViews>
    <sheetView zoomScaleNormal="100" workbookViewId="0">
      <selection activeCell="F37" sqref="F37"/>
    </sheetView>
  </sheetViews>
  <sheetFormatPr defaultRowHeight="15" customHeight="1" x14ac:dyDescent="0.25"/>
  <cols>
    <col min="1" max="1" width="7.140625" customWidth="1"/>
    <col min="2" max="2" width="36.42578125" customWidth="1"/>
    <col min="3" max="3" width="14.42578125" customWidth="1"/>
    <col min="4" max="4" width="11.42578125" bestFit="1" customWidth="1"/>
  </cols>
  <sheetData>
    <row r="1" spans="1:7" x14ac:dyDescent="0.25"/>
    <row r="2" spans="1:7" x14ac:dyDescent="0.25">
      <c r="B2" s="61" t="s">
        <v>35</v>
      </c>
    </row>
    <row r="3" spans="1:7" x14ac:dyDescent="0.25">
      <c r="B3" t="s">
        <v>37</v>
      </c>
      <c r="C3" s="10">
        <v>1309.7016098598299</v>
      </c>
    </row>
    <row r="4" spans="1:7" x14ac:dyDescent="0.25">
      <c r="B4" s="10" t="s">
        <v>1</v>
      </c>
      <c r="C4">
        <v>10</v>
      </c>
    </row>
    <row r="5" spans="1:7" x14ac:dyDescent="0.25">
      <c r="B5" t="s">
        <v>16</v>
      </c>
      <c r="C5" s="10">
        <v>5.4570900410826217</v>
      </c>
    </row>
    <row r="6" spans="1:7" x14ac:dyDescent="0.25">
      <c r="C6" s="10"/>
    </row>
    <row r="7" spans="1:7" x14ac:dyDescent="0.25">
      <c r="B7" t="s">
        <v>38</v>
      </c>
      <c r="C7" s="10">
        <v>1746268.8131464359</v>
      </c>
    </row>
    <row r="8" spans="1:7" x14ac:dyDescent="0.25">
      <c r="B8" s="10" t="s">
        <v>1</v>
      </c>
      <c r="C8">
        <v>10</v>
      </c>
    </row>
    <row r="9" spans="1:7" x14ac:dyDescent="0.25">
      <c r="B9" t="s">
        <v>16</v>
      </c>
      <c r="C9" s="10">
        <v>14.552240109553631</v>
      </c>
    </row>
    <row r="10" spans="1:7" ht="15.75" thickBot="1" x14ac:dyDescent="0.3"/>
    <row r="11" spans="1:7" ht="28.5" customHeight="1" thickBot="1" x14ac:dyDescent="0.95">
      <c r="A11" s="36"/>
      <c r="B11" s="18"/>
      <c r="C11" s="35" t="s">
        <v>5</v>
      </c>
      <c r="D11" s="39">
        <v>2025</v>
      </c>
      <c r="E11" s="40">
        <v>2026</v>
      </c>
      <c r="F11" s="40">
        <v>2027</v>
      </c>
      <c r="G11" s="41">
        <v>2028</v>
      </c>
    </row>
    <row r="12" spans="1:7" x14ac:dyDescent="0.25">
      <c r="B12" s="19" t="s">
        <v>40</v>
      </c>
      <c r="C12" s="20">
        <f>NPV(0.05,D12:G12)</f>
        <v>15971.435389616297</v>
      </c>
      <c r="D12" s="42">
        <f>D20*($C$3/($C$4))</f>
        <v>2619.4032197196602</v>
      </c>
      <c r="E12" s="49">
        <f t="shared" ref="E12:G12" si="0">E20*($C$3/($C$4))</f>
        <v>3929.1048295794899</v>
      </c>
      <c r="F12" s="49">
        <f t="shared" si="0"/>
        <v>5238.8064394393205</v>
      </c>
      <c r="G12" s="50">
        <f t="shared" si="0"/>
        <v>6548.5080492991501</v>
      </c>
    </row>
    <row r="13" spans="1:7" x14ac:dyDescent="0.25">
      <c r="B13" s="19" t="s">
        <v>42</v>
      </c>
      <c r="C13" s="20">
        <f>NPV(0.05,D13:G13)</f>
        <v>619218.27783796098</v>
      </c>
      <c r="D13" s="43">
        <f>($C$7/($C$8))</f>
        <v>174626.8813146436</v>
      </c>
      <c r="E13" s="44">
        <f t="shared" ref="E13:G13" si="1">($C$7/($C$8))</f>
        <v>174626.8813146436</v>
      </c>
      <c r="F13" s="44">
        <f t="shared" si="1"/>
        <v>174626.8813146436</v>
      </c>
      <c r="G13" s="45">
        <f t="shared" si="1"/>
        <v>174626.8813146436</v>
      </c>
    </row>
    <row r="14" spans="1:7" x14ac:dyDescent="0.25">
      <c r="B14" s="19" t="s">
        <v>41</v>
      </c>
      <c r="C14" s="20">
        <f t="shared" ref="C14:C16" si="2">NPV(0.05,D14:G14)</f>
        <v>-72909.127369768772</v>
      </c>
      <c r="D14" s="43">
        <v>-12000</v>
      </c>
      <c r="E14" s="44">
        <v>-12000</v>
      </c>
      <c r="F14" s="44">
        <v>-30000</v>
      </c>
      <c r="G14" s="45">
        <v>-30000</v>
      </c>
    </row>
    <row r="15" spans="1:7" x14ac:dyDescent="0.25">
      <c r="B15" s="19" t="s">
        <v>45</v>
      </c>
      <c r="C15" s="20">
        <f t="shared" si="2"/>
        <v>-7985.7176948081433</v>
      </c>
      <c r="D15" s="43">
        <f>-D$20*$C$5*12</f>
        <v>-1309.7016098598292</v>
      </c>
      <c r="E15" s="44">
        <f>-E$20*$C$5*12</f>
        <v>-1964.5524147897438</v>
      </c>
      <c r="F15" s="44">
        <f>-F$20*$C$5*12</f>
        <v>-2619.4032197196584</v>
      </c>
      <c r="G15" s="45">
        <f>-G$20*$C$5*12</f>
        <v>-3274.2540246495732</v>
      </c>
    </row>
    <row r="16" spans="1:7" x14ac:dyDescent="0.25">
      <c r="B16" s="19" t="s">
        <v>46</v>
      </c>
      <c r="C16" s="20">
        <f t="shared" si="2"/>
        <v>-30960.913891898053</v>
      </c>
      <c r="D16" s="43">
        <f>-D$21*$C$9*12</f>
        <v>-8731.3440657321789</v>
      </c>
      <c r="E16" s="44">
        <f>-E$21*$C$9*12</f>
        <v>-8731.3440657321789</v>
      </c>
      <c r="F16" s="44">
        <f>-F$21*$C$9*12</f>
        <v>-8731.3440657321789</v>
      </c>
      <c r="G16" s="45">
        <f>-G$21*$C$9*12</f>
        <v>-8731.3440657321789</v>
      </c>
    </row>
    <row r="17" spans="2:7" ht="15.75" thickBot="1" x14ac:dyDescent="0.3">
      <c r="B17" s="21" t="s">
        <v>44</v>
      </c>
      <c r="C17" s="81">
        <f>NPV(0.05,D17:G17)</f>
        <v>523333.95427110238</v>
      </c>
      <c r="D17" s="46">
        <f>D12+D14+D15+D13+D16</f>
        <v>155205.23885877125</v>
      </c>
      <c r="E17" s="47">
        <f>E12+E14+E15+E13+E16</f>
        <v>155860.08966370116</v>
      </c>
      <c r="F17" s="47">
        <f>F12+F14+F15+F13+F16</f>
        <v>138514.94046863107</v>
      </c>
      <c r="G17" s="48">
        <f>G12+G14+G15+G13+G16</f>
        <v>139169.79127356099</v>
      </c>
    </row>
    <row r="18" spans="2:7" ht="15.75" thickBot="1" x14ac:dyDescent="0.3">
      <c r="B18" s="33"/>
      <c r="C18" s="34"/>
      <c r="D18" s="34"/>
      <c r="E18" s="34"/>
      <c r="F18" s="34"/>
      <c r="G18" s="34"/>
    </row>
    <row r="19" spans="2:7" x14ac:dyDescent="0.25">
      <c r="B19" s="58" t="s">
        <v>47</v>
      </c>
      <c r="C19" s="74"/>
      <c r="D19" s="52">
        <v>20</v>
      </c>
      <c r="E19" s="53">
        <v>10</v>
      </c>
      <c r="F19" s="53">
        <v>10</v>
      </c>
      <c r="G19" s="54">
        <v>10</v>
      </c>
    </row>
    <row r="20" spans="2:7" x14ac:dyDescent="0.25">
      <c r="B20" s="64" t="s">
        <v>50</v>
      </c>
      <c r="C20" s="75"/>
      <c r="D20" s="72">
        <f>D19</f>
        <v>20</v>
      </c>
      <c r="E20" s="51">
        <f>D20+E19</f>
        <v>30</v>
      </c>
      <c r="F20" s="51">
        <f t="shared" ref="F20:G20" si="3">E20+F19</f>
        <v>40</v>
      </c>
      <c r="G20" s="73">
        <f t="shared" si="3"/>
        <v>50</v>
      </c>
    </row>
    <row r="21" spans="2:7" ht="15.75" thickBot="1" x14ac:dyDescent="0.3">
      <c r="B21" s="59" t="s">
        <v>52</v>
      </c>
      <c r="C21" s="69"/>
      <c r="D21" s="69">
        <v>50</v>
      </c>
      <c r="E21" s="70">
        <v>50</v>
      </c>
      <c r="F21" s="70">
        <v>50</v>
      </c>
      <c r="G21" s="71">
        <v>50</v>
      </c>
    </row>
    <row r="22" spans="2:7" ht="15.75" thickBot="1" x14ac:dyDescent="0.3"/>
    <row r="23" spans="2:7" ht="15.75" thickBot="1" x14ac:dyDescent="0.3">
      <c r="B23" s="39" t="s">
        <v>49</v>
      </c>
      <c r="C23" s="67"/>
      <c r="D23" s="67"/>
      <c r="E23" s="67"/>
      <c r="F23" s="67"/>
      <c r="G23" s="68"/>
    </row>
    <row r="24" spans="2:7" x14ac:dyDescent="0.25">
      <c r="B24" s="58" t="s">
        <v>51</v>
      </c>
      <c r="C24" s="78">
        <f>-C14/(C12+C13)</f>
        <v>0.11478323066552357</v>
      </c>
      <c r="D24" s="62">
        <f>-D14/(D12+D13)</f>
        <v>6.7702406465245404E-2</v>
      </c>
      <c r="E24" s="62">
        <f t="shared" ref="E24:G24" si="4">-E14/(E12+E13)</f>
        <v>6.7205811796796161E-2</v>
      </c>
      <c r="F24" s="62">
        <f t="shared" si="4"/>
        <v>0.16679112272384483</v>
      </c>
      <c r="G24" s="63">
        <f t="shared" si="4"/>
        <v>0.16558540376439534</v>
      </c>
    </row>
    <row r="25" spans="2:7" x14ac:dyDescent="0.25">
      <c r="B25" s="64" t="s">
        <v>53</v>
      </c>
      <c r="C25" s="79">
        <f>-(C15+C16)/(C12+C13)</f>
        <v>6.1314959571381319E-2</v>
      </c>
      <c r="D25" s="26">
        <f>-(D15+D16)/(D12+D13)</f>
        <v>5.6650246305418726E-2</v>
      </c>
      <c r="E25" s="26">
        <f t="shared" ref="E25:G25" si="5">-(E15+E16)/(E12+E13)</f>
        <v>5.9902200488997567E-2</v>
      </c>
      <c r="F25" s="26">
        <f t="shared" si="5"/>
        <v>6.3106796116504868E-2</v>
      </c>
      <c r="G25" s="65">
        <f t="shared" si="5"/>
        <v>6.6265060240963874E-2</v>
      </c>
    </row>
    <row r="26" spans="2:7" x14ac:dyDescent="0.25">
      <c r="B26" s="64" t="s">
        <v>54</v>
      </c>
      <c r="C26" s="79">
        <f>C17/(C12+C13)</f>
        <v>0.82390180976309524</v>
      </c>
      <c r="D26" s="26">
        <f t="shared" ref="D26:G26" si="6">D17/(D12+D13)</f>
        <v>0.8756473472293359</v>
      </c>
      <c r="E26" s="26">
        <f t="shared" si="6"/>
        <v>0.87289198771420629</v>
      </c>
      <c r="F26" s="26">
        <f t="shared" si="6"/>
        <v>0.77010208115965018</v>
      </c>
      <c r="G26" s="65">
        <f t="shared" si="6"/>
        <v>0.76814953599464064</v>
      </c>
    </row>
    <row r="27" spans="2:7" ht="15.75" thickBot="1" x14ac:dyDescent="0.3">
      <c r="B27" s="66"/>
      <c r="C27" s="80">
        <f>C26+C25+C24</f>
        <v>1.0000000000000002</v>
      </c>
      <c r="D27" s="76">
        <f t="shared" ref="D27:G27" si="7">D26+D25+D24</f>
        <v>1</v>
      </c>
      <c r="E27" s="76">
        <f t="shared" si="7"/>
        <v>1</v>
      </c>
      <c r="F27" s="76">
        <f t="shared" si="7"/>
        <v>0.99999999999999978</v>
      </c>
      <c r="G27" s="77">
        <f t="shared" si="7"/>
        <v>0.99999999999999989</v>
      </c>
    </row>
    <row r="28" spans="2:7" x14ac:dyDescent="0.25"/>
    <row r="29" spans="2:7" x14ac:dyDescent="0.25"/>
    <row r="30" spans="2:7" x14ac:dyDescent="0.25"/>
    <row r="31" spans="2:7" x14ac:dyDescent="0.25"/>
    <row r="32" spans="2:7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31603-371F-4A08-B0B2-7F8760DF48B9}">
  <dimension ref="B1:G42"/>
  <sheetViews>
    <sheetView zoomScaleNormal="100" workbookViewId="0">
      <selection activeCell="C17" sqref="C17"/>
    </sheetView>
  </sheetViews>
  <sheetFormatPr defaultRowHeight="15" customHeight="1" x14ac:dyDescent="0.25"/>
  <cols>
    <col min="1" max="1" width="7.5703125" customWidth="1"/>
    <col min="2" max="2" width="36.28515625" customWidth="1"/>
    <col min="3" max="3" width="14.7109375" bestFit="1" customWidth="1"/>
  </cols>
  <sheetData>
    <row r="1" spans="2:7" x14ac:dyDescent="0.25"/>
    <row r="2" spans="2:7" x14ac:dyDescent="0.25">
      <c r="B2" s="61" t="s">
        <v>36</v>
      </c>
    </row>
    <row r="3" spans="2:7" x14ac:dyDescent="0.25">
      <c r="B3" t="s">
        <v>37</v>
      </c>
      <c r="C3" s="10">
        <v>1309.7016098598299</v>
      </c>
    </row>
    <row r="4" spans="2:7" x14ac:dyDescent="0.25">
      <c r="B4" s="10" t="s">
        <v>1</v>
      </c>
      <c r="C4">
        <v>10</v>
      </c>
    </row>
    <row r="5" spans="2:7" x14ac:dyDescent="0.25">
      <c r="B5" t="s">
        <v>16</v>
      </c>
      <c r="C5" s="10">
        <v>5.4570900410826217</v>
      </c>
    </row>
    <row r="6" spans="2:7" x14ac:dyDescent="0.25">
      <c r="C6" s="10"/>
    </row>
    <row r="7" spans="2:7" x14ac:dyDescent="0.25">
      <c r="B7" t="s">
        <v>38</v>
      </c>
      <c r="C7" s="10">
        <v>545709.00410826248</v>
      </c>
    </row>
    <row r="8" spans="2:7" x14ac:dyDescent="0.25">
      <c r="B8" s="10" t="s">
        <v>1</v>
      </c>
      <c r="C8">
        <v>10</v>
      </c>
    </row>
    <row r="9" spans="2:7" x14ac:dyDescent="0.25">
      <c r="B9" t="s">
        <v>16</v>
      </c>
      <c r="C9" s="10">
        <v>9.0951500684710407</v>
      </c>
    </row>
    <row r="10" spans="2:7" ht="15.75" thickBot="1" x14ac:dyDescent="0.3"/>
    <row r="11" spans="2:7" ht="25.5" customHeight="1" thickBot="1" x14ac:dyDescent="0.3">
      <c r="B11" s="18"/>
      <c r="C11" s="35" t="s">
        <v>5</v>
      </c>
      <c r="D11" s="39">
        <v>2025</v>
      </c>
      <c r="E11" s="40">
        <v>2026</v>
      </c>
      <c r="F11" s="40">
        <v>2027</v>
      </c>
      <c r="G11" s="41">
        <v>2028</v>
      </c>
    </row>
    <row r="12" spans="2:7" x14ac:dyDescent="0.25">
      <c r="B12" s="19" t="s">
        <v>40</v>
      </c>
      <c r="C12" s="20">
        <f>NPV(0.05,D12:G12)</f>
        <v>15971.435389616297</v>
      </c>
      <c r="D12" s="42">
        <f>D20*($C$3/($C$4))</f>
        <v>2619.4032197196602</v>
      </c>
      <c r="E12" s="49">
        <f t="shared" ref="E12:G12" si="0">E20*($C$3/($C$4))</f>
        <v>3929.1048295794899</v>
      </c>
      <c r="F12" s="49">
        <f t="shared" si="0"/>
        <v>5238.8064394393205</v>
      </c>
      <c r="G12" s="50">
        <f t="shared" si="0"/>
        <v>6548.5080492991501</v>
      </c>
    </row>
    <row r="13" spans="2:7" x14ac:dyDescent="0.25">
      <c r="B13" s="19" t="s">
        <v>42</v>
      </c>
      <c r="C13" s="20">
        <f>NPV(0.05,D13:G13)</f>
        <v>193505.71182436327</v>
      </c>
      <c r="D13" s="43">
        <f>($C$7/($C$8))</f>
        <v>54570.900410826245</v>
      </c>
      <c r="E13" s="44">
        <f t="shared" ref="E13:G13" si="1">($C$7/($C$8))</f>
        <v>54570.900410826245</v>
      </c>
      <c r="F13" s="44">
        <f t="shared" si="1"/>
        <v>54570.900410826245</v>
      </c>
      <c r="G13" s="45">
        <f t="shared" si="1"/>
        <v>54570.900410826245</v>
      </c>
    </row>
    <row r="14" spans="2:7" x14ac:dyDescent="0.25">
      <c r="B14" s="19" t="s">
        <v>41</v>
      </c>
      <c r="C14" s="20">
        <f t="shared" ref="C14:C16" si="2">NPV(0.05,D14:G14)</f>
        <v>-72909.127369768772</v>
      </c>
      <c r="D14" s="43">
        <v>-12000</v>
      </c>
      <c r="E14" s="44">
        <v>-12000</v>
      </c>
      <c r="F14" s="44">
        <v>-30000</v>
      </c>
      <c r="G14" s="45">
        <v>-30000</v>
      </c>
    </row>
    <row r="15" spans="2:7" x14ac:dyDescent="0.25">
      <c r="B15" s="19" t="s">
        <v>45</v>
      </c>
      <c r="C15" s="20">
        <f t="shared" si="2"/>
        <v>-7985.7176948081433</v>
      </c>
      <c r="D15" s="43">
        <f>-D$20*$C$5*12</f>
        <v>-1309.7016098598292</v>
      </c>
      <c r="E15" s="44">
        <f t="shared" ref="E15:G15" si="3">-E$20*$C$5*12</f>
        <v>-1964.5524147897438</v>
      </c>
      <c r="F15" s="44">
        <f t="shared" si="3"/>
        <v>-2619.4032197196584</v>
      </c>
      <c r="G15" s="45">
        <f t="shared" si="3"/>
        <v>-3274.2540246495732</v>
      </c>
    </row>
    <row r="16" spans="2:7" x14ac:dyDescent="0.25">
      <c r="B16" s="19" t="s">
        <v>46</v>
      </c>
      <c r="C16" s="20">
        <f t="shared" si="2"/>
        <v>-19350.571182436328</v>
      </c>
      <c r="D16" s="43">
        <f>-D$21*$C$9*12</f>
        <v>-5457.0900410826243</v>
      </c>
      <c r="E16" s="44">
        <f t="shared" ref="E16:G16" si="4">-E$21*$C$9*12</f>
        <v>-5457.0900410826243</v>
      </c>
      <c r="F16" s="44">
        <f t="shared" si="4"/>
        <v>-5457.0900410826243</v>
      </c>
      <c r="G16" s="45">
        <f t="shared" si="4"/>
        <v>-5457.0900410826243</v>
      </c>
    </row>
    <row r="17" spans="2:7" ht="15.75" thickBot="1" x14ac:dyDescent="0.3">
      <c r="B17" s="21" t="s">
        <v>44</v>
      </c>
      <c r="C17" s="81">
        <f>NPV(0.05,D17:G17)</f>
        <v>109231.73096696634</v>
      </c>
      <c r="D17" s="46">
        <f>D12+D14+D15+D13+D16</f>
        <v>38423.511979603456</v>
      </c>
      <c r="E17" s="47">
        <f>E12+E14+E15+E13+E16</f>
        <v>39078.362784533369</v>
      </c>
      <c r="F17" s="47">
        <f>F12+F14+F15+F13+F16</f>
        <v>21733.213589463285</v>
      </c>
      <c r="G17" s="48">
        <f>G12+G14+G15+G13+G16</f>
        <v>22388.064394393197</v>
      </c>
    </row>
    <row r="18" spans="2:7" ht="15.75" thickBot="1" x14ac:dyDescent="0.3">
      <c r="B18" s="33"/>
      <c r="C18" s="34"/>
      <c r="D18" s="34"/>
      <c r="E18" s="34"/>
      <c r="F18" s="34"/>
      <c r="G18" s="34"/>
    </row>
    <row r="19" spans="2:7" x14ac:dyDescent="0.25">
      <c r="B19" s="58" t="s">
        <v>47</v>
      </c>
      <c r="C19" s="74"/>
      <c r="D19" s="52">
        <v>20</v>
      </c>
      <c r="E19" s="53">
        <v>10</v>
      </c>
      <c r="F19" s="53">
        <v>10</v>
      </c>
      <c r="G19" s="54">
        <v>10</v>
      </c>
    </row>
    <row r="20" spans="2:7" x14ac:dyDescent="0.25">
      <c r="B20" s="64" t="s">
        <v>50</v>
      </c>
      <c r="C20" s="75"/>
      <c r="D20" s="72">
        <f>D19</f>
        <v>20</v>
      </c>
      <c r="E20" s="51">
        <f>D20+E19</f>
        <v>30</v>
      </c>
      <c r="F20" s="51">
        <f t="shared" ref="F20:G20" si="5">E20+F19</f>
        <v>40</v>
      </c>
      <c r="G20" s="73">
        <f t="shared" si="5"/>
        <v>50</v>
      </c>
    </row>
    <row r="21" spans="2:7" ht="15.75" thickBot="1" x14ac:dyDescent="0.3">
      <c r="B21" s="59" t="s">
        <v>52</v>
      </c>
      <c r="C21" s="69"/>
      <c r="D21" s="69">
        <v>50</v>
      </c>
      <c r="E21" s="70">
        <v>50</v>
      </c>
      <c r="F21" s="70">
        <v>50</v>
      </c>
      <c r="G21" s="71">
        <v>50</v>
      </c>
    </row>
    <row r="22" spans="2:7" ht="15.75" thickBot="1" x14ac:dyDescent="0.3"/>
    <row r="23" spans="2:7" ht="15.75" thickBot="1" x14ac:dyDescent="0.3">
      <c r="B23" s="39" t="s">
        <v>49</v>
      </c>
      <c r="C23" s="67"/>
      <c r="D23" s="67"/>
      <c r="E23" s="67"/>
      <c r="F23" s="67"/>
      <c r="G23" s="68"/>
    </row>
    <row r="24" spans="2:7" x14ac:dyDescent="0.25">
      <c r="B24" s="58" t="s">
        <v>51</v>
      </c>
      <c r="C24" s="78">
        <f>-C14/(C12+C13)</f>
        <v>0.34805289426293629</v>
      </c>
      <c r="D24" s="62">
        <f>-D14/(D12+D13)</f>
        <v>0.20982577881595094</v>
      </c>
      <c r="E24" s="62">
        <f t="shared" ref="E24:G24" si="6">-E14/(E12+E13)</f>
        <v>0.20512818675290725</v>
      </c>
      <c r="F24" s="62">
        <f t="shared" si="6"/>
        <v>0.50159082162207247</v>
      </c>
      <c r="G24" s="63">
        <f t="shared" si="6"/>
        <v>0.49084244687302808</v>
      </c>
    </row>
    <row r="25" spans="2:7" x14ac:dyDescent="0.25">
      <c r="B25" s="64" t="s">
        <v>53</v>
      </c>
      <c r="C25" s="79">
        <f>-(C15+C16)/(C12+C13)</f>
        <v>0.13049771414597616</v>
      </c>
      <c r="D25" s="26">
        <f>-(D15+D16)/(D12+D13)</f>
        <v>0.1183206106870229</v>
      </c>
      <c r="E25" s="26">
        <f t="shared" ref="E25:G25" si="7">-(E15+E16)/(E12+E13)</f>
        <v>0.12686567164179102</v>
      </c>
      <c r="F25" s="26">
        <f t="shared" si="7"/>
        <v>0.13503649635036494</v>
      </c>
      <c r="G25" s="65">
        <f t="shared" si="7"/>
        <v>0.14285714285714282</v>
      </c>
    </row>
    <row r="26" spans="2:7" x14ac:dyDescent="0.25">
      <c r="B26" s="64" t="s">
        <v>54</v>
      </c>
      <c r="C26" s="79">
        <f>C17/(C12+C13)</f>
        <v>0.52144939159108761</v>
      </c>
      <c r="D26" s="26">
        <f t="shared" ref="D26:G26" si="8">D17/(D12+D13)</f>
        <v>0.6718536104970263</v>
      </c>
      <c r="E26" s="26">
        <f t="shared" si="8"/>
        <v>0.66800614160530181</v>
      </c>
      <c r="F26" s="26">
        <f t="shared" si="8"/>
        <v>0.36337268202756262</v>
      </c>
      <c r="G26" s="65">
        <f t="shared" si="8"/>
        <v>0.36630041026982912</v>
      </c>
    </row>
    <row r="27" spans="2:7" ht="15.75" thickBot="1" x14ac:dyDescent="0.3">
      <c r="B27" s="66"/>
      <c r="C27" s="80">
        <f>C26+C25+C24</f>
        <v>1</v>
      </c>
      <c r="D27" s="76">
        <f t="shared" ref="D27:G27" si="9">D26+D25+D24</f>
        <v>1.0000000000000002</v>
      </c>
      <c r="E27" s="76">
        <f t="shared" si="9"/>
        <v>1.0000000000000002</v>
      </c>
      <c r="F27" s="76">
        <f t="shared" si="9"/>
        <v>1</v>
      </c>
      <c r="G27" s="77">
        <f t="shared" si="9"/>
        <v>1</v>
      </c>
    </row>
    <row r="28" spans="2:7" x14ac:dyDescent="0.25"/>
    <row r="29" spans="2:7" x14ac:dyDescent="0.25"/>
    <row r="30" spans="2:7" x14ac:dyDescent="0.25"/>
    <row r="31" spans="2:7" x14ac:dyDescent="0.25"/>
    <row r="32" spans="2:7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8E08FDFDCCAD499FBA94E88C097F3D" ma:contentTypeVersion="18" ma:contentTypeDescription="Create a new document." ma:contentTypeScope="" ma:versionID="b3b60752280e7d8ae4faf02608c21c00">
  <xsd:schema xmlns:xsd="http://www.w3.org/2001/XMLSchema" xmlns:xs="http://www.w3.org/2001/XMLSchema" xmlns:p="http://schemas.microsoft.com/office/2006/metadata/properties" xmlns:ns2="d0047d8f-172a-4070-af7b-cf331a2d98a3" xmlns:ns3="9611b245-3414-4c57-9267-9bfbc6a1bf12" targetNamespace="http://schemas.microsoft.com/office/2006/metadata/properties" ma:root="true" ma:fieldsID="8af0c682d9c60d74e21143bf7bd4983e" ns2:_="" ns3:_="">
    <xsd:import namespace="d0047d8f-172a-4070-af7b-cf331a2d98a3"/>
    <xsd:import namespace="9611b245-3414-4c57-9267-9bfbc6a1bf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047d8f-172a-4070-af7b-cf331a2d98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d3f2e66b-42c5-4872-ab01-de6067475e9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11b245-3414-4c57-9267-9bfbc6a1bf1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870fc21-aca4-45db-b4ec-bfebc3b6ba57}" ma:internalName="TaxCatchAll" ma:showField="CatchAllData" ma:web="9611b245-3414-4c57-9267-9bfbc6a1bf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047d8f-172a-4070-af7b-cf331a2d98a3">
      <Terms xmlns="http://schemas.microsoft.com/office/infopath/2007/PartnerControls"/>
    </lcf76f155ced4ddcb4097134ff3c332f>
    <TaxCatchAll xmlns="9611b245-3414-4c57-9267-9bfbc6a1bf12" xsi:nil="true"/>
  </documentManagement>
</p:properties>
</file>

<file path=customXml/itemProps1.xml><?xml version="1.0" encoding="utf-8"?>
<ds:datastoreItem xmlns:ds="http://schemas.openxmlformats.org/officeDocument/2006/customXml" ds:itemID="{114458E9-4C0D-44A4-AF10-93286C683D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047d8f-172a-4070-af7b-cf331a2d98a3"/>
    <ds:schemaRef ds:uri="9611b245-3414-4c57-9267-9bfbc6a1bf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24231AC-0DFA-498A-9AD9-838C5D061A4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37C3E8-4507-4016-9283-20CE08D147E5}">
  <ds:schemaRefs>
    <ds:schemaRef ds:uri="http://schemas.microsoft.com/office/2006/metadata/properties"/>
    <ds:schemaRef ds:uri="http://schemas.microsoft.com/office/infopath/2007/PartnerControls"/>
    <ds:schemaRef ds:uri="d0047d8f-172a-4070-af7b-cf331a2d98a3"/>
    <ds:schemaRef ds:uri="9611b245-3414-4c57-9267-9bfbc6a1bf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Model</vt:lpstr>
      <vt:lpstr>Projected Costs and Revenues</vt:lpstr>
      <vt:lpstr>Substation Example</vt:lpstr>
      <vt:lpstr>Primary Line Example</vt:lpstr>
    </vt:vector>
  </TitlesOfParts>
  <Manager/>
  <Company>Vermont Electric Coop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Brunner, Cyril</dc:creator>
  <cp:keywords/>
  <dc:description/>
  <cp:lastModifiedBy>Brunner, Cyril</cp:lastModifiedBy>
  <cp:revision/>
  <dcterms:created xsi:type="dcterms:W3CDTF">2024-04-10T15:54:23Z</dcterms:created>
  <dcterms:modified xsi:type="dcterms:W3CDTF">2024-11-12T14:06:04Z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0x010100FC8E08FDFDCCAD499FBA94E88C097F3D</vt:lpwstr>
  </property>
  <property fmtid="{D5CDD505-2E9C-101B-9397-08002B2CF9AE}" pid="3" name="MediaServiceImageTags">
    <vt:lpwstr/>
  </property>
</Properties>
</file>