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zma\Desktop\WAC\"/>
    </mc:Choice>
  </mc:AlternateContent>
  <xr:revisionPtr revIDLastSave="0" documentId="13_ncr:1_{B250EB11-B7F0-4B6D-9631-11BDFCCA67C1}" xr6:coauthVersionLast="47" xr6:coauthVersionMax="47" xr10:uidLastSave="{00000000-0000-0000-0000-000000000000}"/>
  <bookViews>
    <workbookView xWindow="2685" yWindow="450" windowWidth="23250" windowHeight="15510" xr2:uid="{00000000-000D-0000-FFFF-FFFF00000000}"/>
  </bookViews>
  <sheets>
    <sheet name="Cost of service" sheetId="11" r:id="rId1"/>
    <sheet name="Cost of Debt" sheetId="13" r:id="rId2"/>
    <sheet name="Rate Change Determination" sheetId="10" r:id="rId3"/>
  </sheets>
  <definedNames>
    <definedName name="_xlnm.Print_Area" localSheetId="1">'Cost of Debt'!$B$1:$J$36</definedName>
    <definedName name="_xlnm.Print_Area" localSheetId="0">'Cost of service'!$B$1:$H$53</definedName>
    <definedName name="_xlnm.Print_Area" localSheetId="2">'Rate Change Determination'!$B:$H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11" l="1"/>
  <c r="H16" i="10" l="1"/>
  <c r="G27" i="11"/>
  <c r="D44" i="11"/>
  <c r="C44" i="11"/>
  <c r="E43" i="11"/>
  <c r="E42" i="11"/>
  <c r="G42" i="11" s="1"/>
  <c r="E33" i="11"/>
  <c r="H33" i="11" s="1"/>
  <c r="E34" i="11"/>
  <c r="E35" i="11"/>
  <c r="H35" i="11" s="1"/>
  <c r="E36" i="11"/>
  <c r="H36" i="11" s="1"/>
  <c r="E37" i="11"/>
  <c r="H37" i="11" s="1"/>
  <c r="E38" i="11"/>
  <c r="E39" i="11"/>
  <c r="H39" i="11" s="1"/>
  <c r="E40" i="11"/>
  <c r="H40" i="11" s="1"/>
  <c r="E32" i="11"/>
  <c r="H32" i="11" s="1"/>
  <c r="D27" i="11"/>
  <c r="C27" i="11"/>
  <c r="E10" i="11"/>
  <c r="H10" i="11" s="1"/>
  <c r="E11" i="11"/>
  <c r="H11" i="11" s="1"/>
  <c r="E12" i="11"/>
  <c r="H12" i="11" s="1"/>
  <c r="E13" i="11"/>
  <c r="H13" i="11" s="1"/>
  <c r="E14" i="11"/>
  <c r="H14" i="11" s="1"/>
  <c r="E15" i="11"/>
  <c r="H15" i="11" s="1"/>
  <c r="E16" i="11"/>
  <c r="H16" i="11" s="1"/>
  <c r="E17" i="11"/>
  <c r="H17" i="11" s="1"/>
  <c r="E18" i="11"/>
  <c r="H18" i="11" s="1"/>
  <c r="E19" i="11"/>
  <c r="H19" i="11" s="1"/>
  <c r="E20" i="11"/>
  <c r="H20" i="11" s="1"/>
  <c r="E21" i="11"/>
  <c r="H21" i="11" s="1"/>
  <c r="E22" i="11"/>
  <c r="H22" i="11" s="1"/>
  <c r="E23" i="11"/>
  <c r="H23" i="11" s="1"/>
  <c r="E24" i="11"/>
  <c r="H24" i="11" s="1"/>
  <c r="E9" i="11"/>
  <c r="H9" i="11" s="1"/>
  <c r="C33" i="13"/>
  <c r="C36" i="13" s="1"/>
  <c r="I15" i="13"/>
  <c r="I9" i="13"/>
  <c r="I8" i="13"/>
  <c r="E22" i="13"/>
  <c r="E24" i="13" s="1"/>
  <c r="H27" i="11" l="1"/>
  <c r="E44" i="11"/>
  <c r="G18" i="10"/>
  <c r="H49" i="11"/>
  <c r="G43" i="11"/>
  <c r="H43" i="11" s="1"/>
  <c r="E27" i="11"/>
  <c r="E48" i="11" s="1"/>
  <c r="E50" i="11" s="1"/>
  <c r="I19" i="13"/>
  <c r="G44" i="11" l="1"/>
  <c r="G7" i="10"/>
  <c r="D7" i="10" l="1"/>
  <c r="E17" i="13"/>
  <c r="E19" i="13" s="1"/>
  <c r="D17" i="10"/>
  <c r="G14" i="10"/>
  <c r="G19" i="10" s="1"/>
  <c r="F14" i="10"/>
  <c r="D14" i="10"/>
  <c r="F10" i="10"/>
  <c r="E7" i="10"/>
  <c r="C19" i="13"/>
  <c r="D19" i="13"/>
  <c r="I21" i="13" l="1"/>
  <c r="G46" i="11" s="1"/>
  <c r="F18" i="10"/>
  <c r="F19" i="10" s="1"/>
  <c r="D18" i="10"/>
  <c r="D19" i="10" s="1"/>
  <c r="E14" i="10"/>
  <c r="E18" i="10"/>
  <c r="H7" i="10"/>
  <c r="E51" i="11" s="1"/>
  <c r="E52" i="11" l="1"/>
  <c r="E53" i="11" s="1"/>
  <c r="H51" i="11"/>
  <c r="H46" i="11"/>
  <c r="G48" i="11"/>
  <c r="E8" i="10"/>
  <c r="G8" i="10"/>
  <c r="G10" i="10" s="1"/>
  <c r="E19" i="10"/>
  <c r="D8" i="10"/>
  <c r="F8" i="10"/>
  <c r="E10" i="10" l="1"/>
  <c r="D10" i="10"/>
  <c r="H8" i="10"/>
  <c r="H10" i="10" l="1"/>
  <c r="H34" i="11" l="1"/>
  <c r="H44" i="11" s="1"/>
  <c r="H48" i="11" s="1"/>
  <c r="H50" i="11" s="1"/>
  <c r="H52" i="11" s="1"/>
  <c r="H53" i="11" s="1"/>
  <c r="H12" i="10" l="1"/>
  <c r="G13" i="10" l="1"/>
  <c r="G15" i="10" s="1"/>
  <c r="G21" i="10" s="1"/>
  <c r="E13" i="10"/>
  <c r="D13" i="10"/>
  <c r="D15" i="10" s="1"/>
  <c r="D21" i="10" s="1"/>
  <c r="F13" i="10"/>
  <c r="F15" i="10" s="1"/>
  <c r="F21" i="10" s="1"/>
  <c r="E15" i="10" l="1"/>
  <c r="E21" i="10" s="1"/>
</calcChain>
</file>

<file path=xl/sharedStrings.xml><?xml version="1.0" encoding="utf-8"?>
<sst xmlns="http://schemas.openxmlformats.org/spreadsheetml/2006/main" count="127" uniqueCount="104">
  <si>
    <t>Woodstock Aqueduct Company</t>
  </si>
  <si>
    <t>Base Charge (per meter)</t>
  </si>
  <si>
    <t>Hydrant Charges</t>
  </si>
  <si>
    <t>Cost of Service</t>
  </si>
  <si>
    <t>Test Year ending 12/31/2023</t>
  </si>
  <si>
    <t>2023</t>
  </si>
  <si>
    <t>Change</t>
  </si>
  <si>
    <t>Rate year</t>
  </si>
  <si>
    <t>Salaries and wages</t>
  </si>
  <si>
    <t>Payroll taxes</t>
  </si>
  <si>
    <t>Pension plan</t>
  </si>
  <si>
    <t>Employee benefits</t>
  </si>
  <si>
    <t>Backhoe expenses</t>
  </si>
  <si>
    <t>Equipment rental</t>
  </si>
  <si>
    <t>Equipment insurance</t>
  </si>
  <si>
    <t>Heat</t>
  </si>
  <si>
    <t>Electricity</t>
  </si>
  <si>
    <t>Operating supplies</t>
  </si>
  <si>
    <t>Property and other taxes</t>
  </si>
  <si>
    <t>Rent</t>
  </si>
  <si>
    <t>Repairs and maintenance</t>
  </si>
  <si>
    <t>Repairs and maintenance - flood damage</t>
  </si>
  <si>
    <t>Truck and travel expenses</t>
  </si>
  <si>
    <t>Officer salaries</t>
  </si>
  <si>
    <t>Insurance</t>
  </si>
  <si>
    <t>Miscellaneous</t>
  </si>
  <si>
    <t>Land management</t>
  </si>
  <si>
    <t>Office supplies and expenses</t>
  </si>
  <si>
    <t>Professional services</t>
  </si>
  <si>
    <t>Telephone</t>
  </si>
  <si>
    <t>Capacity Charge</t>
  </si>
  <si>
    <t>Principal</t>
  </si>
  <si>
    <t>Monthly Payment</t>
  </si>
  <si>
    <t>Annual payments</t>
  </si>
  <si>
    <t>Mascoma Mortgage Note</t>
  </si>
  <si>
    <t>Solar Trackers Mascoma</t>
  </si>
  <si>
    <t>Kubota Equipment loan</t>
  </si>
  <si>
    <t>VEDA West End Line loan</t>
  </si>
  <si>
    <t>Flood loan Mascoma</t>
  </si>
  <si>
    <t>VEDA Lead Line inventory</t>
  </si>
  <si>
    <t>VEDA PER</t>
  </si>
  <si>
    <t>Line of credit</t>
  </si>
  <si>
    <t>Accounts payable</t>
  </si>
  <si>
    <t>Total</t>
  </si>
  <si>
    <t>Elm Street river crossing</t>
  </si>
  <si>
    <t>Annual Cost of debt</t>
  </si>
  <si>
    <t xml:space="preserve">Rate Change Determination </t>
  </si>
  <si>
    <t>Variable Charge (per/cb/ft)</t>
  </si>
  <si>
    <t>Test Year Rate</t>
  </si>
  <si>
    <t>Unit (meters, volume, hydrants)</t>
  </si>
  <si>
    <t>Revenue</t>
  </si>
  <si>
    <t>Contribution %</t>
  </si>
  <si>
    <t>Contribution Adjustments</t>
  </si>
  <si>
    <t>Cost of Service Revenue Requirement</t>
  </si>
  <si>
    <t>Revenue Requirement Per Rate Class</t>
  </si>
  <si>
    <t>Cost of Service Rates</t>
  </si>
  <si>
    <t>Deficiency Fund Allocation %</t>
  </si>
  <si>
    <t>Rate Year Rates</t>
  </si>
  <si>
    <t>TEST YEAR</t>
  </si>
  <si>
    <t>RATE YEAR</t>
  </si>
  <si>
    <t xml:space="preserve">Total Cost of Service </t>
  </si>
  <si>
    <t>Operating Expenses</t>
  </si>
  <si>
    <t>Category</t>
  </si>
  <si>
    <t>Administrative &amp; General Expenses Total</t>
  </si>
  <si>
    <t>Total Operating Expenses Total</t>
  </si>
  <si>
    <t xml:space="preserve">Debt Expenses </t>
  </si>
  <si>
    <t>Administrative and General Expenses</t>
  </si>
  <si>
    <t xml:space="preserve">Woodstock Aqueduct Company  </t>
  </si>
  <si>
    <t>Employee benefits - Health Insurance</t>
  </si>
  <si>
    <t>ANR required planned pipe replacement</t>
  </si>
  <si>
    <t>SCADA System</t>
  </si>
  <si>
    <t>20-3640-PET</t>
  </si>
  <si>
    <t>17-2934-PET</t>
  </si>
  <si>
    <t>23-2798-PET</t>
  </si>
  <si>
    <t>22-5462-PET 0% interest</t>
  </si>
  <si>
    <t>ok</t>
  </si>
  <si>
    <t>AS FILED</t>
  </si>
  <si>
    <t xml:space="preserve">AS FILED </t>
  </si>
  <si>
    <t>Depreciation &amp; Amortization</t>
  </si>
  <si>
    <t>Department</t>
  </si>
  <si>
    <t>Adjusted</t>
  </si>
  <si>
    <t>(Annualized from 7-months)</t>
  </si>
  <si>
    <t>(Total Adjustment)</t>
  </si>
  <si>
    <t>('0% interest)</t>
  </si>
  <si>
    <t>(Estimated on $25,000.00)</t>
  </si>
  <si>
    <t>(Department Total)</t>
  </si>
  <si>
    <t>(From amortization schedule)</t>
  </si>
  <si>
    <t>Not filed for approval yet</t>
  </si>
  <si>
    <t>Hydrants - not filed for approval yet</t>
  </si>
  <si>
    <t>Principal adjusted out</t>
  </si>
  <si>
    <t>Interest only</t>
  </si>
  <si>
    <t>DEC Deficiency Fund Requirement</t>
  </si>
  <si>
    <t>DEC Deficiency Fund Rate Change</t>
  </si>
  <si>
    <t>Department Adjustments</t>
  </si>
  <si>
    <t>Depreciation</t>
  </si>
  <si>
    <t>PSD</t>
  </si>
  <si>
    <t>`</t>
  </si>
  <si>
    <t>Test Year Revenues</t>
  </si>
  <si>
    <t>Revenue Increase Needed</t>
  </si>
  <si>
    <t>Adj to "As Filed"</t>
  </si>
  <si>
    <t>As Filed</t>
  </si>
  <si>
    <t>Book</t>
  </si>
  <si>
    <t>Department Adjusted</t>
  </si>
  <si>
    <t>ANR Deficiency Fund Requirement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</si>
</sst>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###0;###0;0"/>
    <numFmt numFmtId="166" formatCode="_(&quot;$&quot;* #,##0_);_(&quot;$&quot;* \(#,##0\);_(&quot;$&quot;* &quot;-&quot;??_);_(@_)"/>
    <numFmt numFmtId="167" formatCode="&quot;$&quot;#,##0;&quot;$&quot;#,##0;&quot;$&quot;0"/>
    <numFmt numFmtId="168" formatCode="\(* \ #,##0\);#,##0\ ;_*\ &quot;-0-&quot;\ "/>
    <numFmt numFmtId="169" formatCode="_(* #,##0_);\(* \ #,##0\);_(* &quot;-0-&quot;_);_(@_)"/>
    <numFmt numFmtId="170" formatCode="&quot;$&quot;#,##0.0000"/>
    <numFmt numFmtId="171" formatCode="_(* #,##0_);_(* \(#,##0\);_(* &quot;-&quot;??_);_(@_)"/>
    <numFmt numFmtId="172" formatCode="&quot;$&quot;#,##0"/>
    <numFmt numFmtId="173" formatCode="0.0%"/>
  </numFmts>
  <fonts count="1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rgb="FF000000"/>
      <name val="Arial"/>
      <family val="2"/>
    </font>
    <font>
      <sz val="11"/>
      <color rgb="FFFF0066"/>
      <name val="Arial"/>
      <family val="2"/>
    </font>
    <font>
      <b/>
      <sz val="10"/>
      <color rgb="FFFF0066"/>
      <name val="Arial"/>
      <family val="2"/>
    </font>
    <font>
      <sz val="10"/>
      <color rgb="FFFF0066"/>
      <name val="Arial"/>
      <family val="2"/>
    </font>
    <font>
      <sz val="10"/>
      <color rgb="FFFF0000"/>
      <name val="Arial"/>
      <family val="2"/>
    </font>
    <font>
      <sz val="10"/>
      <color theme="6" tint="-0.249977111117893"/>
      <name val="Arial"/>
      <family val="2"/>
    </font>
    <font>
      <sz val="12"/>
      <name val="Arial"/>
      <family val="2"/>
    </font>
    <font>
      <i/>
      <sz val="10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0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4" fontId="0" fillId="0" borderId="0" xfId="0" applyNumberFormat="1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/>
    <xf numFmtId="0" fontId="5" fillId="0" borderId="0" xfId="0" applyFont="1" applyAlignment="1">
      <alignment horizontal="right"/>
    </xf>
    <xf numFmtId="44" fontId="5" fillId="0" borderId="5" xfId="0" applyNumberFormat="1" applyFont="1" applyBorder="1" applyAlignment="1">
      <alignment horizontal="right"/>
    </xf>
    <xf numFmtId="1" fontId="5" fillId="0" borderId="0" xfId="0" applyNumberFormat="1" applyFont="1" applyAlignment="1">
      <alignment horizontal="right"/>
    </xf>
    <xf numFmtId="1" fontId="5" fillId="0" borderId="5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9" fontId="5" fillId="0" borderId="0" xfId="0" applyNumberFormat="1" applyFont="1" applyAlignment="1">
      <alignment horizontal="right"/>
    </xf>
    <xf numFmtId="9" fontId="5" fillId="0" borderId="5" xfId="0" applyNumberFormat="1" applyFont="1" applyBorder="1" applyAlignment="1">
      <alignment horizontal="right"/>
    </xf>
    <xf numFmtId="10" fontId="5" fillId="0" borderId="0" xfId="0" applyNumberFormat="1" applyFont="1" applyAlignment="1">
      <alignment horizontal="right"/>
    </xf>
    <xf numFmtId="0" fontId="5" fillId="0" borderId="5" xfId="0" applyFont="1" applyBorder="1" applyAlignment="1">
      <alignment horizontal="right"/>
    </xf>
    <xf numFmtId="164" fontId="5" fillId="0" borderId="5" xfId="0" applyNumberFormat="1" applyFont="1" applyBorder="1" applyAlignment="1">
      <alignment horizontal="right"/>
    </xf>
    <xf numFmtId="0" fontId="4" fillId="0" borderId="6" xfId="0" applyFont="1" applyBorder="1"/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4" fontId="5" fillId="0" borderId="0" xfId="0" applyNumberFormat="1" applyFont="1" applyAlignment="1">
      <alignment horizontal="right"/>
    </xf>
    <xf numFmtId="164" fontId="5" fillId="0" borderId="0" xfId="1" applyNumberFormat="1" applyFont="1" applyBorder="1" applyAlignment="1">
      <alignment horizontal="right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/>
    <xf numFmtId="44" fontId="5" fillId="0" borderId="0" xfId="0" applyNumberFormat="1" applyFont="1"/>
    <xf numFmtId="0" fontId="4" fillId="0" borderId="12" xfId="0" applyFont="1" applyBorder="1" applyAlignment="1">
      <alignment horizontal="center"/>
    </xf>
    <xf numFmtId="14" fontId="4" fillId="0" borderId="12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44" fontId="5" fillId="0" borderId="12" xfId="0" applyNumberFormat="1" applyFont="1" applyBorder="1" applyAlignment="1">
      <alignment horizontal="center"/>
    </xf>
    <xf numFmtId="0" fontId="5" fillId="0" borderId="12" xfId="0" applyFont="1" applyBorder="1"/>
    <xf numFmtId="44" fontId="5" fillId="0" borderId="12" xfId="0" applyNumberFormat="1" applyFont="1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44" fontId="5" fillId="0" borderId="14" xfId="0" applyNumberFormat="1" applyFont="1" applyBorder="1" applyAlignment="1">
      <alignment horizontal="center"/>
    </xf>
    <xf numFmtId="0" fontId="5" fillId="0" borderId="13" xfId="0" applyFont="1" applyBorder="1"/>
    <xf numFmtId="44" fontId="5" fillId="0" borderId="14" xfId="0" applyNumberFormat="1" applyFont="1" applyBorder="1"/>
    <xf numFmtId="0" fontId="4" fillId="0" borderId="15" xfId="0" applyFont="1" applyBorder="1"/>
    <xf numFmtId="4" fontId="5" fillId="0" borderId="0" xfId="0" applyNumberFormat="1" applyFont="1"/>
    <xf numFmtId="165" fontId="5" fillId="0" borderId="0" xfId="0" applyNumberFormat="1" applyFont="1"/>
    <xf numFmtId="169" fontId="5" fillId="0" borderId="0" xfId="0" applyNumberFormat="1" applyFont="1"/>
    <xf numFmtId="165" fontId="4" fillId="0" borderId="12" xfId="0" applyNumberFormat="1" applyFont="1" applyBorder="1" applyAlignment="1">
      <alignment horizontal="center"/>
    </xf>
    <xf numFmtId="165" fontId="5" fillId="0" borderId="12" xfId="0" applyNumberFormat="1" applyFont="1" applyBorder="1"/>
    <xf numFmtId="165" fontId="4" fillId="0" borderId="12" xfId="0" applyNumberFormat="1" applyFont="1" applyBorder="1"/>
    <xf numFmtId="164" fontId="0" fillId="0" borderId="0" xfId="0" applyNumberFormat="1"/>
    <xf numFmtId="170" fontId="5" fillId="0" borderId="0" xfId="0" applyNumberFormat="1" applyFont="1" applyAlignment="1">
      <alignment horizontal="right"/>
    </xf>
    <xf numFmtId="165" fontId="9" fillId="0" borderId="0" xfId="0" applyNumberFormat="1" applyFont="1"/>
    <xf numFmtId="169" fontId="10" fillId="0" borderId="0" xfId="0" applyNumberFormat="1" applyFont="1" applyAlignment="1">
      <alignment horizontal="center"/>
    </xf>
    <xf numFmtId="10" fontId="0" fillId="0" borderId="0" xfId="5" applyNumberFormat="1" applyFont="1"/>
    <xf numFmtId="10" fontId="8" fillId="0" borderId="0" xfId="5" applyNumberFormat="1" applyFont="1"/>
    <xf numFmtId="165" fontId="10" fillId="0" borderId="0" xfId="0" applyNumberFormat="1" applyFont="1"/>
    <xf numFmtId="171" fontId="10" fillId="0" borderId="0" xfId="4" applyNumberFormat="1" applyFont="1"/>
    <xf numFmtId="0" fontId="10" fillId="0" borderId="0" xfId="0" applyFont="1"/>
    <xf numFmtId="0" fontId="9" fillId="0" borderId="0" xfId="0" applyFont="1"/>
    <xf numFmtId="0" fontId="5" fillId="3" borderId="13" xfId="0" applyFont="1" applyFill="1" applyBorder="1"/>
    <xf numFmtId="0" fontId="11" fillId="0" borderId="0" xfId="0" applyFont="1"/>
    <xf numFmtId="164" fontId="10" fillId="0" borderId="0" xfId="0" applyNumberFormat="1" applyFont="1"/>
    <xf numFmtId="168" fontId="10" fillId="0" borderId="0" xfId="0" quotePrefix="1" applyNumberFormat="1" applyFont="1"/>
    <xf numFmtId="168" fontId="10" fillId="0" borderId="0" xfId="0" applyNumberFormat="1" applyFont="1"/>
    <xf numFmtId="165" fontId="12" fillId="0" borderId="0" xfId="0" applyNumberFormat="1" applyFont="1"/>
    <xf numFmtId="38" fontId="10" fillId="0" borderId="0" xfId="0" applyNumberFormat="1" applyFont="1"/>
    <xf numFmtId="166" fontId="5" fillId="0" borderId="18" xfId="0" applyNumberFormat="1" applyFont="1" applyBorder="1"/>
    <xf numFmtId="0" fontId="5" fillId="0" borderId="19" xfId="0" applyFont="1" applyBorder="1"/>
    <xf numFmtId="3" fontId="5" fillId="0" borderId="12" xfId="0" applyNumberFormat="1" applyFont="1" applyBorder="1"/>
    <xf numFmtId="167" fontId="10" fillId="0" borderId="0" xfId="0" applyNumberFormat="1" applyFont="1"/>
    <xf numFmtId="9" fontId="0" fillId="0" borderId="0" xfId="5" applyFont="1"/>
    <xf numFmtId="165" fontId="5" fillId="0" borderId="0" xfId="0" quotePrefix="1" applyNumberFormat="1" applyFont="1"/>
    <xf numFmtId="165" fontId="14" fillId="0" borderId="0" xfId="0" applyNumberFormat="1" applyFont="1"/>
    <xf numFmtId="165" fontId="8" fillId="0" borderId="0" xfId="0" applyNumberFormat="1" applyFont="1"/>
    <xf numFmtId="43" fontId="0" fillId="0" borderId="0" xfId="4" applyFont="1" applyAlignment="1">
      <alignment horizontal="center"/>
    </xf>
    <xf numFmtId="43" fontId="0" fillId="0" borderId="21" xfId="4" applyFont="1" applyBorder="1" applyAlignment="1">
      <alignment horizontal="center"/>
    </xf>
    <xf numFmtId="43" fontId="0" fillId="0" borderId="0" xfId="4" applyFont="1"/>
    <xf numFmtId="8" fontId="0" fillId="0" borderId="0" xfId="0" applyNumberFormat="1"/>
    <xf numFmtId="164" fontId="1" fillId="0" borderId="4" xfId="0" applyNumberFormat="1" applyFont="1" applyBorder="1"/>
    <xf numFmtId="0" fontId="11" fillId="0" borderId="0" xfId="0" quotePrefix="1" applyFont="1"/>
    <xf numFmtId="8" fontId="0" fillId="2" borderId="0" xfId="0" applyNumberFormat="1" applyFill="1"/>
    <xf numFmtId="166" fontId="5" fillId="0" borderId="12" xfId="1" applyNumberFormat="1" applyFont="1" applyBorder="1"/>
    <xf numFmtId="166" fontId="5" fillId="0" borderId="19" xfId="1" applyNumberFormat="1" applyFont="1" applyBorder="1"/>
    <xf numFmtId="166" fontId="5" fillId="0" borderId="18" xfId="1" applyNumberFormat="1" applyFont="1" applyBorder="1"/>
    <xf numFmtId="166" fontId="13" fillId="0" borderId="12" xfId="1" applyNumberFormat="1" applyFont="1" applyBorder="1"/>
    <xf numFmtId="166" fontId="4" fillId="0" borderId="12" xfId="1" applyNumberFormat="1" applyFont="1" applyBorder="1"/>
    <xf numFmtId="166" fontId="4" fillId="0" borderId="19" xfId="1" applyNumberFormat="1" applyFont="1" applyBorder="1"/>
    <xf numFmtId="166" fontId="4" fillId="0" borderId="18" xfId="1" applyNumberFormat="1" applyFont="1" applyBorder="1"/>
    <xf numFmtId="166" fontId="5" fillId="0" borderId="0" xfId="1" applyNumberFormat="1" applyFont="1"/>
    <xf numFmtId="166" fontId="10" fillId="0" borderId="12" xfId="1" applyNumberFormat="1" applyFont="1" applyBorder="1" applyAlignment="1">
      <alignment horizontal="center"/>
    </xf>
    <xf numFmtId="166" fontId="10" fillId="0" borderId="19" xfId="1" applyNumberFormat="1" applyFont="1" applyBorder="1" applyAlignment="1">
      <alignment horizontal="center"/>
    </xf>
    <xf numFmtId="166" fontId="5" fillId="0" borderId="12" xfId="1" applyNumberFormat="1" applyFont="1" applyFill="1" applyBorder="1"/>
    <xf numFmtId="0" fontId="15" fillId="0" borderId="18" xfId="0" applyFont="1" applyBorder="1" applyAlignment="1">
      <alignment horizontal="center"/>
    </xf>
    <xf numFmtId="4" fontId="15" fillId="0" borderId="12" xfId="0" applyNumberFormat="1" applyFont="1" applyBorder="1" applyAlignment="1">
      <alignment horizontal="center"/>
    </xf>
    <xf numFmtId="166" fontId="13" fillId="0" borderId="18" xfId="1" applyNumberFormat="1" applyFont="1" applyFill="1" applyBorder="1"/>
    <xf numFmtId="166" fontId="13" fillId="0" borderId="12" xfId="1" applyNumberFormat="1" applyFont="1" applyFill="1" applyBorder="1"/>
    <xf numFmtId="166" fontId="13" fillId="0" borderId="18" xfId="1" applyNumberFormat="1" applyFont="1" applyBorder="1"/>
    <xf numFmtId="166" fontId="13" fillId="0" borderId="20" xfId="1" applyNumberFormat="1" applyFont="1" applyBorder="1"/>
    <xf numFmtId="166" fontId="13" fillId="0" borderId="0" xfId="1" applyNumberFormat="1" applyFont="1"/>
    <xf numFmtId="165" fontId="16" fillId="0" borderId="0" xfId="0" applyNumberFormat="1" applyFont="1"/>
    <xf numFmtId="166" fontId="0" fillId="0" borderId="0" xfId="1" applyNumberFormat="1" applyFont="1"/>
    <xf numFmtId="44" fontId="10" fillId="0" borderId="0" xfId="1" applyFont="1"/>
    <xf numFmtId="172" fontId="5" fillId="0" borderId="0" xfId="0" applyNumberFormat="1" applyFont="1" applyAlignment="1">
      <alignment horizontal="right"/>
    </xf>
    <xf numFmtId="165" fontId="5" fillId="0" borderId="23" xfId="0" applyNumberFormat="1" applyFont="1" applyBorder="1"/>
    <xf numFmtId="166" fontId="5" fillId="0" borderId="23" xfId="1" applyNumberFormat="1" applyFont="1" applyBorder="1"/>
    <xf numFmtId="166" fontId="5" fillId="0" borderId="24" xfId="1" applyNumberFormat="1" applyFont="1" applyBorder="1"/>
    <xf numFmtId="166" fontId="13" fillId="0" borderId="25" xfId="1" applyNumberFormat="1" applyFont="1" applyBorder="1"/>
    <xf numFmtId="166" fontId="13" fillId="0" borderId="23" xfId="1" applyNumberFormat="1" applyFont="1" applyBorder="1"/>
    <xf numFmtId="165" fontId="13" fillId="0" borderId="16" xfId="0" applyNumberFormat="1" applyFont="1" applyBorder="1"/>
    <xf numFmtId="166" fontId="13" fillId="0" borderId="16" xfId="1" applyNumberFormat="1" applyFont="1" applyBorder="1"/>
    <xf numFmtId="166" fontId="5" fillId="0" borderId="26" xfId="1" applyNumberFormat="1" applyFont="1" applyBorder="1"/>
    <xf numFmtId="166" fontId="13" fillId="0" borderId="27" xfId="1" applyNumberFormat="1" applyFont="1" applyBorder="1"/>
    <xf numFmtId="166" fontId="13" fillId="0" borderId="16" xfId="1" applyNumberFormat="1" applyFont="1" applyFill="1" applyBorder="1"/>
    <xf numFmtId="0" fontId="17" fillId="0" borderId="0" xfId="0" applyFont="1"/>
    <xf numFmtId="165" fontId="13" fillId="0" borderId="0" xfId="0" applyNumberFormat="1" applyFont="1"/>
    <xf numFmtId="10" fontId="18" fillId="0" borderId="0" xfId="5" applyNumberFormat="1" applyFont="1"/>
    <xf numFmtId="173" fontId="5" fillId="0" borderId="0" xfId="5" applyNumberFormat="1" applyFont="1"/>
    <xf numFmtId="10" fontId="5" fillId="0" borderId="0" xfId="5" applyNumberFormat="1" applyFont="1"/>
    <xf numFmtId="166" fontId="16" fillId="0" borderId="0" xfId="1" applyNumberFormat="1" applyFont="1"/>
    <xf numFmtId="166" fontId="5" fillId="0" borderId="0" xfId="0" applyNumberFormat="1" applyFont="1"/>
    <xf numFmtId="166" fontId="5" fillId="0" borderId="21" xfId="0" applyNumberFormat="1" applyFont="1" applyBorder="1"/>
    <xf numFmtId="172" fontId="5" fillId="0" borderId="5" xfId="0" applyNumberFormat="1" applyFont="1" applyBorder="1" applyAlignment="1">
      <alignment horizontal="right"/>
    </xf>
    <xf numFmtId="9" fontId="4" fillId="0" borderId="4" xfId="0" applyNumberFormat="1" applyFont="1" applyBorder="1"/>
    <xf numFmtId="9" fontId="5" fillId="0" borderId="0" xfId="1" applyNumberFormat="1" applyFont="1" applyFill="1" applyBorder="1" applyAlignment="1">
      <alignment horizontal="right"/>
    </xf>
    <xf numFmtId="0" fontId="4" fillId="0" borderId="1" xfId="0" applyFont="1" applyBorder="1"/>
    <xf numFmtId="9" fontId="5" fillId="0" borderId="2" xfId="0" applyNumberFormat="1" applyFont="1" applyBorder="1" applyAlignment="1">
      <alignment horizontal="right"/>
    </xf>
    <xf numFmtId="9" fontId="5" fillId="0" borderId="3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right"/>
    </xf>
    <xf numFmtId="172" fontId="0" fillId="0" borderId="0" xfId="0" applyNumberFormat="1"/>
    <xf numFmtId="166" fontId="5" fillId="0" borderId="28" xfId="1" applyNumberFormat="1" applyFont="1" applyBorder="1"/>
    <xf numFmtId="166" fontId="5" fillId="0" borderId="21" xfId="1" applyNumberFormat="1" applyFont="1" applyBorder="1"/>
    <xf numFmtId="166" fontId="5" fillId="4" borderId="0" xfId="1" applyNumberFormat="1" applyFont="1" applyFill="1"/>
    <xf numFmtId="166" fontId="1" fillId="0" borderId="17" xfId="1" applyNumberFormat="1" applyFont="1" applyBorder="1"/>
    <xf numFmtId="166" fontId="1" fillId="4" borderId="22" xfId="1" applyNumberFormat="1" applyFont="1" applyFill="1" applyBorder="1"/>
    <xf numFmtId="166" fontId="5" fillId="0" borderId="12" xfId="0" applyNumberFormat="1" applyFont="1" applyBorder="1"/>
    <xf numFmtId="166" fontId="5" fillId="0" borderId="14" xfId="0" applyNumberFormat="1" applyFont="1" applyBorder="1"/>
    <xf numFmtId="166" fontId="5" fillId="3" borderId="12" xfId="0" applyNumberFormat="1" applyFont="1" applyFill="1" applyBorder="1"/>
    <xf numFmtId="166" fontId="5" fillId="3" borderId="14" xfId="0" applyNumberFormat="1" applyFont="1" applyFill="1" applyBorder="1"/>
    <xf numFmtId="166" fontId="4" fillId="0" borderId="16" xfId="0" applyNumberFormat="1" applyFont="1" applyBorder="1"/>
    <xf numFmtId="166" fontId="4" fillId="0" borderId="17" xfId="0" applyNumberFormat="1" applyFont="1" applyBorder="1"/>
    <xf numFmtId="172" fontId="5" fillId="0" borderId="0" xfId="0" applyNumberFormat="1" applyFont="1"/>
    <xf numFmtId="172" fontId="7" fillId="0" borderId="0" xfId="0" applyNumberFormat="1" applyFont="1"/>
    <xf numFmtId="165" fontId="4" fillId="5" borderId="0" xfId="0" applyNumberFormat="1" applyFont="1" applyFill="1"/>
    <xf numFmtId="4" fontId="4" fillId="5" borderId="0" xfId="0" applyNumberFormat="1" applyFont="1" applyFill="1"/>
    <xf numFmtId="166" fontId="4" fillId="0" borderId="12" xfId="1" applyNumberFormat="1" applyFont="1" applyFill="1" applyBorder="1"/>
    <xf numFmtId="166" fontId="4" fillId="5" borderId="12" xfId="1" applyNumberFormat="1" applyFont="1" applyFill="1" applyBorder="1"/>
    <xf numFmtId="10" fontId="5" fillId="5" borderId="0" xfId="5" applyNumberFormat="1" applyFont="1" applyFill="1"/>
    <xf numFmtId="165" fontId="4" fillId="0" borderId="12" xfId="0" applyNumberFormat="1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9" xfId="0" applyFont="1" applyBorder="1" applyAlignment="1">
      <alignment vertical="center" textRotation="90"/>
    </xf>
    <xf numFmtId="0" fontId="4" fillId="0" borderId="10" xfId="0" applyFont="1" applyBorder="1" applyAlignment="1">
      <alignment vertical="center" textRotation="90"/>
    </xf>
    <xf numFmtId="0" fontId="4" fillId="0" borderId="11" xfId="0" applyFont="1" applyBorder="1" applyAlignment="1">
      <alignment vertical="center" textRotation="90"/>
    </xf>
  </cellXfs>
  <cellStyles count="6">
    <cellStyle name="Comma" xfId="4" builtinId="3"/>
    <cellStyle name="Currency" xfId="1" builtinId="4"/>
    <cellStyle name="Currency 2" xfId="3" xr:uid="{6ACE52D5-4AB8-467A-837C-BE2E2D433D4F}"/>
    <cellStyle name="Normal" xfId="0" builtinId="0"/>
    <cellStyle name="Normal 3" xfId="2" xr:uid="{4A249C89-5960-4178-8860-E66626A4AACD}"/>
    <cellStyle name="Percent" xfId="5" builtinId="5"/>
  </cellStyles>
  <dxfs count="0"/>
  <tableStyles count="0" defaultTableStyle="TableStyleMedium2" defaultPivotStyle="PivotStyleLight16"/>
  <colors>
    <mruColors>
      <color rgb="FFFFFF99"/>
      <color rgb="FFFFFF66"/>
      <color rgb="FFFFFFCC"/>
      <color rgb="FFFF0066"/>
      <color rgb="FF66FF33"/>
      <color rgb="FF66FF66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12</xdr:row>
      <xdr:rowOff>22860</xdr:rowOff>
    </xdr:from>
    <xdr:to>
      <xdr:col>8</xdr:col>
      <xdr:colOff>22859</xdr:colOff>
      <xdr:row>14</xdr:row>
      <xdr:rowOff>22860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27D79167-66F7-6470-7E28-5272933BA779}"/>
            </a:ext>
          </a:extLst>
        </xdr:cNvPr>
        <xdr:cNvSpPr/>
      </xdr:nvSpPr>
      <xdr:spPr>
        <a:xfrm>
          <a:off x="7345680" y="2194560"/>
          <a:ext cx="45719" cy="388620"/>
        </a:xfrm>
        <a:prstGeom prst="rightBrace">
          <a:avLst/>
        </a:prstGeom>
        <a:ln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6C93-26D4-46C4-8372-1F19144C544A}">
  <sheetPr>
    <pageSetUpPr fitToPage="1"/>
  </sheetPr>
  <dimension ref="B2:U178"/>
  <sheetViews>
    <sheetView tabSelected="1" zoomScale="75" zoomScaleNormal="75" workbookViewId="0">
      <selection activeCell="B4" sqref="B4:H4"/>
    </sheetView>
  </sheetViews>
  <sheetFormatPr defaultColWidth="9.140625" defaultRowHeight="15" x14ac:dyDescent="0.2"/>
  <cols>
    <col min="2" max="2" width="49.140625" style="32" customWidth="1"/>
    <col min="3" max="5" width="17.140625" style="32" customWidth="1"/>
    <col min="6" max="6" width="7" style="32" customWidth="1"/>
    <col min="7" max="7" width="18.85546875" style="32" customWidth="1"/>
    <col min="8" max="8" width="18.85546875" style="47" customWidth="1"/>
    <col min="9" max="9" width="12.85546875" bestFit="1" customWidth="1"/>
    <col min="10" max="10" width="10.85546875" customWidth="1"/>
    <col min="11" max="11" width="4.7109375" customWidth="1"/>
    <col min="13" max="13" width="12.85546875" bestFit="1" customWidth="1"/>
  </cols>
  <sheetData>
    <row r="2" spans="2:21" ht="18" x14ac:dyDescent="0.25">
      <c r="B2" s="153" t="s">
        <v>0</v>
      </c>
      <c r="C2" s="153"/>
      <c r="D2" s="153"/>
      <c r="E2" s="153"/>
      <c r="F2" s="153"/>
      <c r="G2" s="153"/>
      <c r="H2" s="153"/>
    </row>
    <row r="3" spans="2:21" ht="18" x14ac:dyDescent="0.25">
      <c r="B3" s="153" t="s">
        <v>3</v>
      </c>
      <c r="C3" s="153"/>
      <c r="D3" s="153"/>
      <c r="E3" s="153"/>
      <c r="F3" s="153"/>
      <c r="G3" s="153"/>
      <c r="H3" s="153"/>
    </row>
    <row r="4" spans="2:21" ht="18" x14ac:dyDescent="0.25">
      <c r="B4" s="152" t="s">
        <v>4</v>
      </c>
      <c r="C4" s="152"/>
      <c r="D4" s="152"/>
      <c r="E4" s="152"/>
      <c r="F4" s="152"/>
      <c r="G4" s="152"/>
      <c r="H4" s="152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2:21" ht="15.75" x14ac:dyDescent="0.25">
      <c r="B5" s="48"/>
      <c r="C5" s="48"/>
      <c r="D5" s="48"/>
      <c r="E5" s="48"/>
      <c r="F5" s="48"/>
      <c r="G5" s="146" t="s">
        <v>93</v>
      </c>
      <c r="H5" s="147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2:21" ht="15.75" x14ac:dyDescent="0.25">
      <c r="B6" s="151" t="s">
        <v>61</v>
      </c>
      <c r="C6" s="151"/>
      <c r="D6" s="151"/>
      <c r="E6" s="151"/>
      <c r="F6" s="151"/>
      <c r="G6" s="151"/>
      <c r="H6" s="151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2:21" s="2" customFormat="1" ht="15.75" x14ac:dyDescent="0.25">
      <c r="B7" s="34" t="s">
        <v>62</v>
      </c>
      <c r="C7" s="34" t="s">
        <v>5</v>
      </c>
      <c r="D7" s="34" t="s">
        <v>6</v>
      </c>
      <c r="E7" s="34" t="s">
        <v>7</v>
      </c>
      <c r="F7" s="56"/>
      <c r="G7" s="96" t="s">
        <v>95</v>
      </c>
      <c r="H7" s="97" t="s">
        <v>7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2:21" s="2" customFormat="1" ht="15.75" x14ac:dyDescent="0.25">
      <c r="B8" s="50"/>
      <c r="C8" s="34"/>
      <c r="D8" s="34" t="s">
        <v>76</v>
      </c>
      <c r="E8" s="34" t="s">
        <v>77</v>
      </c>
      <c r="F8" s="56"/>
      <c r="G8" s="96" t="s">
        <v>99</v>
      </c>
      <c r="H8" s="97" t="s">
        <v>80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2:21" x14ac:dyDescent="0.2">
      <c r="B9" s="51" t="s">
        <v>8</v>
      </c>
      <c r="C9" s="85">
        <v>128420</v>
      </c>
      <c r="D9" s="85">
        <v>137842</v>
      </c>
      <c r="E9" s="85">
        <f>+D9+C9</f>
        <v>266262</v>
      </c>
      <c r="F9" s="56"/>
      <c r="G9" s="98">
        <v>0</v>
      </c>
      <c r="H9" s="99">
        <f>+E9+G9</f>
        <v>266262</v>
      </c>
      <c r="I9" s="62"/>
      <c r="J9" s="5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2:21" x14ac:dyDescent="0.2">
      <c r="B10" s="51" t="s">
        <v>9</v>
      </c>
      <c r="C10" s="85">
        <v>10090</v>
      </c>
      <c r="D10" s="85">
        <v>11009</v>
      </c>
      <c r="E10" s="85">
        <f t="shared" ref="E10:E24" si="0">+D10+C10</f>
        <v>21099</v>
      </c>
      <c r="F10" s="56"/>
      <c r="G10" s="98">
        <v>0</v>
      </c>
      <c r="H10" s="99">
        <f t="shared" ref="H10:H25" si="1">+E10+G10</f>
        <v>21099</v>
      </c>
      <c r="I10" s="5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2:21" x14ac:dyDescent="0.2">
      <c r="B11" s="51" t="s">
        <v>10</v>
      </c>
      <c r="C11" s="85">
        <v>0</v>
      </c>
      <c r="D11" s="85">
        <v>26626</v>
      </c>
      <c r="E11" s="85">
        <f t="shared" si="0"/>
        <v>26626</v>
      </c>
      <c r="F11" s="56"/>
      <c r="G11" s="98">
        <v>0</v>
      </c>
      <c r="H11" s="99">
        <f t="shared" si="1"/>
        <v>26626</v>
      </c>
      <c r="I11" s="5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2:21" x14ac:dyDescent="0.2">
      <c r="B12" s="51" t="s">
        <v>68</v>
      </c>
      <c r="C12" s="85">
        <v>7751</v>
      </c>
      <c r="D12" s="85">
        <v>12635.619999999999</v>
      </c>
      <c r="E12" s="85">
        <f t="shared" si="0"/>
        <v>20386.62</v>
      </c>
      <c r="F12" s="56"/>
      <c r="G12" s="98">
        <v>0</v>
      </c>
      <c r="H12" s="99">
        <f t="shared" si="1"/>
        <v>20386.62</v>
      </c>
      <c r="I12" s="73"/>
      <c r="J12" s="10"/>
      <c r="K12" s="10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2:21" x14ac:dyDescent="0.2">
      <c r="B13" s="51" t="s">
        <v>12</v>
      </c>
      <c r="C13" s="85">
        <v>324</v>
      </c>
      <c r="D13" s="85">
        <v>0</v>
      </c>
      <c r="E13" s="85">
        <f t="shared" si="0"/>
        <v>324</v>
      </c>
      <c r="F13" s="56"/>
      <c r="G13" s="98">
        <v>254</v>
      </c>
      <c r="H13" s="99">
        <f t="shared" si="1"/>
        <v>578</v>
      </c>
      <c r="I13" s="5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2:21" x14ac:dyDescent="0.2">
      <c r="B14" s="51" t="s">
        <v>13</v>
      </c>
      <c r="C14" s="85">
        <v>5734</v>
      </c>
      <c r="D14" s="85">
        <v>1062</v>
      </c>
      <c r="E14" s="85">
        <f t="shared" si="0"/>
        <v>6796</v>
      </c>
      <c r="F14" s="56"/>
      <c r="G14" s="98">
        <v>0</v>
      </c>
      <c r="H14" s="99">
        <f t="shared" si="1"/>
        <v>6796</v>
      </c>
      <c r="I14" s="6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2:21" x14ac:dyDescent="0.2">
      <c r="B15" s="51" t="s">
        <v>14</v>
      </c>
      <c r="C15" s="85">
        <v>1270</v>
      </c>
      <c r="D15" s="85">
        <v>0</v>
      </c>
      <c r="E15" s="85">
        <f t="shared" si="0"/>
        <v>1270</v>
      </c>
      <c r="F15" s="56"/>
      <c r="G15" s="98">
        <v>0</v>
      </c>
      <c r="H15" s="99">
        <f t="shared" si="1"/>
        <v>1270</v>
      </c>
      <c r="I15" s="6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2:21" x14ac:dyDescent="0.2">
      <c r="B16" s="51" t="s">
        <v>15</v>
      </c>
      <c r="C16" s="85">
        <v>2347</v>
      </c>
      <c r="D16" s="85">
        <v>0</v>
      </c>
      <c r="E16" s="85">
        <f t="shared" si="0"/>
        <v>2347</v>
      </c>
      <c r="F16" s="56"/>
      <c r="G16" s="98">
        <v>-626</v>
      </c>
      <c r="H16" s="99">
        <f t="shared" si="1"/>
        <v>1721</v>
      </c>
      <c r="I16" s="5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2:21" x14ac:dyDescent="0.2">
      <c r="B17" s="51" t="s">
        <v>16</v>
      </c>
      <c r="C17" s="85">
        <v>21660</v>
      </c>
      <c r="D17" s="85">
        <v>0</v>
      </c>
      <c r="E17" s="85">
        <f t="shared" si="0"/>
        <v>21660</v>
      </c>
      <c r="F17" s="56"/>
      <c r="G17" s="98">
        <v>-11787</v>
      </c>
      <c r="H17" s="99">
        <f t="shared" si="1"/>
        <v>9873</v>
      </c>
      <c r="I17" s="5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2:21" x14ac:dyDescent="0.2">
      <c r="B18" s="51" t="s">
        <v>17</v>
      </c>
      <c r="C18" s="85">
        <v>31270</v>
      </c>
      <c r="D18" s="85">
        <v>0</v>
      </c>
      <c r="E18" s="85">
        <f t="shared" si="0"/>
        <v>31270</v>
      </c>
      <c r="F18" s="56"/>
      <c r="G18" s="98">
        <v>-10895</v>
      </c>
      <c r="H18" s="99">
        <f t="shared" si="1"/>
        <v>20375</v>
      </c>
      <c r="I18" s="5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2:21" x14ac:dyDescent="0.2">
      <c r="B19" s="51" t="s">
        <v>18</v>
      </c>
      <c r="C19" s="85">
        <v>34668</v>
      </c>
      <c r="D19" s="85">
        <v>0</v>
      </c>
      <c r="E19" s="85">
        <f t="shared" si="0"/>
        <v>34668</v>
      </c>
      <c r="F19" s="56"/>
      <c r="G19" s="98">
        <v>0</v>
      </c>
      <c r="H19" s="99">
        <f t="shared" si="1"/>
        <v>34668</v>
      </c>
      <c r="I19" s="59"/>
      <c r="J19" s="9"/>
      <c r="K19" s="5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2:21" x14ac:dyDescent="0.2">
      <c r="B20" s="51" t="s">
        <v>19</v>
      </c>
      <c r="C20" s="85">
        <v>10450</v>
      </c>
      <c r="D20" s="85">
        <v>0</v>
      </c>
      <c r="E20" s="85">
        <f t="shared" si="0"/>
        <v>10450</v>
      </c>
      <c r="F20" s="56"/>
      <c r="G20" s="98">
        <v>0</v>
      </c>
      <c r="H20" s="99">
        <f t="shared" si="1"/>
        <v>10450</v>
      </c>
      <c r="I20" s="5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2:21" x14ac:dyDescent="0.2">
      <c r="B21" s="51" t="s">
        <v>20</v>
      </c>
      <c r="C21" s="85">
        <v>27236</v>
      </c>
      <c r="D21" s="85">
        <v>0</v>
      </c>
      <c r="E21" s="85">
        <f t="shared" si="0"/>
        <v>27236</v>
      </c>
      <c r="F21" s="56"/>
      <c r="G21" s="98">
        <v>2140</v>
      </c>
      <c r="H21" s="99">
        <f t="shared" si="1"/>
        <v>29376</v>
      </c>
      <c r="I21" s="59"/>
      <c r="J21" s="11"/>
      <c r="K21" s="11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2:21" x14ac:dyDescent="0.2">
      <c r="B22" s="51" t="s">
        <v>69</v>
      </c>
      <c r="C22" s="85"/>
      <c r="D22" s="85">
        <v>150000</v>
      </c>
      <c r="E22" s="85">
        <f t="shared" si="0"/>
        <v>150000</v>
      </c>
      <c r="F22" s="56"/>
      <c r="G22" s="98">
        <v>-150000</v>
      </c>
      <c r="H22" s="99">
        <f t="shared" si="1"/>
        <v>0</v>
      </c>
      <c r="I22" s="66"/>
      <c r="J22" s="11"/>
      <c r="K22" s="11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2:21" x14ac:dyDescent="0.2">
      <c r="B23" s="51" t="s">
        <v>21</v>
      </c>
      <c r="C23" s="85">
        <v>146054</v>
      </c>
      <c r="D23" s="88">
        <v>-146054</v>
      </c>
      <c r="E23" s="85">
        <f t="shared" si="0"/>
        <v>0</v>
      </c>
      <c r="F23" s="56"/>
      <c r="G23" s="98">
        <v>0</v>
      </c>
      <c r="H23" s="99">
        <f t="shared" si="1"/>
        <v>0</v>
      </c>
      <c r="I23" s="67"/>
      <c r="J23" s="11"/>
      <c r="K23" s="11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2:21" x14ac:dyDescent="0.2">
      <c r="B24" s="51" t="s">
        <v>22</v>
      </c>
      <c r="C24" s="85">
        <v>9921</v>
      </c>
      <c r="D24" s="85">
        <v>79</v>
      </c>
      <c r="E24" s="85">
        <f t="shared" si="0"/>
        <v>10000</v>
      </c>
      <c r="F24" s="56"/>
      <c r="G24" s="98">
        <v>-243</v>
      </c>
      <c r="H24" s="99">
        <f t="shared" si="1"/>
        <v>9757</v>
      </c>
      <c r="I24" s="5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2:21" x14ac:dyDescent="0.2">
      <c r="B25" s="51" t="s">
        <v>70</v>
      </c>
      <c r="C25" s="85"/>
      <c r="D25" s="95">
        <v>45300</v>
      </c>
      <c r="E25" s="85">
        <v>45300</v>
      </c>
      <c r="F25" s="56"/>
      <c r="G25" s="98">
        <v>-45300</v>
      </c>
      <c r="H25" s="99">
        <f t="shared" si="1"/>
        <v>0</v>
      </c>
      <c r="I25" s="5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2:21" x14ac:dyDescent="0.2">
      <c r="B26" s="51"/>
      <c r="C26" s="85"/>
      <c r="D26" s="85"/>
      <c r="E26" s="85"/>
      <c r="F26" s="56"/>
      <c r="G26" s="87"/>
      <c r="H26" s="85"/>
      <c r="I26" s="76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2:21" s="1" customFormat="1" ht="15.75" x14ac:dyDescent="0.25">
      <c r="B27" s="52" t="s">
        <v>64</v>
      </c>
      <c r="C27" s="89">
        <f>SUM(C9:C26)</f>
        <v>437195</v>
      </c>
      <c r="D27" s="89">
        <f>SUM(D9:D26)</f>
        <v>238499.62</v>
      </c>
      <c r="E27" s="89">
        <f>SUM(E9:E25)</f>
        <v>675694.62</v>
      </c>
      <c r="F27" s="56"/>
      <c r="G27" s="91">
        <f>SUM(G9:G26)</f>
        <v>-216457</v>
      </c>
      <c r="H27" s="91">
        <f>SUM(H9:H26)</f>
        <v>459237.62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2:21" x14ac:dyDescent="0.2">
      <c r="B28" s="48"/>
      <c r="C28" s="56"/>
      <c r="D28" s="56"/>
      <c r="E28" s="56"/>
      <c r="F28" s="56"/>
      <c r="G28" s="49"/>
      <c r="I28" s="11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2:21" x14ac:dyDescent="0.2">
      <c r="B29" s="48"/>
      <c r="C29" s="48"/>
      <c r="D29" s="48"/>
      <c r="E29" s="48"/>
      <c r="F29" s="48"/>
      <c r="G29" s="33"/>
      <c r="I29" s="9"/>
      <c r="J29" s="9"/>
      <c r="K29" s="9"/>
      <c r="L29" s="9"/>
      <c r="M29" s="104"/>
      <c r="N29" s="9"/>
      <c r="O29" s="9"/>
      <c r="P29" s="9"/>
      <c r="Q29" s="9"/>
      <c r="R29" s="9"/>
      <c r="S29" s="9"/>
      <c r="T29" s="9"/>
      <c r="U29" s="9"/>
    </row>
    <row r="30" spans="2:21" ht="15.75" x14ac:dyDescent="0.25">
      <c r="B30" s="151" t="s">
        <v>66</v>
      </c>
      <c r="C30" s="151"/>
      <c r="D30" s="151"/>
      <c r="E30" s="151"/>
      <c r="F30" s="151"/>
      <c r="G30" s="151"/>
      <c r="H30" s="151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2:21" x14ac:dyDescent="0.2">
      <c r="B31" s="51"/>
      <c r="C31" s="38"/>
      <c r="D31" s="38"/>
      <c r="E31" s="71"/>
      <c r="G31" s="70"/>
      <c r="H31" s="72"/>
      <c r="I31" s="5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2:21" x14ac:dyDescent="0.2">
      <c r="B32" s="51" t="s">
        <v>23</v>
      </c>
      <c r="C32" s="85">
        <v>43000</v>
      </c>
      <c r="D32" s="85">
        <v>-43000</v>
      </c>
      <c r="E32" s="86">
        <f>+D32+C32</f>
        <v>0</v>
      </c>
      <c r="G32" s="100">
        <v>0</v>
      </c>
      <c r="H32" s="88">
        <f t="shared" ref="H32:H35" si="2">+E32+G32</f>
        <v>0</v>
      </c>
      <c r="I32" s="55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2:21" x14ac:dyDescent="0.2">
      <c r="B33" s="51" t="s">
        <v>9</v>
      </c>
      <c r="C33" s="85">
        <v>3461</v>
      </c>
      <c r="D33" s="85">
        <v>-3461</v>
      </c>
      <c r="E33" s="86">
        <f t="shared" ref="E33:E43" si="3">+D33+C33</f>
        <v>0</v>
      </c>
      <c r="G33" s="100">
        <v>0</v>
      </c>
      <c r="H33" s="88">
        <f t="shared" si="2"/>
        <v>0</v>
      </c>
      <c r="I33" s="5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2:21" x14ac:dyDescent="0.2">
      <c r="B34" s="51" t="s">
        <v>10</v>
      </c>
      <c r="C34" s="85">
        <v>0</v>
      </c>
      <c r="D34" s="85">
        <v>0</v>
      </c>
      <c r="E34" s="86">
        <f t="shared" si="3"/>
        <v>0</v>
      </c>
      <c r="G34" s="100">
        <v>0</v>
      </c>
      <c r="H34" s="88">
        <f t="shared" si="2"/>
        <v>0</v>
      </c>
      <c r="I34" s="5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2:21" x14ac:dyDescent="0.2">
      <c r="B35" s="51" t="s">
        <v>11</v>
      </c>
      <c r="C35" s="85">
        <v>1996</v>
      </c>
      <c r="D35" s="85">
        <v>-1996</v>
      </c>
      <c r="E35" s="86">
        <f t="shared" si="3"/>
        <v>0</v>
      </c>
      <c r="G35" s="100">
        <v>0</v>
      </c>
      <c r="H35" s="88">
        <f t="shared" si="2"/>
        <v>0</v>
      </c>
      <c r="I35" s="5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2:21" x14ac:dyDescent="0.2">
      <c r="B36" s="51" t="s">
        <v>24</v>
      </c>
      <c r="C36" s="85">
        <v>22209</v>
      </c>
      <c r="D36" s="85">
        <v>0</v>
      </c>
      <c r="E36" s="86">
        <f t="shared" si="3"/>
        <v>22209</v>
      </c>
      <c r="G36" s="100">
        <v>0</v>
      </c>
      <c r="H36" s="88">
        <f>+G36+E36</f>
        <v>22209</v>
      </c>
      <c r="I36" s="5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2:21" x14ac:dyDescent="0.2">
      <c r="B37" s="51" t="s">
        <v>25</v>
      </c>
      <c r="C37" s="85">
        <v>127</v>
      </c>
      <c r="D37" s="85">
        <v>-127</v>
      </c>
      <c r="E37" s="86">
        <f t="shared" si="3"/>
        <v>0</v>
      </c>
      <c r="G37" s="100">
        <v>1390</v>
      </c>
      <c r="H37" s="88">
        <f>+G37+E37</f>
        <v>1390</v>
      </c>
      <c r="I37" s="5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2:21" x14ac:dyDescent="0.2">
      <c r="B38" s="51" t="s">
        <v>26</v>
      </c>
      <c r="C38" s="85">
        <v>0</v>
      </c>
      <c r="D38" s="85">
        <v>0</v>
      </c>
      <c r="E38" s="86">
        <f t="shared" si="3"/>
        <v>0</v>
      </c>
      <c r="G38" s="100">
        <v>0</v>
      </c>
      <c r="H38" s="88"/>
      <c r="I38" s="5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2:21" x14ac:dyDescent="0.2">
      <c r="B39" s="51" t="s">
        <v>27</v>
      </c>
      <c r="C39" s="85">
        <v>10045</v>
      </c>
      <c r="D39" s="85">
        <v>0</v>
      </c>
      <c r="E39" s="86">
        <f t="shared" si="3"/>
        <v>10045</v>
      </c>
      <c r="G39" s="100">
        <v>-4116</v>
      </c>
      <c r="H39" s="88">
        <f>+G39+E39</f>
        <v>5929</v>
      </c>
      <c r="I39" s="5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2:21" x14ac:dyDescent="0.2">
      <c r="B40" s="51" t="s">
        <v>28</v>
      </c>
      <c r="C40" s="85">
        <v>19609</v>
      </c>
      <c r="D40" s="85">
        <v>40000</v>
      </c>
      <c r="E40" s="86">
        <f t="shared" si="3"/>
        <v>59609</v>
      </c>
      <c r="G40" s="100">
        <v>-7649</v>
      </c>
      <c r="H40" s="88">
        <f>+E40+G40</f>
        <v>51960</v>
      </c>
      <c r="I40" s="77"/>
      <c r="J40" s="9"/>
      <c r="K40" s="55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2:21" x14ac:dyDescent="0.2">
      <c r="B41" s="51"/>
      <c r="C41" s="85"/>
      <c r="D41" s="85"/>
      <c r="E41" s="86"/>
      <c r="G41" s="101"/>
      <c r="H41" s="102"/>
      <c r="I41" s="5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2:21" x14ac:dyDescent="0.2">
      <c r="B42" s="51" t="s">
        <v>29</v>
      </c>
      <c r="C42" s="85">
        <v>6748</v>
      </c>
      <c r="D42" s="85">
        <v>1000</v>
      </c>
      <c r="E42" s="86">
        <f t="shared" si="3"/>
        <v>7748</v>
      </c>
      <c r="G42" s="100">
        <f>+H42-E42</f>
        <v>-233</v>
      </c>
      <c r="H42" s="88">
        <v>7515</v>
      </c>
      <c r="I42" s="5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2:21" ht="15.75" thickBot="1" x14ac:dyDescent="0.25">
      <c r="B43" s="112" t="s">
        <v>78</v>
      </c>
      <c r="C43" s="113">
        <v>0</v>
      </c>
      <c r="D43" s="113">
        <v>0</v>
      </c>
      <c r="E43" s="114">
        <f t="shared" si="3"/>
        <v>0</v>
      </c>
      <c r="G43" s="115">
        <f>+'Cost of Debt'!C36</f>
        <v>53457.08</v>
      </c>
      <c r="H43" s="116">
        <f>+G43+E43</f>
        <v>53457.08</v>
      </c>
      <c r="I43" s="68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2:21" s="1" customFormat="1" x14ac:dyDescent="0.2">
      <c r="B44" s="107" t="s">
        <v>63</v>
      </c>
      <c r="C44" s="108">
        <f>SUM(C32:C43)</f>
        <v>107195</v>
      </c>
      <c r="D44" s="108">
        <f>SUM(D32:D43)</f>
        <v>-7584</v>
      </c>
      <c r="E44" s="109">
        <f>SUM(E32:E42)</f>
        <v>99611</v>
      </c>
      <c r="F44" s="32"/>
      <c r="G44" s="110">
        <f>SUM(G31:G43)</f>
        <v>42849.08</v>
      </c>
      <c r="H44" s="111">
        <f>SUM(H31:H43)</f>
        <v>142460.08000000002</v>
      </c>
      <c r="I44" s="55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2:21" x14ac:dyDescent="0.2">
      <c r="B45" s="51"/>
      <c r="C45" s="93"/>
      <c r="D45" s="93"/>
      <c r="E45" s="94"/>
      <c r="G45" s="87"/>
      <c r="H45" s="85"/>
      <c r="I45" s="5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2:21" s="1" customFormat="1" x14ac:dyDescent="0.2">
      <c r="B46" s="51" t="s">
        <v>45</v>
      </c>
      <c r="C46" s="85"/>
      <c r="D46" s="85"/>
      <c r="E46" s="86">
        <v>160218.23999999999</v>
      </c>
      <c r="F46" s="32"/>
      <c r="G46" s="87">
        <f>+'Cost of Debt'!I21</f>
        <v>-130515.56</v>
      </c>
      <c r="H46" s="99">
        <f>+G46+E46</f>
        <v>29702.679999999993</v>
      </c>
      <c r="I46" s="103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2:21" x14ac:dyDescent="0.2">
      <c r="B47" s="38"/>
      <c r="C47" s="85"/>
      <c r="D47" s="85"/>
      <c r="E47" s="86"/>
      <c r="G47" s="87"/>
      <c r="H47" s="85"/>
      <c r="I47" s="5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2:21" ht="15.75" x14ac:dyDescent="0.25">
      <c r="B48" s="52" t="s">
        <v>60</v>
      </c>
      <c r="C48" s="85"/>
      <c r="D48" s="85"/>
      <c r="E48" s="90">
        <f>+E46+E44+E27</f>
        <v>935523.86</v>
      </c>
      <c r="G48" s="148">
        <f>G27+G44+G46</f>
        <v>-304123.48</v>
      </c>
      <c r="H48" s="149">
        <f>H27+H44+H46</f>
        <v>631400.37999999989</v>
      </c>
      <c r="I48" s="105"/>
      <c r="M48" s="9"/>
      <c r="N48" s="9"/>
      <c r="O48" s="9"/>
      <c r="P48" s="9"/>
      <c r="Q48" s="9"/>
      <c r="R48" s="9"/>
      <c r="S48" s="9"/>
      <c r="T48" s="9"/>
      <c r="U48" s="9"/>
    </row>
    <row r="49" spans="2:21" x14ac:dyDescent="0.2">
      <c r="B49" s="32" t="s">
        <v>103</v>
      </c>
      <c r="E49" s="133">
        <v>292759.67999999999</v>
      </c>
      <c r="G49" s="59"/>
      <c r="H49" s="133">
        <f>+'Rate Change Determination'!H16</f>
        <v>0</v>
      </c>
      <c r="I49" s="9"/>
      <c r="J49" s="60"/>
      <c r="K49" s="5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2:21" x14ac:dyDescent="0.2">
      <c r="B50" s="32" t="s">
        <v>43</v>
      </c>
      <c r="E50" s="123">
        <f>+E49+E48</f>
        <v>1228283.54</v>
      </c>
      <c r="H50" s="123">
        <f>+H49+H48</f>
        <v>631400.37999999989</v>
      </c>
      <c r="K50" s="5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2:21" x14ac:dyDescent="0.2">
      <c r="B51" s="32" t="s">
        <v>97</v>
      </c>
      <c r="E51" s="92">
        <f>+'Rate Change Determination'!H7</f>
        <v>446225.04508999997</v>
      </c>
      <c r="G51" s="59"/>
      <c r="H51" s="92">
        <f>+E51</f>
        <v>446225.04508999997</v>
      </c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2:21" x14ac:dyDescent="0.2">
      <c r="B52" s="48" t="s">
        <v>98</v>
      </c>
      <c r="C52" s="48"/>
      <c r="D52" s="48"/>
      <c r="E52" s="92">
        <f>+E50-E51</f>
        <v>782058.49491000012</v>
      </c>
      <c r="G52" s="59"/>
      <c r="H52" s="92">
        <f>+H50-H51</f>
        <v>185175.33490999992</v>
      </c>
      <c r="K52" s="9"/>
      <c r="L52" s="9"/>
      <c r="M52" s="9"/>
      <c r="N52" s="9"/>
      <c r="O52" s="9"/>
      <c r="P52" s="9" t="s">
        <v>96</v>
      </c>
      <c r="Q52" s="9"/>
      <c r="R52" s="9"/>
      <c r="S52" s="9"/>
      <c r="T52" s="9"/>
      <c r="U52" s="9"/>
    </row>
    <row r="53" spans="2:21" x14ac:dyDescent="0.2">
      <c r="E53" s="120">
        <f>+E52/E51</f>
        <v>1.7526100417610251</v>
      </c>
      <c r="G53" s="59"/>
      <c r="H53" s="150">
        <f>+H52/H51</f>
        <v>0.4149819400492224</v>
      </c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2:21" x14ac:dyDescent="0.2">
      <c r="B54" s="48"/>
      <c r="C54" s="48"/>
      <c r="D54" s="48"/>
      <c r="E54" s="121"/>
      <c r="G54" s="59"/>
      <c r="I54" s="9"/>
      <c r="J54" s="122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2:21" ht="15.75" x14ac:dyDescent="0.25">
      <c r="B55" s="117"/>
      <c r="C55" s="118"/>
      <c r="D55" s="118"/>
      <c r="E55" s="119"/>
      <c r="G55" s="5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2:21" x14ac:dyDescent="0.2">
      <c r="B56" s="48"/>
      <c r="C56" s="48"/>
      <c r="D56" s="48"/>
      <c r="E56" s="48"/>
      <c r="F56" s="48"/>
      <c r="G56" s="75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2:21" x14ac:dyDescent="0.2">
      <c r="B57" s="48"/>
      <c r="C57" s="48"/>
      <c r="D57" s="48"/>
      <c r="E57" s="48"/>
      <c r="F57" s="48"/>
      <c r="G57" s="48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2:21" x14ac:dyDescent="0.2">
      <c r="B58" s="48"/>
      <c r="C58" s="48"/>
      <c r="D58" s="48"/>
      <c r="E58" s="48"/>
      <c r="F58" s="48"/>
      <c r="G58" s="48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2:21" x14ac:dyDescent="0.2">
      <c r="B59" s="48"/>
      <c r="C59" s="48"/>
      <c r="D59" s="48"/>
      <c r="E59" s="48"/>
      <c r="F59" s="48"/>
      <c r="G59" s="48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2:21" x14ac:dyDescent="0.2">
      <c r="B60" s="48"/>
      <c r="C60" s="48"/>
      <c r="D60" s="48"/>
      <c r="E60" s="48"/>
      <c r="F60" s="48"/>
      <c r="G60" s="48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2:21" x14ac:dyDescent="0.2">
      <c r="B61" s="48"/>
      <c r="C61" s="48"/>
      <c r="D61" s="48"/>
      <c r="E61" s="48"/>
      <c r="F61" s="48"/>
      <c r="G61" s="48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2:21" x14ac:dyDescent="0.2">
      <c r="B62" s="48"/>
      <c r="C62" s="48"/>
      <c r="D62" s="48"/>
      <c r="E62" s="48"/>
      <c r="F62" s="48"/>
      <c r="G62" s="48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2:21" x14ac:dyDescent="0.2">
      <c r="B63" s="48"/>
      <c r="C63" s="48"/>
      <c r="D63" s="48"/>
      <c r="E63" s="48"/>
      <c r="F63" s="48"/>
      <c r="G63" s="48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2:21" x14ac:dyDescent="0.2">
      <c r="B64" s="48"/>
      <c r="C64" s="48"/>
      <c r="D64" s="48"/>
      <c r="E64" s="48"/>
      <c r="F64" s="48"/>
      <c r="G64" s="48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2:21" x14ac:dyDescent="0.2">
      <c r="B65" s="48"/>
      <c r="C65" s="48"/>
      <c r="D65" s="48"/>
      <c r="E65" s="48"/>
      <c r="F65" s="48"/>
      <c r="G65" s="48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2:21" x14ac:dyDescent="0.2">
      <c r="B66" s="48"/>
      <c r="C66" s="48"/>
      <c r="D66" s="48"/>
      <c r="E66" s="48"/>
      <c r="F66" s="48"/>
      <c r="G66" s="48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2:21" x14ac:dyDescent="0.2">
      <c r="B67" s="48"/>
      <c r="C67" s="48"/>
      <c r="D67" s="48"/>
      <c r="E67" s="48"/>
      <c r="F67" s="48"/>
      <c r="G67" s="48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2:21" x14ac:dyDescent="0.2">
      <c r="B68" s="48"/>
      <c r="C68" s="48"/>
      <c r="D68" s="48"/>
      <c r="E68" s="48"/>
      <c r="F68" s="48"/>
      <c r="G68" s="48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2:21" x14ac:dyDescent="0.2">
      <c r="B69" s="48"/>
      <c r="C69" s="48"/>
      <c r="D69" s="48"/>
      <c r="E69" s="48"/>
      <c r="F69" s="48"/>
      <c r="G69" s="48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2:21" x14ac:dyDescent="0.2">
      <c r="B70" s="48"/>
      <c r="C70" s="48"/>
      <c r="D70" s="48"/>
      <c r="E70" s="48"/>
      <c r="F70" s="48"/>
      <c r="G70" s="48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2:21" x14ac:dyDescent="0.2">
      <c r="B71" s="48"/>
      <c r="C71" s="48"/>
      <c r="D71" s="48"/>
      <c r="E71" s="48"/>
      <c r="F71" s="48"/>
      <c r="G71" s="48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2:21" x14ac:dyDescent="0.2">
      <c r="B72" s="48"/>
      <c r="C72" s="48"/>
      <c r="D72" s="48"/>
      <c r="E72" s="48"/>
      <c r="F72" s="48"/>
      <c r="G72" s="48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2:21" x14ac:dyDescent="0.2">
      <c r="B73" s="48"/>
      <c r="C73" s="48"/>
      <c r="D73" s="48"/>
      <c r="E73" s="48"/>
      <c r="F73" s="48"/>
      <c r="G73" s="48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2:21" x14ac:dyDescent="0.2">
      <c r="B74" s="48"/>
      <c r="C74" s="48"/>
      <c r="D74" s="48"/>
      <c r="E74" s="48"/>
      <c r="F74" s="48"/>
      <c r="G74" s="48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2:21" x14ac:dyDescent="0.2">
      <c r="B75" s="48"/>
      <c r="C75" s="48"/>
      <c r="D75" s="48"/>
      <c r="E75" s="48"/>
      <c r="F75" s="48"/>
      <c r="G75" s="48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2:21" x14ac:dyDescent="0.2">
      <c r="B76" s="48"/>
      <c r="C76" s="48"/>
      <c r="D76" s="48"/>
      <c r="E76" s="48"/>
      <c r="F76" s="48"/>
      <c r="G76" s="48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2:21" x14ac:dyDescent="0.2">
      <c r="B77" s="48"/>
      <c r="C77" s="48"/>
      <c r="D77" s="48"/>
      <c r="E77" s="48"/>
      <c r="F77" s="48"/>
      <c r="G77" s="48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2:21" x14ac:dyDescent="0.2">
      <c r="B78" s="48"/>
      <c r="C78" s="48"/>
      <c r="D78" s="48"/>
      <c r="E78" s="48"/>
      <c r="F78" s="48"/>
      <c r="G78" s="48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</row>
    <row r="79" spans="2:21" x14ac:dyDescent="0.2">
      <c r="B79" s="48"/>
      <c r="C79" s="48"/>
      <c r="D79" s="48"/>
      <c r="E79" s="48"/>
      <c r="F79" s="48"/>
      <c r="G79" s="48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</row>
    <row r="80" spans="2:21" x14ac:dyDescent="0.2">
      <c r="B80" s="48"/>
      <c r="C80" s="48"/>
      <c r="D80" s="48"/>
      <c r="E80" s="48"/>
      <c r="F80" s="48"/>
      <c r="G80" s="48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</row>
    <row r="81" spans="2:21" x14ac:dyDescent="0.2">
      <c r="B81" s="48"/>
      <c r="C81" s="48"/>
      <c r="D81" s="48"/>
      <c r="E81" s="48"/>
      <c r="F81" s="48"/>
      <c r="G81" s="48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</row>
    <row r="82" spans="2:21" x14ac:dyDescent="0.2">
      <c r="B82" s="48"/>
      <c r="C82" s="48"/>
      <c r="D82" s="48"/>
      <c r="E82" s="48"/>
      <c r="F82" s="48"/>
      <c r="G82" s="48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</row>
    <row r="83" spans="2:21" x14ac:dyDescent="0.2">
      <c r="B83" s="48"/>
      <c r="C83" s="48"/>
      <c r="D83" s="48"/>
      <c r="E83" s="48"/>
      <c r="F83" s="48"/>
      <c r="G83" s="48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</row>
    <row r="84" spans="2:21" x14ac:dyDescent="0.2">
      <c r="B84" s="48"/>
      <c r="C84" s="48"/>
      <c r="D84" s="48"/>
      <c r="E84" s="48"/>
      <c r="F84" s="48"/>
      <c r="G84" s="48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</row>
    <row r="85" spans="2:21" x14ac:dyDescent="0.2">
      <c r="B85" s="48"/>
      <c r="C85" s="48"/>
      <c r="D85" s="48"/>
      <c r="E85" s="48"/>
      <c r="F85" s="48"/>
      <c r="G85" s="48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</row>
    <row r="86" spans="2:21" x14ac:dyDescent="0.2">
      <c r="B86" s="48"/>
      <c r="C86" s="48"/>
      <c r="D86" s="48"/>
      <c r="E86" s="48"/>
      <c r="F86" s="48"/>
      <c r="G86" s="48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</row>
    <row r="87" spans="2:21" x14ac:dyDescent="0.2">
      <c r="B87" s="48"/>
      <c r="C87" s="48"/>
      <c r="D87" s="48"/>
      <c r="E87" s="48"/>
      <c r="F87" s="48"/>
      <c r="G87" s="48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</row>
    <row r="88" spans="2:21" x14ac:dyDescent="0.2">
      <c r="B88" s="48"/>
      <c r="C88" s="48"/>
      <c r="D88" s="48"/>
      <c r="E88" s="48"/>
      <c r="F88" s="48"/>
      <c r="G88" s="48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</row>
    <row r="89" spans="2:21" x14ac:dyDescent="0.2">
      <c r="B89" s="48"/>
      <c r="C89" s="48"/>
      <c r="D89" s="48"/>
      <c r="E89" s="48"/>
      <c r="F89" s="48"/>
      <c r="G89" s="48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</row>
    <row r="90" spans="2:21" x14ac:dyDescent="0.2">
      <c r="B90" s="48"/>
      <c r="C90" s="48"/>
      <c r="D90" s="48"/>
      <c r="E90" s="48"/>
      <c r="F90" s="48"/>
      <c r="G90" s="48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</row>
    <row r="91" spans="2:21" x14ac:dyDescent="0.2">
      <c r="B91" s="48"/>
      <c r="C91" s="48"/>
      <c r="D91" s="48"/>
      <c r="E91" s="48"/>
      <c r="F91" s="48"/>
      <c r="G91" s="48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</row>
    <row r="92" spans="2:21" x14ac:dyDescent="0.2">
      <c r="B92" s="48"/>
      <c r="C92" s="48"/>
      <c r="D92" s="48"/>
      <c r="E92" s="48"/>
      <c r="F92" s="48"/>
      <c r="G92" s="48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</row>
    <row r="93" spans="2:21" x14ac:dyDescent="0.2">
      <c r="B93" s="48"/>
      <c r="C93" s="48"/>
      <c r="D93" s="48"/>
      <c r="E93" s="48"/>
      <c r="F93" s="48"/>
      <c r="G93" s="48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</row>
    <row r="94" spans="2:21" x14ac:dyDescent="0.2">
      <c r="B94" s="48"/>
      <c r="C94" s="48"/>
      <c r="D94" s="48"/>
      <c r="E94" s="48"/>
      <c r="F94" s="48"/>
      <c r="G94" s="48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</row>
    <row r="95" spans="2:21" x14ac:dyDescent="0.2">
      <c r="B95" s="48"/>
      <c r="C95" s="48"/>
      <c r="D95" s="48"/>
      <c r="E95" s="48"/>
      <c r="F95" s="48"/>
      <c r="G95" s="48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</row>
    <row r="96" spans="2:21" x14ac:dyDescent="0.2">
      <c r="B96" s="48"/>
      <c r="C96" s="48"/>
      <c r="D96" s="48"/>
      <c r="E96" s="48"/>
      <c r="F96" s="48"/>
      <c r="G96" s="48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</row>
    <row r="97" spans="2:21" x14ac:dyDescent="0.2">
      <c r="B97" s="48"/>
      <c r="C97" s="48"/>
      <c r="D97" s="48"/>
      <c r="E97" s="48"/>
      <c r="F97" s="48"/>
      <c r="G97" s="48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</row>
    <row r="98" spans="2:21" x14ac:dyDescent="0.2">
      <c r="B98" s="48"/>
      <c r="C98" s="48"/>
      <c r="D98" s="48"/>
      <c r="E98" s="48"/>
      <c r="F98" s="48"/>
      <c r="G98" s="48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</row>
    <row r="99" spans="2:21" x14ac:dyDescent="0.2">
      <c r="B99" s="48"/>
      <c r="C99" s="48"/>
      <c r="D99" s="48"/>
      <c r="E99" s="48"/>
      <c r="F99" s="48"/>
      <c r="G99" s="48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</row>
    <row r="100" spans="2:21" x14ac:dyDescent="0.2">
      <c r="B100" s="48"/>
      <c r="C100" s="48"/>
      <c r="D100" s="48"/>
      <c r="E100" s="48"/>
      <c r="F100" s="48"/>
      <c r="G100" s="48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</row>
    <row r="101" spans="2:21" x14ac:dyDescent="0.2">
      <c r="B101" s="48"/>
      <c r="C101" s="48"/>
      <c r="D101" s="48"/>
      <c r="E101" s="48"/>
      <c r="F101" s="48"/>
      <c r="G101" s="48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</row>
    <row r="102" spans="2:21" x14ac:dyDescent="0.2">
      <c r="B102" s="48"/>
      <c r="C102" s="48"/>
      <c r="D102" s="48"/>
      <c r="E102" s="48"/>
      <c r="F102" s="48"/>
      <c r="G102" s="48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</row>
    <row r="103" spans="2:21" x14ac:dyDescent="0.2">
      <c r="B103" s="48"/>
      <c r="C103" s="48"/>
      <c r="D103" s="48"/>
      <c r="E103" s="48"/>
      <c r="F103" s="48"/>
      <c r="G103" s="48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</row>
    <row r="104" spans="2:21" x14ac:dyDescent="0.2">
      <c r="B104" s="48"/>
      <c r="C104" s="48"/>
      <c r="D104" s="48"/>
      <c r="E104" s="48"/>
      <c r="F104" s="48"/>
      <c r="G104" s="48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</row>
    <row r="105" spans="2:21" x14ac:dyDescent="0.2">
      <c r="B105" s="48"/>
      <c r="C105" s="48"/>
      <c r="D105" s="48"/>
      <c r="E105" s="48"/>
      <c r="F105" s="48"/>
      <c r="G105" s="48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</row>
    <row r="106" spans="2:21" x14ac:dyDescent="0.2">
      <c r="B106" s="48"/>
      <c r="C106" s="48"/>
      <c r="D106" s="48"/>
      <c r="E106" s="48"/>
      <c r="F106" s="48"/>
      <c r="G106" s="48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</row>
    <row r="107" spans="2:21" x14ac:dyDescent="0.2">
      <c r="B107" s="48"/>
      <c r="C107" s="48"/>
      <c r="D107" s="48"/>
      <c r="E107" s="48"/>
      <c r="F107" s="48"/>
      <c r="G107" s="48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</row>
    <row r="108" spans="2:21" x14ac:dyDescent="0.2">
      <c r="B108" s="48"/>
      <c r="C108" s="48"/>
      <c r="D108" s="48"/>
      <c r="E108" s="48"/>
      <c r="F108" s="48"/>
      <c r="G108" s="48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</row>
    <row r="109" spans="2:21" x14ac:dyDescent="0.2">
      <c r="B109" s="48"/>
      <c r="C109" s="48"/>
      <c r="D109" s="48"/>
      <c r="E109" s="48"/>
      <c r="F109" s="48"/>
      <c r="G109" s="48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</row>
    <row r="110" spans="2:21" x14ac:dyDescent="0.2">
      <c r="B110" s="48"/>
      <c r="C110" s="48"/>
      <c r="D110" s="48"/>
      <c r="E110" s="48"/>
      <c r="F110" s="48"/>
      <c r="G110" s="48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</row>
    <row r="111" spans="2:21" x14ac:dyDescent="0.2">
      <c r="B111" s="48"/>
      <c r="C111" s="48"/>
      <c r="D111" s="48"/>
      <c r="E111" s="48"/>
      <c r="F111" s="48"/>
      <c r="G111" s="48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</row>
    <row r="112" spans="2:21" x14ac:dyDescent="0.2">
      <c r="B112" s="48"/>
      <c r="C112" s="48"/>
      <c r="D112" s="48"/>
      <c r="E112" s="48"/>
      <c r="F112" s="48"/>
      <c r="G112" s="48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</row>
    <row r="113" spans="2:21" x14ac:dyDescent="0.2">
      <c r="B113" s="48"/>
      <c r="C113" s="48"/>
      <c r="D113" s="48"/>
      <c r="E113" s="48"/>
      <c r="F113" s="48"/>
      <c r="G113" s="48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</row>
    <row r="114" spans="2:21" x14ac:dyDescent="0.2">
      <c r="B114" s="48"/>
      <c r="C114" s="48"/>
      <c r="D114" s="48"/>
      <c r="E114" s="48"/>
      <c r="F114" s="48"/>
      <c r="G114" s="48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</row>
    <row r="115" spans="2:21" x14ac:dyDescent="0.2">
      <c r="B115" s="48"/>
      <c r="C115" s="48"/>
      <c r="D115" s="48"/>
      <c r="E115" s="48"/>
      <c r="F115" s="48"/>
      <c r="G115" s="48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</row>
    <row r="116" spans="2:21" x14ac:dyDescent="0.2">
      <c r="B116" s="48"/>
      <c r="C116" s="48"/>
      <c r="D116" s="48"/>
      <c r="E116" s="48"/>
      <c r="F116" s="48"/>
      <c r="G116" s="48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</row>
    <row r="117" spans="2:21" x14ac:dyDescent="0.2">
      <c r="B117" s="48"/>
      <c r="C117" s="48"/>
      <c r="D117" s="48"/>
      <c r="E117" s="48"/>
      <c r="F117" s="48"/>
      <c r="G117" s="48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</row>
    <row r="118" spans="2:21" x14ac:dyDescent="0.2">
      <c r="B118" s="48"/>
      <c r="C118" s="48"/>
      <c r="D118" s="48"/>
      <c r="E118" s="48"/>
      <c r="F118" s="48"/>
      <c r="G118" s="48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</row>
    <row r="119" spans="2:21" x14ac:dyDescent="0.2">
      <c r="B119" s="48"/>
      <c r="C119" s="48"/>
      <c r="D119" s="48"/>
      <c r="E119" s="48"/>
      <c r="F119" s="48"/>
      <c r="G119" s="48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</row>
    <row r="120" spans="2:21" x14ac:dyDescent="0.2">
      <c r="B120" s="48"/>
      <c r="C120" s="48"/>
      <c r="D120" s="48"/>
      <c r="E120" s="48"/>
      <c r="F120" s="48"/>
      <c r="G120" s="48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</row>
    <row r="121" spans="2:21" x14ac:dyDescent="0.2">
      <c r="B121" s="48"/>
      <c r="C121" s="48"/>
      <c r="D121" s="48"/>
      <c r="E121" s="48"/>
      <c r="F121" s="48"/>
      <c r="G121" s="48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</row>
    <row r="122" spans="2:21" x14ac:dyDescent="0.2">
      <c r="B122" s="48"/>
      <c r="C122" s="48"/>
      <c r="D122" s="48"/>
      <c r="E122" s="48"/>
      <c r="F122" s="48"/>
      <c r="G122" s="48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</row>
    <row r="123" spans="2:21" x14ac:dyDescent="0.2">
      <c r="B123" s="48"/>
      <c r="C123" s="48"/>
      <c r="D123" s="48"/>
      <c r="E123" s="48"/>
      <c r="F123" s="48"/>
      <c r="G123" s="48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</row>
    <row r="124" spans="2:21" x14ac:dyDescent="0.2">
      <c r="B124" s="48"/>
      <c r="C124" s="48"/>
      <c r="D124" s="48"/>
      <c r="E124" s="48"/>
      <c r="F124" s="48"/>
      <c r="G124" s="48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</row>
    <row r="125" spans="2:21" x14ac:dyDescent="0.2">
      <c r="B125" s="48"/>
      <c r="C125" s="48"/>
      <c r="D125" s="48"/>
      <c r="E125" s="48"/>
      <c r="F125" s="48"/>
      <c r="G125" s="48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</row>
    <row r="126" spans="2:21" x14ac:dyDescent="0.2">
      <c r="B126" s="48"/>
      <c r="C126" s="48"/>
      <c r="D126" s="48"/>
      <c r="E126" s="48"/>
      <c r="F126" s="48"/>
      <c r="G126" s="48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</row>
    <row r="127" spans="2:21" x14ac:dyDescent="0.2">
      <c r="B127" s="48"/>
      <c r="C127" s="48"/>
      <c r="D127" s="48"/>
      <c r="E127" s="48"/>
      <c r="F127" s="48"/>
      <c r="G127" s="48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</row>
    <row r="128" spans="2:21" x14ac:dyDescent="0.2">
      <c r="B128" s="48"/>
      <c r="C128" s="48"/>
      <c r="D128" s="48"/>
      <c r="E128" s="48"/>
      <c r="F128" s="48"/>
      <c r="G128" s="48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</row>
    <row r="129" spans="2:21" x14ac:dyDescent="0.2">
      <c r="B129" s="48"/>
      <c r="C129" s="48"/>
      <c r="D129" s="48"/>
      <c r="E129" s="48"/>
      <c r="F129" s="48"/>
      <c r="G129" s="48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</row>
    <row r="130" spans="2:21" x14ac:dyDescent="0.2">
      <c r="B130" s="48"/>
      <c r="C130" s="48"/>
      <c r="D130" s="48"/>
      <c r="E130" s="48"/>
      <c r="F130" s="48"/>
      <c r="G130" s="48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</row>
    <row r="131" spans="2:21" x14ac:dyDescent="0.2">
      <c r="B131" s="48"/>
      <c r="C131" s="48"/>
      <c r="D131" s="48"/>
      <c r="E131" s="48"/>
      <c r="F131" s="48"/>
      <c r="G131" s="48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</row>
    <row r="132" spans="2:21" x14ac:dyDescent="0.2">
      <c r="B132" s="48"/>
      <c r="C132" s="48"/>
      <c r="D132" s="48"/>
      <c r="E132" s="48"/>
      <c r="F132" s="48"/>
      <c r="G132" s="48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</row>
    <row r="133" spans="2:21" x14ac:dyDescent="0.2">
      <c r="B133" s="48"/>
      <c r="C133" s="48"/>
      <c r="D133" s="48"/>
      <c r="E133" s="48"/>
      <c r="F133" s="48"/>
      <c r="G133" s="48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</row>
    <row r="134" spans="2:21" x14ac:dyDescent="0.2">
      <c r="B134" s="48"/>
      <c r="C134" s="48"/>
      <c r="D134" s="48"/>
      <c r="E134" s="48"/>
      <c r="F134" s="48"/>
      <c r="G134" s="48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</row>
    <row r="135" spans="2:21" x14ac:dyDescent="0.2">
      <c r="B135" s="48"/>
      <c r="C135" s="48"/>
      <c r="D135" s="48"/>
      <c r="E135" s="48"/>
      <c r="F135" s="48"/>
      <c r="G135" s="48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</row>
    <row r="136" spans="2:21" x14ac:dyDescent="0.2">
      <c r="B136" s="48"/>
      <c r="C136" s="48"/>
      <c r="D136" s="48"/>
      <c r="E136" s="48"/>
      <c r="F136" s="48"/>
      <c r="G136" s="48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</row>
    <row r="137" spans="2:21" x14ac:dyDescent="0.2">
      <c r="B137" s="48"/>
      <c r="C137" s="48"/>
      <c r="D137" s="48"/>
      <c r="E137" s="48"/>
      <c r="F137" s="48"/>
      <c r="G137" s="48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</row>
    <row r="138" spans="2:21" x14ac:dyDescent="0.2">
      <c r="B138" s="48"/>
      <c r="C138" s="48"/>
      <c r="D138" s="48"/>
      <c r="E138" s="48"/>
      <c r="F138" s="48"/>
      <c r="G138" s="48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</row>
    <row r="139" spans="2:21" x14ac:dyDescent="0.2">
      <c r="B139" s="48"/>
      <c r="C139" s="48"/>
      <c r="D139" s="48"/>
      <c r="E139" s="48"/>
      <c r="F139" s="48"/>
      <c r="G139" s="48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</row>
    <row r="140" spans="2:21" x14ac:dyDescent="0.2">
      <c r="B140" s="48"/>
      <c r="C140" s="48"/>
      <c r="D140" s="48"/>
      <c r="E140" s="48"/>
      <c r="F140" s="48"/>
      <c r="G140" s="48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</row>
    <row r="141" spans="2:21" x14ac:dyDescent="0.2">
      <c r="B141" s="48"/>
      <c r="C141" s="48"/>
      <c r="D141" s="48"/>
      <c r="E141" s="48"/>
      <c r="F141" s="48"/>
      <c r="G141" s="48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</row>
    <row r="142" spans="2:21" x14ac:dyDescent="0.2">
      <c r="B142" s="48"/>
      <c r="C142" s="48"/>
      <c r="D142" s="48"/>
      <c r="E142" s="48"/>
      <c r="F142" s="48"/>
      <c r="G142" s="48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</row>
    <row r="143" spans="2:21" x14ac:dyDescent="0.2">
      <c r="B143" s="48"/>
      <c r="C143" s="48"/>
      <c r="D143" s="48"/>
      <c r="E143" s="48"/>
      <c r="F143" s="48"/>
      <c r="G143" s="48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</row>
    <row r="144" spans="2:21" x14ac:dyDescent="0.2">
      <c r="B144" s="48"/>
      <c r="C144" s="48"/>
      <c r="D144" s="48"/>
      <c r="E144" s="48"/>
      <c r="F144" s="48"/>
      <c r="G144" s="48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</row>
    <row r="145" spans="2:21" x14ac:dyDescent="0.2">
      <c r="B145" s="48"/>
      <c r="C145" s="48"/>
      <c r="D145" s="48"/>
      <c r="E145" s="48"/>
      <c r="F145" s="48"/>
      <c r="G145" s="48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</row>
    <row r="146" spans="2:21" x14ac:dyDescent="0.2">
      <c r="B146" s="48"/>
      <c r="C146" s="48"/>
      <c r="D146" s="48"/>
      <c r="E146" s="48"/>
      <c r="F146" s="48"/>
      <c r="G146" s="48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</row>
    <row r="147" spans="2:21" x14ac:dyDescent="0.2">
      <c r="B147" s="48"/>
      <c r="C147" s="48"/>
      <c r="D147" s="48"/>
      <c r="E147" s="48"/>
      <c r="F147" s="48"/>
      <c r="G147" s="48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</row>
    <row r="148" spans="2:21" x14ac:dyDescent="0.2">
      <c r="B148" s="48"/>
      <c r="C148" s="48"/>
      <c r="D148" s="48"/>
      <c r="E148" s="48"/>
      <c r="F148" s="48"/>
      <c r="G148" s="48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</row>
    <row r="149" spans="2:21" x14ac:dyDescent="0.2">
      <c r="B149" s="48"/>
      <c r="C149" s="48"/>
      <c r="D149" s="48"/>
      <c r="E149" s="48"/>
      <c r="F149" s="48"/>
      <c r="G149" s="48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</row>
    <row r="150" spans="2:21" x14ac:dyDescent="0.2">
      <c r="B150" s="48"/>
      <c r="C150" s="48"/>
      <c r="D150" s="48"/>
      <c r="E150" s="48"/>
      <c r="F150" s="48"/>
      <c r="G150" s="48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</row>
    <row r="151" spans="2:21" x14ac:dyDescent="0.2">
      <c r="B151" s="48"/>
      <c r="C151" s="48"/>
      <c r="D151" s="48"/>
      <c r="E151" s="48"/>
      <c r="F151" s="48"/>
      <c r="G151" s="48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</row>
    <row r="152" spans="2:21" x14ac:dyDescent="0.2">
      <c r="B152" s="48"/>
      <c r="C152" s="48"/>
      <c r="D152" s="48"/>
      <c r="E152" s="48"/>
      <c r="F152" s="48"/>
      <c r="G152" s="48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</row>
    <row r="153" spans="2:21" x14ac:dyDescent="0.2">
      <c r="B153" s="48"/>
      <c r="C153" s="48"/>
      <c r="D153" s="48"/>
      <c r="E153" s="48"/>
      <c r="F153" s="48"/>
      <c r="G153" s="48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</row>
    <row r="154" spans="2:21" x14ac:dyDescent="0.2">
      <c r="B154" s="48"/>
      <c r="C154" s="48"/>
      <c r="D154" s="48"/>
      <c r="E154" s="48"/>
      <c r="F154" s="48"/>
      <c r="G154" s="48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</row>
    <row r="155" spans="2:21" x14ac:dyDescent="0.2">
      <c r="B155" s="48"/>
      <c r="C155" s="48"/>
      <c r="D155" s="48"/>
      <c r="E155" s="48"/>
      <c r="F155" s="48"/>
      <c r="G155" s="48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</row>
    <row r="156" spans="2:21" x14ac:dyDescent="0.2">
      <c r="B156" s="48"/>
      <c r="C156" s="48"/>
      <c r="D156" s="48"/>
      <c r="E156" s="48"/>
      <c r="F156" s="48"/>
      <c r="G156" s="48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</row>
    <row r="157" spans="2:21" x14ac:dyDescent="0.2">
      <c r="B157" s="48"/>
      <c r="C157" s="48"/>
      <c r="D157" s="48"/>
      <c r="E157" s="48"/>
      <c r="F157" s="48"/>
      <c r="G157" s="48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</row>
    <row r="158" spans="2:21" x14ac:dyDescent="0.2">
      <c r="B158" s="48"/>
      <c r="C158" s="48"/>
      <c r="D158" s="48"/>
      <c r="E158" s="48"/>
      <c r="F158" s="48"/>
      <c r="G158" s="48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</row>
    <row r="159" spans="2:21" x14ac:dyDescent="0.2">
      <c r="B159" s="48"/>
      <c r="C159" s="48"/>
      <c r="D159" s="48"/>
      <c r="E159" s="48"/>
      <c r="F159" s="48"/>
      <c r="G159" s="48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</row>
    <row r="160" spans="2:21" x14ac:dyDescent="0.2">
      <c r="B160" s="48"/>
      <c r="C160" s="48"/>
      <c r="D160" s="48"/>
      <c r="E160" s="48"/>
      <c r="F160" s="48"/>
      <c r="G160" s="48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</row>
    <row r="161" spans="2:21" x14ac:dyDescent="0.2">
      <c r="B161" s="48"/>
      <c r="C161" s="48"/>
      <c r="D161" s="48"/>
      <c r="E161" s="48"/>
      <c r="F161" s="48"/>
      <c r="G161" s="48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</row>
    <row r="162" spans="2:21" x14ac:dyDescent="0.2">
      <c r="B162" s="48"/>
      <c r="C162" s="48"/>
      <c r="D162" s="48"/>
      <c r="E162" s="48"/>
      <c r="F162" s="48"/>
      <c r="G162" s="48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</row>
    <row r="163" spans="2:21" x14ac:dyDescent="0.2">
      <c r="B163" s="48"/>
      <c r="C163" s="48"/>
      <c r="D163" s="48"/>
      <c r="E163" s="48"/>
      <c r="F163" s="48"/>
      <c r="G163" s="48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</row>
    <row r="164" spans="2:21" x14ac:dyDescent="0.2">
      <c r="B164" s="48"/>
      <c r="C164" s="48"/>
      <c r="D164" s="48"/>
      <c r="E164" s="48"/>
      <c r="F164" s="48"/>
      <c r="G164" s="48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</row>
    <row r="165" spans="2:21" x14ac:dyDescent="0.2">
      <c r="B165" s="48"/>
      <c r="C165" s="48"/>
      <c r="D165" s="48"/>
      <c r="E165" s="48"/>
      <c r="F165" s="48"/>
      <c r="G165" s="48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</row>
    <row r="166" spans="2:21" x14ac:dyDescent="0.2">
      <c r="B166" s="48"/>
      <c r="C166" s="48"/>
      <c r="D166" s="48"/>
      <c r="E166" s="48"/>
      <c r="F166" s="48"/>
      <c r="G166" s="48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</row>
    <row r="167" spans="2:21" x14ac:dyDescent="0.2">
      <c r="B167" s="48"/>
      <c r="C167" s="48"/>
      <c r="D167" s="48"/>
      <c r="E167" s="48"/>
      <c r="F167" s="48"/>
      <c r="G167" s="48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</row>
    <row r="168" spans="2:21" x14ac:dyDescent="0.2">
      <c r="B168" s="48"/>
      <c r="C168" s="48"/>
      <c r="D168" s="48"/>
      <c r="E168" s="48"/>
      <c r="F168" s="48"/>
      <c r="G168" s="48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</row>
    <row r="169" spans="2:21" x14ac:dyDescent="0.2">
      <c r="B169" s="48"/>
      <c r="C169" s="48"/>
      <c r="D169" s="48"/>
      <c r="E169" s="48"/>
      <c r="F169" s="48"/>
      <c r="G169" s="48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</row>
    <row r="170" spans="2:21" x14ac:dyDescent="0.2">
      <c r="B170" s="48"/>
      <c r="C170" s="48"/>
      <c r="D170" s="48"/>
      <c r="E170" s="48"/>
      <c r="F170" s="48"/>
      <c r="G170" s="48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</row>
    <row r="171" spans="2:21" x14ac:dyDescent="0.2">
      <c r="B171" s="48"/>
      <c r="C171" s="48"/>
      <c r="D171" s="48"/>
      <c r="E171" s="48"/>
      <c r="F171" s="48"/>
      <c r="G171" s="48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</row>
    <row r="172" spans="2:21" x14ac:dyDescent="0.2">
      <c r="B172" s="48"/>
      <c r="C172" s="48"/>
      <c r="D172" s="48"/>
      <c r="E172" s="48"/>
      <c r="F172" s="48"/>
      <c r="G172" s="48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</row>
    <row r="173" spans="2:21" x14ac:dyDescent="0.2">
      <c r="B173" s="48"/>
      <c r="C173" s="48"/>
      <c r="D173" s="48"/>
      <c r="E173" s="48"/>
      <c r="F173" s="48"/>
      <c r="G173" s="48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</row>
    <row r="174" spans="2:21" x14ac:dyDescent="0.2">
      <c r="B174" s="48"/>
      <c r="C174" s="48"/>
      <c r="D174" s="48"/>
      <c r="E174" s="48"/>
      <c r="F174" s="48"/>
      <c r="G174" s="48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</row>
    <row r="175" spans="2:21" x14ac:dyDescent="0.2">
      <c r="B175" s="48"/>
      <c r="C175" s="48"/>
      <c r="D175" s="48"/>
      <c r="E175" s="48"/>
      <c r="F175" s="48"/>
      <c r="G175" s="48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</row>
    <row r="176" spans="2:21" x14ac:dyDescent="0.2">
      <c r="B176" s="48"/>
      <c r="C176" s="48"/>
      <c r="D176" s="48"/>
      <c r="E176" s="48"/>
      <c r="F176" s="48"/>
      <c r="G176" s="48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</row>
    <row r="177" spans="2:21" x14ac:dyDescent="0.2">
      <c r="B177" s="48"/>
      <c r="C177" s="48"/>
      <c r="D177" s="48"/>
      <c r="E177" s="48"/>
      <c r="F177" s="48"/>
      <c r="G177" s="48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</row>
    <row r="178" spans="2:21" x14ac:dyDescent="0.2">
      <c r="B178" s="48"/>
      <c r="C178" s="48"/>
      <c r="D178" s="48"/>
      <c r="E178" s="48"/>
      <c r="F178" s="48"/>
      <c r="G178" s="48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</row>
  </sheetData>
  <mergeCells count="5">
    <mergeCell ref="B6:H6"/>
    <mergeCell ref="B30:H30"/>
    <mergeCell ref="B4:H4"/>
    <mergeCell ref="B3:H3"/>
    <mergeCell ref="B2:H2"/>
  </mergeCells>
  <printOptions horizontalCentered="1" gridLines="1"/>
  <pageMargins left="0.25" right="0.25" top="0.75" bottom="0.75" header="0.3" footer="0.3"/>
  <pageSetup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78DC6-5BE1-487F-8F61-6AAA73D8BF4E}">
  <sheetPr>
    <pageSetUpPr fitToPage="1"/>
  </sheetPr>
  <dimension ref="B1:M45"/>
  <sheetViews>
    <sheetView zoomScaleNormal="100" workbookViewId="0">
      <selection activeCell="J3" sqref="J3"/>
    </sheetView>
  </sheetViews>
  <sheetFormatPr defaultColWidth="9.140625" defaultRowHeight="15" x14ac:dyDescent="0.2"/>
  <cols>
    <col min="1" max="1" width="6.5703125" customWidth="1"/>
    <col min="2" max="2" width="37.5703125" style="32" customWidth="1"/>
    <col min="3" max="3" width="17.5703125" style="32" customWidth="1"/>
    <col min="4" max="4" width="18.28515625" style="32" customWidth="1"/>
    <col min="5" max="5" width="19.7109375" style="32" customWidth="1"/>
    <col min="8" max="9" width="15.7109375" customWidth="1"/>
    <col min="10" max="10" width="25.7109375" customWidth="1"/>
    <col min="11" max="11" width="15.7109375" customWidth="1"/>
    <col min="12" max="12" width="17.140625" customWidth="1"/>
  </cols>
  <sheetData>
    <row r="1" spans="2:13" x14ac:dyDescent="0.2">
      <c r="J1" s="32"/>
    </row>
    <row r="2" spans="2:13" ht="15.75" thickBot="1" x14ac:dyDescent="0.25"/>
    <row r="3" spans="2:13" ht="18" x14ac:dyDescent="0.25">
      <c r="B3" s="154" t="s">
        <v>0</v>
      </c>
      <c r="C3" s="155"/>
      <c r="D3" s="155"/>
      <c r="E3" s="156"/>
      <c r="M3" s="33"/>
    </row>
    <row r="4" spans="2:13" ht="18" x14ac:dyDescent="0.25">
      <c r="B4" s="157" t="s">
        <v>65</v>
      </c>
      <c r="C4" s="153"/>
      <c r="D4" s="153"/>
      <c r="E4" s="158"/>
      <c r="M4" s="33"/>
    </row>
    <row r="5" spans="2:13" s="2" customFormat="1" ht="15.75" x14ac:dyDescent="0.25">
      <c r="B5" s="40"/>
      <c r="C5" s="35">
        <v>45291</v>
      </c>
      <c r="D5" s="34">
        <v>2024</v>
      </c>
      <c r="E5" s="41">
        <v>2024</v>
      </c>
      <c r="M5" s="33"/>
    </row>
    <row r="6" spans="2:13" s="5" customFormat="1" x14ac:dyDescent="0.2">
      <c r="B6" s="42"/>
      <c r="C6" s="36" t="s">
        <v>31</v>
      </c>
      <c r="D6" s="37" t="s">
        <v>32</v>
      </c>
      <c r="E6" s="43" t="s">
        <v>33</v>
      </c>
      <c r="I6" s="78" t="s">
        <v>79</v>
      </c>
      <c r="M6" s="33"/>
    </row>
    <row r="7" spans="2:13" x14ac:dyDescent="0.2">
      <c r="B7" s="44"/>
      <c r="C7" s="39"/>
      <c r="D7" s="39"/>
      <c r="E7" s="45"/>
      <c r="I7" s="79" t="s">
        <v>80</v>
      </c>
      <c r="M7" s="33"/>
    </row>
    <row r="8" spans="2:13" x14ac:dyDescent="0.2">
      <c r="B8" s="44" t="s">
        <v>34</v>
      </c>
      <c r="C8" s="138">
        <v>161904</v>
      </c>
      <c r="D8" s="138">
        <v>2227</v>
      </c>
      <c r="E8" s="139">
        <v>26724</v>
      </c>
      <c r="F8" s="61" t="s">
        <v>72</v>
      </c>
      <c r="H8" s="61" t="s">
        <v>75</v>
      </c>
      <c r="I8" s="104">
        <f>3325.58+458.54+452.72+403.64+440.89+420.98</f>
        <v>5502.35</v>
      </c>
      <c r="J8" s="64" t="s">
        <v>81</v>
      </c>
      <c r="M8" s="33"/>
    </row>
    <row r="9" spans="2:13" x14ac:dyDescent="0.2">
      <c r="B9" s="44" t="s">
        <v>35</v>
      </c>
      <c r="C9" s="138">
        <v>53739</v>
      </c>
      <c r="D9" s="138">
        <v>1263</v>
      </c>
      <c r="E9" s="139">
        <v>15156</v>
      </c>
      <c r="F9" s="61" t="s">
        <v>72</v>
      </c>
      <c r="H9" s="61" t="s">
        <v>75</v>
      </c>
      <c r="I9" s="104">
        <f>991.62+133.62+129.79+113.75+122.04+114.35</f>
        <v>1605.1699999999998</v>
      </c>
      <c r="J9" s="64" t="s">
        <v>81</v>
      </c>
      <c r="M9" s="33"/>
    </row>
    <row r="10" spans="2:13" x14ac:dyDescent="0.2">
      <c r="B10" s="44" t="s">
        <v>36</v>
      </c>
      <c r="C10" s="138">
        <v>38494</v>
      </c>
      <c r="D10" s="138">
        <v>1480</v>
      </c>
      <c r="E10" s="139">
        <v>17760</v>
      </c>
      <c r="F10" s="61" t="s">
        <v>71</v>
      </c>
      <c r="H10" s="61" t="s">
        <v>75</v>
      </c>
      <c r="I10" s="104">
        <v>0</v>
      </c>
      <c r="J10" s="83" t="s">
        <v>83</v>
      </c>
      <c r="M10" s="33"/>
    </row>
    <row r="11" spans="2:13" x14ac:dyDescent="0.2">
      <c r="B11" s="44" t="s">
        <v>37</v>
      </c>
      <c r="C11" s="138">
        <v>359967</v>
      </c>
      <c r="D11" s="138">
        <v>2442</v>
      </c>
      <c r="E11" s="139">
        <v>29304</v>
      </c>
      <c r="F11" s="61" t="s">
        <v>72</v>
      </c>
      <c r="H11" s="61" t="s">
        <v>75</v>
      </c>
      <c r="I11" s="104">
        <v>11334.26</v>
      </c>
      <c r="J11" s="83" t="s">
        <v>86</v>
      </c>
      <c r="M11" s="33"/>
    </row>
    <row r="12" spans="2:13" x14ac:dyDescent="0.2">
      <c r="B12" s="44" t="s">
        <v>38</v>
      </c>
      <c r="C12" s="140">
        <v>150000</v>
      </c>
      <c r="D12" s="138">
        <v>695</v>
      </c>
      <c r="E12" s="139">
        <v>8340</v>
      </c>
      <c r="F12" s="61" t="s">
        <v>73</v>
      </c>
      <c r="H12" s="61" t="s">
        <v>75</v>
      </c>
      <c r="I12" s="104">
        <v>9010.9</v>
      </c>
      <c r="J12" s="83" t="s">
        <v>86</v>
      </c>
      <c r="M12" s="33"/>
    </row>
    <row r="13" spans="2:13" x14ac:dyDescent="0.2">
      <c r="B13" s="44" t="s">
        <v>39</v>
      </c>
      <c r="C13" s="138">
        <v>46000</v>
      </c>
      <c r="D13" s="138">
        <v>0</v>
      </c>
      <c r="E13" s="139">
        <v>0</v>
      </c>
      <c r="F13" s="61" t="s">
        <v>74</v>
      </c>
      <c r="I13" s="104">
        <v>0</v>
      </c>
      <c r="J13" s="83" t="s">
        <v>83</v>
      </c>
      <c r="M13" s="33"/>
    </row>
    <row r="14" spans="2:13" x14ac:dyDescent="0.2">
      <c r="B14" s="44" t="s">
        <v>40</v>
      </c>
      <c r="C14" s="138">
        <v>33000</v>
      </c>
      <c r="D14" s="138">
        <v>0</v>
      </c>
      <c r="E14" s="139">
        <v>0</v>
      </c>
      <c r="F14" s="61" t="s">
        <v>74</v>
      </c>
      <c r="I14" s="104">
        <v>0</v>
      </c>
      <c r="J14" s="83" t="s">
        <v>83</v>
      </c>
      <c r="M14" s="33"/>
    </row>
    <row r="15" spans="2:13" x14ac:dyDescent="0.2">
      <c r="B15" s="44" t="s">
        <v>41</v>
      </c>
      <c r="C15" s="138">
        <v>15000</v>
      </c>
      <c r="D15" s="138">
        <v>90</v>
      </c>
      <c r="E15" s="139">
        <v>1080</v>
      </c>
      <c r="F15" s="61"/>
      <c r="I15" s="104">
        <f>25000*0.09</f>
        <v>2250</v>
      </c>
      <c r="J15" s="83" t="s">
        <v>84</v>
      </c>
      <c r="M15" s="33"/>
    </row>
    <row r="16" spans="2:13" x14ac:dyDescent="0.2">
      <c r="B16" s="44" t="s">
        <v>42</v>
      </c>
      <c r="C16" s="138">
        <v>50000</v>
      </c>
      <c r="D16" s="138"/>
      <c r="E16" s="139">
        <v>0</v>
      </c>
      <c r="F16" s="61"/>
      <c r="I16" s="104">
        <v>0</v>
      </c>
      <c r="M16" s="33"/>
    </row>
    <row r="17" spans="2:13" x14ac:dyDescent="0.2">
      <c r="B17" s="63" t="s">
        <v>44</v>
      </c>
      <c r="C17" s="140">
        <v>664602.42000000004</v>
      </c>
      <c r="D17" s="140">
        <v>5154.5200000000004</v>
      </c>
      <c r="E17" s="141">
        <f>D17*12</f>
        <v>61854.240000000005</v>
      </c>
      <c r="F17" s="61" t="s">
        <v>87</v>
      </c>
      <c r="I17" s="104">
        <v>0</v>
      </c>
      <c r="J17" s="83" t="s">
        <v>86</v>
      </c>
      <c r="M17" s="33"/>
    </row>
    <row r="18" spans="2:13" x14ac:dyDescent="0.2">
      <c r="B18" s="44"/>
      <c r="C18" s="138"/>
      <c r="D18" s="138"/>
      <c r="E18" s="139"/>
      <c r="F18" s="61"/>
      <c r="I18" s="104"/>
      <c r="M18" s="33"/>
    </row>
    <row r="19" spans="2:13" s="1" customFormat="1" ht="16.5" thickBot="1" x14ac:dyDescent="0.3">
      <c r="B19" s="46" t="s">
        <v>43</v>
      </c>
      <c r="C19" s="142">
        <f>SUM(C8:C18)</f>
        <v>1572706.42</v>
      </c>
      <c r="D19" s="142">
        <f>SUM(D8:D18)</f>
        <v>13351.52</v>
      </c>
      <c r="E19" s="143">
        <f>SUM(E8:E18)</f>
        <v>160218.23999999999</v>
      </c>
      <c r="F19" s="62"/>
      <c r="I19" s="136">
        <f>SUM(I8:I18)</f>
        <v>29702.68</v>
      </c>
      <c r="J19" s="83" t="s">
        <v>85</v>
      </c>
      <c r="M19" s="33"/>
    </row>
    <row r="20" spans="2:13" x14ac:dyDescent="0.2">
      <c r="E20" s="33"/>
      <c r="I20" s="104"/>
      <c r="K20" s="33"/>
      <c r="L20" s="33"/>
      <c r="M20" s="33"/>
    </row>
    <row r="21" spans="2:13" ht="15.75" thickBot="1" x14ac:dyDescent="0.25">
      <c r="I21" s="137">
        <f>I19-E19</f>
        <v>-130515.56</v>
      </c>
      <c r="J21" s="83" t="s">
        <v>82</v>
      </c>
      <c r="K21" s="33"/>
      <c r="L21" s="33"/>
      <c r="M21" s="33"/>
    </row>
    <row r="22" spans="2:13" s="53" customFormat="1" ht="15.75" thickTop="1" x14ac:dyDescent="0.2">
      <c r="B22" s="82" t="s">
        <v>91</v>
      </c>
      <c r="C22" s="144">
        <v>0</v>
      </c>
      <c r="D22" s="145">
        <v>0</v>
      </c>
      <c r="E22" s="92">
        <f>D22*12</f>
        <v>0</v>
      </c>
      <c r="F22" s="65" t="s">
        <v>88</v>
      </c>
      <c r="I22" s="80"/>
      <c r="K22" s="33"/>
      <c r="L22" s="33"/>
      <c r="M22" s="33"/>
    </row>
    <row r="23" spans="2:13" x14ac:dyDescent="0.2">
      <c r="E23" s="134">
        <v>0</v>
      </c>
      <c r="F23" s="64" t="s">
        <v>90</v>
      </c>
      <c r="I23" s="80"/>
      <c r="K23" s="33"/>
      <c r="L23" s="33"/>
      <c r="M23" s="33"/>
    </row>
    <row r="24" spans="2:13" x14ac:dyDescent="0.2">
      <c r="E24" s="135">
        <f>E23-E22</f>
        <v>0</v>
      </c>
      <c r="F24" s="64" t="s">
        <v>89</v>
      </c>
      <c r="I24" s="80"/>
      <c r="K24" s="81"/>
    </row>
    <row r="25" spans="2:13" x14ac:dyDescent="0.2">
      <c r="I25" s="80"/>
      <c r="K25" s="81"/>
    </row>
    <row r="26" spans="2:13" x14ac:dyDescent="0.2">
      <c r="B26" s="82" t="s">
        <v>100</v>
      </c>
      <c r="I26" s="80"/>
      <c r="K26" s="81"/>
    </row>
    <row r="27" spans="2:13" x14ac:dyDescent="0.2">
      <c r="B27" s="82" t="s">
        <v>91</v>
      </c>
      <c r="C27" s="144">
        <v>4398980</v>
      </c>
      <c r="D27" s="145">
        <v>24396.639999999999</v>
      </c>
      <c r="G27" s="74"/>
      <c r="I27" s="80"/>
      <c r="K27" s="81"/>
    </row>
    <row r="28" spans="2:13" x14ac:dyDescent="0.2">
      <c r="I28" s="80"/>
      <c r="K28" s="81"/>
    </row>
    <row r="29" spans="2:13" x14ac:dyDescent="0.2">
      <c r="B29"/>
      <c r="I29" s="80"/>
      <c r="K29" s="84"/>
    </row>
    <row r="30" spans="2:13" x14ac:dyDescent="0.2">
      <c r="B30"/>
      <c r="C30" s="33"/>
    </row>
    <row r="31" spans="2:13" ht="15.75" x14ac:dyDescent="0.25">
      <c r="B31" s="1" t="s">
        <v>94</v>
      </c>
      <c r="C31" s="34">
        <v>2024</v>
      </c>
    </row>
    <row r="32" spans="2:13" x14ac:dyDescent="0.2">
      <c r="B32" t="s">
        <v>101</v>
      </c>
      <c r="C32" s="123">
        <v>50457.08</v>
      </c>
    </row>
    <row r="33" spans="2:3" x14ac:dyDescent="0.2">
      <c r="B33" t="s">
        <v>38</v>
      </c>
      <c r="C33" s="123">
        <f>+C12/50</f>
        <v>3000</v>
      </c>
    </row>
    <row r="34" spans="2:3" x14ac:dyDescent="0.2">
      <c r="B34"/>
      <c r="C34" s="124">
        <v>0</v>
      </c>
    </row>
    <row r="35" spans="2:3" x14ac:dyDescent="0.2">
      <c r="B35"/>
      <c r="C35" s="123"/>
    </row>
    <row r="36" spans="2:3" x14ac:dyDescent="0.2">
      <c r="B36"/>
      <c r="C36" s="123">
        <f>SUM(C32:C34)</f>
        <v>53457.08</v>
      </c>
    </row>
    <row r="37" spans="2:3" x14ac:dyDescent="0.2">
      <c r="B37"/>
      <c r="C37" s="123"/>
    </row>
    <row r="38" spans="2:3" x14ac:dyDescent="0.2">
      <c r="B38"/>
    </row>
    <row r="39" spans="2:3" x14ac:dyDescent="0.2">
      <c r="B39"/>
      <c r="C39" s="123"/>
    </row>
    <row r="40" spans="2:3" x14ac:dyDescent="0.2">
      <c r="B40"/>
      <c r="C40" s="123"/>
    </row>
    <row r="41" spans="2:3" x14ac:dyDescent="0.2">
      <c r="B41"/>
      <c r="C41" s="123"/>
    </row>
    <row r="42" spans="2:3" x14ac:dyDescent="0.2">
      <c r="B42"/>
      <c r="C42" s="123"/>
    </row>
    <row r="43" spans="2:3" x14ac:dyDescent="0.2">
      <c r="B43"/>
    </row>
    <row r="44" spans="2:3" x14ac:dyDescent="0.2">
      <c r="B44"/>
    </row>
    <row r="45" spans="2:3" x14ac:dyDescent="0.2">
      <c r="B45" s="1"/>
    </row>
  </sheetData>
  <mergeCells count="2">
    <mergeCell ref="B3:E3"/>
    <mergeCell ref="B4:E4"/>
  </mergeCells>
  <printOptions horizontalCentered="1" gridLines="1"/>
  <pageMargins left="0.7" right="0.7" top="0.75" bottom="0.75" header="0.3" footer="0.3"/>
  <pageSetup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8BD38-D849-449C-BC34-B662ADEC3FCF}">
  <sheetPr>
    <pageSetUpPr fitToPage="1"/>
  </sheetPr>
  <dimension ref="B1:L27"/>
  <sheetViews>
    <sheetView zoomScaleNormal="100" workbookViewId="0">
      <selection activeCell="E4" sqref="E4"/>
    </sheetView>
  </sheetViews>
  <sheetFormatPr defaultRowHeight="12.75" x14ac:dyDescent="0.2"/>
  <cols>
    <col min="2" max="2" width="5.140625" customWidth="1"/>
    <col min="3" max="3" width="41.42578125" customWidth="1"/>
    <col min="4" max="4" width="19.28515625" style="4" customWidth="1"/>
    <col min="5" max="5" width="19.5703125" customWidth="1"/>
    <col min="6" max="6" width="19.85546875" customWidth="1"/>
    <col min="7" max="7" width="19.5703125" customWidth="1"/>
    <col min="8" max="8" width="16.5703125" style="3" customWidth="1"/>
    <col min="9" max="9" width="9.140625" customWidth="1"/>
    <col min="10" max="10" width="13.7109375" bestFit="1" customWidth="1"/>
    <col min="12" max="12" width="8.7109375" style="8"/>
  </cols>
  <sheetData>
    <row r="1" spans="2:11" x14ac:dyDescent="0.2">
      <c r="B1" s="1" t="s">
        <v>102</v>
      </c>
    </row>
    <row r="2" spans="2:11" ht="18" x14ac:dyDescent="0.25">
      <c r="C2" s="153" t="s">
        <v>67</v>
      </c>
      <c r="D2" s="153"/>
      <c r="E2" s="153"/>
      <c r="F2" s="153"/>
      <c r="G2" s="153"/>
      <c r="H2" s="153"/>
    </row>
    <row r="3" spans="2:11" ht="18.75" thickBot="1" x14ac:dyDescent="0.3">
      <c r="C3" s="153" t="s">
        <v>46</v>
      </c>
      <c r="D3" s="153"/>
      <c r="E3" s="153"/>
      <c r="F3" s="153"/>
      <c r="G3" s="153"/>
      <c r="H3" s="153"/>
    </row>
    <row r="4" spans="2:11" ht="31.5" x14ac:dyDescent="0.2">
      <c r="B4" s="159" t="s">
        <v>58</v>
      </c>
      <c r="C4" s="12"/>
      <c r="D4" s="13" t="s">
        <v>1</v>
      </c>
      <c r="E4" s="13" t="s">
        <v>47</v>
      </c>
      <c r="F4" s="14" t="s">
        <v>30</v>
      </c>
      <c r="G4" s="14" t="s">
        <v>2</v>
      </c>
      <c r="H4" s="31" t="s">
        <v>43</v>
      </c>
    </row>
    <row r="5" spans="2:11" ht="15.75" x14ac:dyDescent="0.25">
      <c r="B5" s="160"/>
      <c r="C5" s="15" t="s">
        <v>48</v>
      </c>
      <c r="D5" s="30">
        <v>240</v>
      </c>
      <c r="E5" s="30">
        <v>2.9610000000000001E-2</v>
      </c>
      <c r="F5" s="20"/>
      <c r="G5" s="30">
        <v>360</v>
      </c>
      <c r="H5" s="17"/>
    </row>
    <row r="6" spans="2:11" ht="15.75" x14ac:dyDescent="0.25">
      <c r="B6" s="160"/>
      <c r="C6" s="15" t="s">
        <v>49</v>
      </c>
      <c r="D6" s="18">
        <v>992</v>
      </c>
      <c r="E6" s="18">
        <v>5548269</v>
      </c>
      <c r="F6" s="18"/>
      <c r="G6" s="18">
        <v>96</v>
      </c>
      <c r="H6" s="19"/>
    </row>
    <row r="7" spans="2:11" ht="15.75" x14ac:dyDescent="0.25">
      <c r="B7" s="160"/>
      <c r="C7" s="15" t="s">
        <v>50</v>
      </c>
      <c r="D7" s="106">
        <f>D6*D5</f>
        <v>238080</v>
      </c>
      <c r="E7" s="106">
        <f>E6*E5</f>
        <v>164284.24509000001</v>
      </c>
      <c r="F7" s="106">
        <v>9300.7999999999993</v>
      </c>
      <c r="G7" s="106">
        <f>G6*G5</f>
        <v>34560</v>
      </c>
      <c r="H7" s="125">
        <f>SUM(D7:G7)</f>
        <v>446225.04508999997</v>
      </c>
      <c r="I7" s="53"/>
      <c r="J7" s="57"/>
    </row>
    <row r="8" spans="2:11" ht="15.75" x14ac:dyDescent="0.25">
      <c r="B8" s="160"/>
      <c r="C8" s="126" t="s">
        <v>51</v>
      </c>
      <c r="D8" s="127">
        <f>D7/H7</f>
        <v>0.53354244146466767</v>
      </c>
      <c r="E8" s="21">
        <f>E7/H7</f>
        <v>0.3681645548534041</v>
      </c>
      <c r="F8" s="21">
        <f>F7/H7</f>
        <v>2.0843294437057212E-2</v>
      </c>
      <c r="G8" s="21">
        <f>G7/H7</f>
        <v>7.7449709244871115E-2</v>
      </c>
      <c r="H8" s="22">
        <f>SUM(D8:G8)</f>
        <v>1</v>
      </c>
      <c r="J8" s="57"/>
    </row>
    <row r="9" spans="2:11" ht="15.75" x14ac:dyDescent="0.25">
      <c r="B9" s="160"/>
      <c r="C9" s="15"/>
      <c r="D9" s="16"/>
      <c r="E9" s="20"/>
      <c r="F9" s="16"/>
      <c r="G9" s="23"/>
      <c r="H9" s="24"/>
      <c r="J9" s="57"/>
    </row>
    <row r="10" spans="2:11" ht="16.5" thickBot="1" x14ac:dyDescent="0.3">
      <c r="B10" s="160"/>
      <c r="C10" s="15" t="s">
        <v>52</v>
      </c>
      <c r="D10" s="21">
        <f>D8</f>
        <v>0.53354244146466767</v>
      </c>
      <c r="E10" s="21">
        <f>E8+F8</f>
        <v>0.38900784929046134</v>
      </c>
      <c r="F10" s="21">
        <f>0</f>
        <v>0</v>
      </c>
      <c r="G10" s="21">
        <f>G8</f>
        <v>7.7449709244871115E-2</v>
      </c>
      <c r="H10" s="22">
        <f>SUM(D10:G10)</f>
        <v>1.0000000000000002</v>
      </c>
    </row>
    <row r="11" spans="2:11" ht="15.75" x14ac:dyDescent="0.25">
      <c r="B11" s="159" t="s">
        <v>59</v>
      </c>
      <c r="C11" s="128"/>
      <c r="D11" s="129"/>
      <c r="E11" s="129"/>
      <c r="F11" s="129"/>
      <c r="G11" s="129"/>
      <c r="H11" s="130"/>
    </row>
    <row r="12" spans="2:11" ht="15.75" x14ac:dyDescent="0.25">
      <c r="B12" s="160"/>
      <c r="C12" s="15" t="s">
        <v>53</v>
      </c>
      <c r="D12" s="131"/>
      <c r="E12" s="20"/>
      <c r="F12" s="20"/>
      <c r="G12" s="20"/>
      <c r="H12" s="125">
        <f>'Cost of service'!H48</f>
        <v>631400.37999999989</v>
      </c>
      <c r="I12" s="58"/>
      <c r="J12" s="57"/>
    </row>
    <row r="13" spans="2:11" ht="15.75" x14ac:dyDescent="0.25">
      <c r="B13" s="160"/>
      <c r="C13" s="15" t="s">
        <v>54</v>
      </c>
      <c r="D13" s="106">
        <f>D10*H12</f>
        <v>336878.90028691886</v>
      </c>
      <c r="E13" s="106">
        <f>E10*H12</f>
        <v>245619.70386497997</v>
      </c>
      <c r="F13" s="106">
        <f>F10*H12</f>
        <v>0</v>
      </c>
      <c r="G13" s="106">
        <f>G10*H12</f>
        <v>48901.775848101126</v>
      </c>
      <c r="H13" s="25"/>
      <c r="J13" s="53"/>
    </row>
    <row r="14" spans="2:11" ht="15.75" x14ac:dyDescent="0.25">
      <c r="B14" s="160"/>
      <c r="C14" s="15" t="s">
        <v>49</v>
      </c>
      <c r="D14" s="18">
        <f>D6</f>
        <v>992</v>
      </c>
      <c r="E14" s="18">
        <f>E6</f>
        <v>5548269</v>
      </c>
      <c r="F14" s="18">
        <f>F6</f>
        <v>0</v>
      </c>
      <c r="G14" s="18">
        <f>G6</f>
        <v>96</v>
      </c>
      <c r="H14" s="19"/>
    </row>
    <row r="15" spans="2:11" ht="15.75" x14ac:dyDescent="0.25">
      <c r="B15" s="160"/>
      <c r="C15" s="15" t="s">
        <v>55</v>
      </c>
      <c r="D15" s="20">
        <f>D13/D14</f>
        <v>339.59566561181339</v>
      </c>
      <c r="E15" s="54">
        <f t="shared" ref="E15" si="0">E13/E14</f>
        <v>4.4269609830557957E-2</v>
      </c>
      <c r="F15" s="20">
        <f>F13</f>
        <v>0</v>
      </c>
      <c r="G15" s="20">
        <f>G13/G14</f>
        <v>509.39349841772008</v>
      </c>
      <c r="H15" s="24"/>
    </row>
    <row r="16" spans="2:11" ht="15.75" x14ac:dyDescent="0.25">
      <c r="B16" s="160"/>
      <c r="C16" s="15" t="s">
        <v>91</v>
      </c>
      <c r="D16" s="16"/>
      <c r="E16" s="20"/>
      <c r="F16" s="16"/>
      <c r="G16" s="23"/>
      <c r="H16" s="125">
        <f>'Cost of Debt'!$E$23</f>
        <v>0</v>
      </c>
      <c r="J16" s="132"/>
      <c r="K16" s="132"/>
    </row>
    <row r="17" spans="2:11" ht="15.75" x14ac:dyDescent="0.25">
      <c r="B17" s="160"/>
      <c r="C17" s="15" t="s">
        <v>56</v>
      </c>
      <c r="D17" s="21">
        <f>0</f>
        <v>0</v>
      </c>
      <c r="E17" s="21">
        <v>0</v>
      </c>
      <c r="F17" s="21">
        <v>0</v>
      </c>
      <c r="G17" s="21">
        <v>1</v>
      </c>
      <c r="H17" s="22"/>
      <c r="K17" s="57"/>
    </row>
    <row r="18" spans="2:11" ht="15.75" x14ac:dyDescent="0.25">
      <c r="B18" s="160"/>
      <c r="C18" s="15"/>
      <c r="D18" s="20">
        <f>D17*H16</f>
        <v>0</v>
      </c>
      <c r="E18" s="20">
        <f>E17*H16</f>
        <v>0</v>
      </c>
      <c r="F18" s="20">
        <f>F17*H16</f>
        <v>0</v>
      </c>
      <c r="G18" s="106">
        <f>G17*H16</f>
        <v>0</v>
      </c>
      <c r="H18" s="25"/>
    </row>
    <row r="19" spans="2:11" ht="15.75" x14ac:dyDescent="0.25">
      <c r="B19" s="160"/>
      <c r="C19" s="15" t="s">
        <v>92</v>
      </c>
      <c r="D19" s="29">
        <f>D18/D14</f>
        <v>0</v>
      </c>
      <c r="E19" s="29">
        <f>E18/E14</f>
        <v>0</v>
      </c>
      <c r="F19" s="29">
        <f>F18</f>
        <v>0</v>
      </c>
      <c r="G19" s="29">
        <f>G18/G14</f>
        <v>0</v>
      </c>
      <c r="H19" s="25"/>
    </row>
    <row r="20" spans="2:11" ht="15.75" x14ac:dyDescent="0.25">
      <c r="B20" s="160"/>
      <c r="C20" s="15"/>
      <c r="D20" s="16"/>
      <c r="E20" s="20"/>
      <c r="F20" s="16"/>
      <c r="G20" s="23"/>
      <c r="H20" s="25"/>
    </row>
    <row r="21" spans="2:11" ht="16.5" thickBot="1" x14ac:dyDescent="0.3">
      <c r="B21" s="161"/>
      <c r="C21" s="26" t="s">
        <v>57</v>
      </c>
      <c r="D21" s="27">
        <f>D19+D15</f>
        <v>339.59566561181339</v>
      </c>
      <c r="E21" s="27">
        <f>E19+E15</f>
        <v>4.4269609830557957E-2</v>
      </c>
      <c r="F21" s="27">
        <f t="shared" ref="F21" si="1">F19+F15</f>
        <v>0</v>
      </c>
      <c r="G21" s="27">
        <f>G19+G15</f>
        <v>509.39349841772008</v>
      </c>
      <c r="H21" s="28"/>
    </row>
    <row r="22" spans="2:11" x14ac:dyDescent="0.2">
      <c r="D22"/>
      <c r="H22"/>
    </row>
    <row r="23" spans="2:11" x14ac:dyDescent="0.2">
      <c r="D23"/>
      <c r="H23"/>
    </row>
    <row r="24" spans="2:11" x14ac:dyDescent="0.2">
      <c r="D24"/>
      <c r="H24"/>
    </row>
    <row r="25" spans="2:11" x14ac:dyDescent="0.2">
      <c r="D25"/>
      <c r="H25"/>
    </row>
    <row r="26" spans="2:11" x14ac:dyDescent="0.2">
      <c r="D26"/>
      <c r="H26"/>
    </row>
    <row r="27" spans="2:11" x14ac:dyDescent="0.2">
      <c r="D27"/>
      <c r="H27"/>
    </row>
  </sheetData>
  <mergeCells count="4">
    <mergeCell ref="C2:H2"/>
    <mergeCell ref="C3:H3"/>
    <mergeCell ref="B4:B10"/>
    <mergeCell ref="B11:B21"/>
  </mergeCells>
  <printOptions horizontalCentered="1" gridLines="1"/>
  <pageMargins left="0.7" right="0.7" top="0.75" bottom="0.75" header="0.3" footer="0.3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Cost of service</vt:lpstr>
      <vt:lpstr>Cost of Debt</vt:lpstr>
      <vt:lpstr>Rate Change Determination</vt:lpstr>
      <vt:lpstr>'Cost of Debt'!Print_Area</vt:lpstr>
      <vt:lpstr>'Cost of service'!Print_Area</vt:lpstr>
      <vt:lpstr>'Rate Change Determination'!Print_Area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BSEF</dc:creator>
  <cp:lastModifiedBy>Eric Guzman</cp:lastModifiedBy>
  <cp:lastPrinted>2024-08-01T14:40:59Z</cp:lastPrinted>
  <dcterms:created xsi:type="dcterms:W3CDTF">2014-12-08T20:25:12Z</dcterms:created>
  <dcterms:modified xsi:type="dcterms:W3CDTF">2024-08-07T17:01:07Z</dcterms:modified>
</cp:coreProperties>
</file>